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m" sheetId="1" r:id="rId1"/>
    <sheet name="dividend" sheetId="2" r:id="rId2"/>
  </sheets>
  <calcPr calcId="124519" fullCalcOnLoad="1"/>
</workbook>
</file>

<file path=xl/sharedStrings.xml><?xml version="1.0" encoding="utf-8"?>
<sst xmlns="http://schemas.openxmlformats.org/spreadsheetml/2006/main" count="1288" uniqueCount="968">
  <si>
    <t>[2888.0, 2871.0, 3185.0, nan]</t>
  </si>
  <si>
    <t>[472.0, 499.0, 841.0, nan]</t>
  </si>
  <si>
    <t>[2524.0, 2752.0, 3114.0, nan]</t>
  </si>
  <si>
    <t>[1159.0, 1404.0, 1668.0, nan]</t>
  </si>
  <si>
    <t>[7082.0, 14991.0, 15026.0, 15180.0]</t>
  </si>
  <si>
    <t>[1466.0, 1796.0, 2480.0, nan]</t>
  </si>
  <si>
    <t>[1485.0, 1554.0, 1648.0, nan]</t>
  </si>
  <si>
    <t>[5948.0, 7033.0, 7711.0, nan]</t>
  </si>
  <si>
    <t>[1015.0, 1098.0, 1242.0, nan]</t>
  </si>
  <si>
    <t>[1397.0, 1488.0, 1639.0, nan]</t>
  </si>
  <si>
    <t>[1766.0, 1819.0, 1943.0, 2000.0]</t>
  </si>
  <si>
    <t>[3173.0, 3334.0, 3683.0, nan]</t>
  </si>
  <si>
    <t>[474.0, 522.0, 528.0, nan]</t>
  </si>
  <si>
    <t>[1176.0, 1382.0, 1413.0, nan]</t>
  </si>
  <si>
    <t>[1064.0, 1030.0, 1656.0, nan]</t>
  </si>
  <si>
    <t>[2054.0, 2246.0, 2689.0, nan]</t>
  </si>
  <si>
    <t>[423.0, 464.0, 561.0, nan]</t>
  </si>
  <si>
    <t>[1085.0, 1293.0, 1327.0, nan]</t>
  </si>
  <si>
    <t>[1379.0, 1457.0, 1465.0, nan]</t>
  </si>
  <si>
    <t>[3222.0, 3303.0, 3423.0, nan]</t>
  </si>
  <si>
    <t>[2748.0, 3320.0, 3553.0, nan]</t>
  </si>
  <si>
    <t>[1647.0, 1876.0, 2017.0, nan]</t>
  </si>
  <si>
    <t>[633.0, 647.0, 766.0, nan]</t>
  </si>
  <si>
    <t>[2942.0, 4261.0, 5257.0, nan]</t>
  </si>
  <si>
    <t>[1081.0, 1232.0, 1234.0, nan]</t>
  </si>
  <si>
    <t>[2864.0, 2984.0, 3021.0, nan]</t>
  </si>
  <si>
    <t>[846.0, 1129.0, 1345.0, nan]</t>
  </si>
  <si>
    <t>[4729.0, 4354.0, 6084.0, nan]</t>
  </si>
  <si>
    <t>[422.0, 462.0, 503.0, nan]</t>
  </si>
  <si>
    <t>[1024.0, 971.0, 1046.0, nan]</t>
  </si>
  <si>
    <t>[2938.0, 3814.0, 4485.0, nan]</t>
  </si>
  <si>
    <t>[7155.0, 8210.0, 8777.0, 9776.0]</t>
  </si>
  <si>
    <t>[993.0, 983.0, 1181.0, nan]</t>
  </si>
  <si>
    <t>[359.0, 385.0, 411.0, nan]</t>
  </si>
  <si>
    <t>[3460.0, 4393.0, 5057.0, nan]</t>
  </si>
  <si>
    <t>[8753.0, 9485.0, 11549.0, nan]</t>
  </si>
  <si>
    <t>[31037.0, 41314.0, 45104.0, 47130.0]</t>
  </si>
  <si>
    <t>[2423.0, 2694.0, 3304.0, nan]</t>
  </si>
  <si>
    <t>[2431.0, 2596.0, 2738.0, 2950.0]</t>
  </si>
  <si>
    <t>[2174.0, 2313.0, 2601.0, nan]</t>
  </si>
  <si>
    <t>[1096.0, 1086.0, 1158.0, nan]</t>
  </si>
  <si>
    <t>[3425.0, 4721.0, 5281.0, nan]</t>
  </si>
  <si>
    <t>[1797.0, 2039.0, 2301.0, 2541.0]</t>
  </si>
  <si>
    <t>[10631.0, 10884.0, 11462.0, 12387.0]</t>
  </si>
  <si>
    <t>[851.0, 947.0, 1025.0, nan]</t>
  </si>
  <si>
    <t>[1471.0, 1501.0, 2424.0, nan]</t>
  </si>
  <si>
    <t>[321.0, 331.0, 383.0, nan]</t>
  </si>
  <si>
    <t>[687.0, 727.0, 888.0, nan]</t>
  </si>
  <si>
    <t>[370.0, 595.0, 707.0, nan]</t>
  </si>
  <si>
    <t>[1249.0, 1394.0, 1579.0, nan]</t>
  </si>
  <si>
    <t>[1125.0, 1706.0, 2163.0, nan]</t>
  </si>
  <si>
    <t>[993.0, 1086.0, 1234.0, nan]</t>
  </si>
  <si>
    <t>[1827.0, 2204.0, 2394.0, 2649.0]</t>
  </si>
  <si>
    <t>[519.0, 628.0, 767.0, nan]</t>
  </si>
  <si>
    <t>[2541.0, 2804.0, 3782.0, nan]</t>
  </si>
  <si>
    <t>[6450.0, 7255.0, 8313.0, nan]</t>
  </si>
  <si>
    <t>[38561.0, 43166.0, 50037.0, 54253.0]</t>
  </si>
  <si>
    <t>[618.0, 821.0, 1444.0, nan]</t>
  </si>
  <si>
    <t>[478.0, 492.0, 696.0, nan]</t>
  </si>
  <si>
    <t>[1193.0, 1284.0, 1405.0, nan]</t>
  </si>
  <si>
    <t>[943.0, 996.0, 1186.0, nan]</t>
  </si>
  <si>
    <t>[108.0, 211.0, 1034.0, nan]</t>
  </si>
  <si>
    <t>[1023.0, 1131.0, 1179.0, nan]</t>
  </si>
  <si>
    <t>[2614.0, 2898.0, 3179.0, nan]</t>
  </si>
  <si>
    <t>[1218.0, 2049.0, 2170.0, 2487.0]</t>
  </si>
  <si>
    <t>[2157.0, 2382.0, 2648.0, nan]</t>
  </si>
  <si>
    <t>[1578.0, 1724.0, 2123.0, nan]</t>
  </si>
  <si>
    <t>[1658.0, 1773.0, 1940.0, nan]</t>
  </si>
  <si>
    <t>[181.0, 316.0, 393.0, nan]</t>
  </si>
  <si>
    <t>[5065.0, 5431.0, 5765.0, 5822.0]</t>
  </si>
  <si>
    <t>[1091.0, 1321.0, 1583.0, nan]</t>
  </si>
  <si>
    <t>[439.0, 471.0, 768.0, nan]</t>
  </si>
  <si>
    <t>[2312.0, 2476.0, 2654.0, nan]</t>
  </si>
  <si>
    <t>[946.0, 1089.0, 1219.0, nan]</t>
  </si>
  <si>
    <t>[2631.0, 3138.0, 3672.0, 4300.0]</t>
  </si>
  <si>
    <t>[2531.0, 2941.0, 3279.0, nan]</t>
  </si>
  <si>
    <t>[2380.0, 3054.0, 3274.0, nan]</t>
  </si>
  <si>
    <t>[573.0, 624.0, 674.0, nan]</t>
  </si>
  <si>
    <t>[532.0, 602.0, 1243.0, nan]</t>
  </si>
  <si>
    <t>[2181.0, 2408.0, 2779.0, nan]</t>
  </si>
  <si>
    <t>[600.0, 752.0, 815.0, nan]</t>
  </si>
  <si>
    <t>[787.0, 839.0, 880.0, nan]</t>
  </si>
  <si>
    <t>[671.0, 723.0, 773.0, nan]</t>
  </si>
  <si>
    <t>[1092.0, 1059.0, 1244.0, nan]</t>
  </si>
  <si>
    <t>[955.0, 945.0, 1083.0, nan]</t>
  </si>
  <si>
    <t>[2083.0, 2452.0, 2766.0, nan]</t>
  </si>
  <si>
    <t>[637.0, 757.0, 871.0, nan]</t>
  </si>
  <si>
    <t>[1049.0, 1192.0, 1304.0, nan]</t>
  </si>
  <si>
    <t>[271.0, 630.0, 760.0, nan]</t>
  </si>
  <si>
    <t>[1067.0, 1403.0, 1506.0, nan]</t>
  </si>
  <si>
    <t>[668.0, 681.0, 1889.0, nan]</t>
  </si>
  <si>
    <t>[1925.0, 2141.0, 2383.0, nan]</t>
  </si>
  <si>
    <t>[704.0, 768.0, 844.0, nan]</t>
  </si>
  <si>
    <t>[1245.0, 1390.0, 1540.0, 1637.0]</t>
  </si>
  <si>
    <t>[3925.0, 4316.0, 4685.0, 5050.0]</t>
  </si>
  <si>
    <t>[708.0, 806.0, 903.0, nan]</t>
  </si>
  <si>
    <t>[211.0, 367.0, 419.0, nan]</t>
  </si>
  <si>
    <t>[573.0, 735.0, 796.0, nan]</t>
  </si>
  <si>
    <t>[438.0, 550.0, 553.0, nan]</t>
  </si>
  <si>
    <t>[727.0, 783.0, 829.0, nan]</t>
  </si>
  <si>
    <t>[1598.0, 1801.0, 1831.0, nan]</t>
  </si>
  <si>
    <t>[449.0, 840.0, 1001.0, nan]</t>
  </si>
  <si>
    <t>[1615.0, 1717.0, 1938.0, nan]</t>
  </si>
  <si>
    <t>[3897.0, 4037.0, 5140.0, nan]</t>
  </si>
  <si>
    <t>[769.0, 849.0, 948.0, nan]</t>
  </si>
  <si>
    <t>[536.0, 665.0, 699.0, nan]</t>
  </si>
  <si>
    <t>[2601.0, 2838.0, 2970.0, nan]</t>
  </si>
  <si>
    <t>[730.0, 786.0, 849.0, nan]</t>
  </si>
  <si>
    <t>[780.0, 894.0, 960.0, nan]</t>
  </si>
  <si>
    <t>[1291.0, 1298.0, 1300.0, nan]</t>
  </si>
  <si>
    <t>[5120.0, 5931.0, 6620.0, 7759.0]</t>
  </si>
  <si>
    <t>[553.0, 617.0, 675.0, nan]</t>
  </si>
  <si>
    <t>[3809.0, 4119.0, 4316.0, nan]</t>
  </si>
  <si>
    <t>[5201.0, 9839.0, 10397.0, nan]</t>
  </si>
  <si>
    <t>[1487.0, 1557.0, 1676.0, nan]</t>
  </si>
  <si>
    <t>[5931.0, 6325.0, 6812.0, 7412.0]</t>
  </si>
  <si>
    <t>[1484.0, 1599.0, 1682.0, nan]</t>
  </si>
  <si>
    <t>[981.0, 1063.0, 1109.0, nan]</t>
  </si>
  <si>
    <t>[847.0, 937.0, 1061.0, nan]</t>
  </si>
  <si>
    <t>[1228.0, 1123.0, 1318.0, nan]</t>
  </si>
  <si>
    <t>[2716.0, 2928.0, 3287.0, nan]</t>
  </si>
  <si>
    <t>[2458.0, 2654.0, 2862.0, nan]</t>
  </si>
  <si>
    <t>[48306.0, 50476.0, 53851.0, 58113.0]</t>
  </si>
  <si>
    <t>[3090.0, 3338.0, 3607.0, nan]</t>
  </si>
  <si>
    <t>[1645.0, 1797.0, 1906.0, nan]</t>
  </si>
  <si>
    <t>[160026.0, 179987.0, 188270.0, 202320.0]</t>
  </si>
  <si>
    <t>[1562.0, 1748.0, 1939.0, 2010.0]</t>
  </si>
  <si>
    <t>[4844.0, 5196.0, 5717.0, nan]</t>
  </si>
  <si>
    <t>[1017.0, 1058.0, 1172.0, nan]</t>
  </si>
  <si>
    <t>[8897.0, 9820.0, 10542.0, nan]</t>
  </si>
  <si>
    <t>[2274.0, 2494.0, 2788.0, nan]</t>
  </si>
  <si>
    <t>[1546.0, 1562.0, 1747.0, nan]</t>
  </si>
  <si>
    <t>[5778.0, 6613.0, 6991.0, 7440.0]</t>
  </si>
  <si>
    <t>[395.0, 446.0, 509.0, nan]</t>
  </si>
  <si>
    <t>[15937.0, 19169.0, 22226.0, 25479.0]</t>
  </si>
  <si>
    <t>[34218.0, 34691.0, 39265.0, 35727.0]</t>
  </si>
  <si>
    <t>[2408.0, 4350.0, 4412.0, nan]</t>
  </si>
  <si>
    <t>[8158.0, 8814.0, 9609.0, nan]</t>
  </si>
  <si>
    <t>[59603.0, 62500.0, 67154.0, 70977.0]</t>
  </si>
  <si>
    <t>[4941.0, 5425.0, 6020.0, nan]</t>
  </si>
  <si>
    <t>[238737.0, 264292.0, 281245.0, 304805.0]</t>
  </si>
  <si>
    <t>[11927.0, 13779.0, 14931.0, 16068.0]</t>
  </si>
  <si>
    <t>[114896.0, 127347.0, 132044.0, 133156.0]</t>
  </si>
  <si>
    <t>[3380.0, 3914.0, 4534.0, nan]</t>
  </si>
  <si>
    <t>[20576.0, 24734.0, 27485.0, nan]</t>
  </si>
  <si>
    <t>[32129.0, 33734.0, 39195.0, 44740.0]</t>
  </si>
  <si>
    <t>[17732.0, 22765.0, 24324.0, 26480.0]</t>
  </si>
  <si>
    <t>[656.0, 551.0, 695.0, nan]</t>
  </si>
  <si>
    <t>[993.0, 2212.0, 2375.0, nan]</t>
  </si>
  <si>
    <t>[1502.0, 1596.0, 1727.0, nan]</t>
  </si>
  <si>
    <t>[4582.0, 4886.0, 5166.0, nan]</t>
  </si>
  <si>
    <t>[1302.0, 1539.0, 1673.0, nan]</t>
  </si>
  <si>
    <t>[178421.0, 224708.0, 229568.0, 237811.0]</t>
  </si>
  <si>
    <t>[2123.0, 2226.0, 3176.0, nan]</t>
  </si>
  <si>
    <t>[10936.0, 14495.0, 16827.0, nan]</t>
  </si>
  <si>
    <t>[136601.0, 166275.0, 166858.0, 168774.0]</t>
  </si>
  <si>
    <t>[2753.0, 3644.0, 4184.0, nan]</t>
  </si>
  <si>
    <t>[1281.0, 1502.0, 1670.0, nan]</t>
  </si>
  <si>
    <t>[349.0, 586.0, 833.0, nan]</t>
  </si>
  <si>
    <t>[3182.0, 3450.0, 3609.0, nan]</t>
  </si>
  <si>
    <t>[977.0, 1111.0, 1195.0, nan]</t>
  </si>
  <si>
    <t>[18479.0, 18761.0, 19261.0, nan]</t>
  </si>
  <si>
    <t>[1208.0, 1282.0, 1420.0, nan]</t>
  </si>
  <si>
    <t>[31673.0, 35485.0, 39747.0, 42753.0]</t>
  </si>
  <si>
    <t>[3578.0, 6095.0, 6737.0, nan]</t>
  </si>
  <si>
    <t>[413.0, 369.0, 489.0, nan]</t>
  </si>
  <si>
    <t>[14732.0, 17011.0, 17786.0, 18916.0]</t>
  </si>
  <si>
    <t>[77302.0, 84904.0, 88778.0, 86592.0]</t>
  </si>
  <si>
    <t>[975.0, 1026.0, 1105.0, nan]</t>
  </si>
  <si>
    <t>[13355.0, 14248.0, 15543.0, 15779.0]</t>
  </si>
  <si>
    <t>[39052.0, 43369.0, 46170.0, 49643.0]</t>
  </si>
  <si>
    <t>[8710.0, 9151.0, 10048.0, 11222.0]</t>
  </si>
  <si>
    <t>[46280.0, 50978.0, 59490.0, 64900.0]</t>
  </si>
  <si>
    <t>[1219.0, 1304.0, 1429.0, nan]</t>
  </si>
  <si>
    <t>[22426.0, 22819.0, 24587.0, 27128.0]</t>
  </si>
  <si>
    <t>[2127.0, 3650.0, 4498.0, nan]</t>
  </si>
  <si>
    <t>[5088.0, 5227.0, 5830.0, nan]</t>
  </si>
  <si>
    <t>[8878.0, 11452.0, 13758.0, nan]</t>
  </si>
  <si>
    <t>[50643.0, 53900.0, 59373.0, 66725.0]</t>
  </si>
  <si>
    <t>[12295.0, 15446.0, 18435.0, 19987.0]</t>
  </si>
  <si>
    <t>[3042.0, 3450.0, 3632.0, nan]</t>
  </si>
  <si>
    <t>[3041.0, 3619.0, 4203.0, 4666.0]</t>
  </si>
  <si>
    <t>[1597.0, 1956.0, 1976.0, nan]</t>
  </si>
  <si>
    <t>[443.0, 525.0, 693.0, nan]</t>
  </si>
  <si>
    <t>[328202.0, 357256.0, 391779.0, 440409.0]</t>
  </si>
  <si>
    <t>[3844.0, 4206.0, 4439.0, nan]</t>
  </si>
  <si>
    <t>[378.0, 401.0, 630.0, nan]</t>
  </si>
  <si>
    <t>[1730.0, 1856.0, 1992.0, nan]</t>
  </si>
  <si>
    <t>[6488.0, 7496.0, 8291.0, 8620.0]</t>
  </si>
  <si>
    <t>[4607.0, 5335.0, 5849.0, nan]</t>
  </si>
  <si>
    <t>[2433.0, 2472.0, 3411.0, nan]</t>
  </si>
  <si>
    <t>[9569.0, 10144.0, 11552.0, nan]</t>
  </si>
  <si>
    <t>[340387.0, 357039.0, 385339.0, 414637.0]</t>
  </si>
  <si>
    <t>[7032.0, 7524.0, 8140.0, 8520.0]</t>
  </si>
  <si>
    <t>[24295.0, 31317.0, 34699.0, 37399.0]</t>
  </si>
  <si>
    <t>[10570.0, 11999.0, 13362.0, nan]</t>
  </si>
  <si>
    <t>[266.0, 441.0, 443.0, nan]</t>
  </si>
  <si>
    <t>[260.0, 565.0, 674.0, nan]</t>
  </si>
  <si>
    <t>[89.0, 183.0, 303.0, nan]</t>
  </si>
  <si>
    <t>[639.0, 716.0, 830.0, nan]</t>
  </si>
  <si>
    <t>[1071.0, 922.0, 1181.0, nan]</t>
  </si>
  <si>
    <t>[242.0, 307.0, 482.0, nan]</t>
  </si>
  <si>
    <t>[2196.0, 2597.0, 3409.0, 3544.0]</t>
  </si>
  <si>
    <t>[723.0, 755.0, 946.0, nan]</t>
  </si>
  <si>
    <t>[7773.0, 7849.0, 8754.0, 9490.0]</t>
  </si>
  <si>
    <t>[18427.0, 23473.0, 26286.0, 30690.0]</t>
  </si>
  <si>
    <t>[859.0, 1513.0, 1670.0, nan]</t>
  </si>
  <si>
    <t>[591.0, 596.0, 709.0, nan]</t>
  </si>
  <si>
    <t>[735.0, 832.0, 967.0, nan]</t>
  </si>
  <si>
    <t>[1960.0, 2191.0, 2485.0, 2675.0]</t>
  </si>
  <si>
    <t>[3226.0, 3676.0, 4578.0, nan]</t>
  </si>
  <si>
    <t>[1457.0, 1655.0, 2068.0, nan]</t>
  </si>
  <si>
    <t>[250.0, 223.0, 270.0, nan]</t>
  </si>
  <si>
    <t>[876.0, 3034.0, 3321.0, nan]</t>
  </si>
  <si>
    <t>[1663.0, 1923.0, 1992.0, nan]</t>
  </si>
  <si>
    <t>[740.0, 810.0, 993.0, nan]</t>
  </si>
  <si>
    <t>[2214.0, 2613.0, 2945.0, 3561.0]</t>
  </si>
  <si>
    <t>[428.0, 614.0, 1452.0, 1582.0]</t>
  </si>
  <si>
    <t>[77721.0, 80793.0, 86506.0, 90808.0]</t>
  </si>
  <si>
    <t>[866.0, 949.0, 1077.0, nan]</t>
  </si>
  <si>
    <t>[1151.0, 1317.0, 1570.0, nan]</t>
  </si>
  <si>
    <t>[2875.0, 3470.0, 4036.0, 4551.0]</t>
  </si>
  <si>
    <t>[182.0, 190.0, 266.0, nan]</t>
  </si>
  <si>
    <t>[1591.0, 1830.0, 2403.0, 2393.0]</t>
  </si>
  <si>
    <t>[33749.0, 47828.0, 48809.0, 57050.0]</t>
  </si>
  <si>
    <t>[126.0, 385.0, 458.0, nan]</t>
  </si>
  <si>
    <t>[338153.0, 468457.0, 479284.0, 509324.0]</t>
  </si>
  <si>
    <t>[713.0, 754.0, 858.0, nan]</t>
  </si>
  <si>
    <t>[833.0, 898.0, 1021.0, nan]</t>
  </si>
  <si>
    <t>[357.0, 361.0, 393.0, nan]</t>
  </si>
  <si>
    <t>[9051.0, 9841.0, 10634.0, 11076.0]</t>
  </si>
  <si>
    <t>[15246.0, 20415.0, 22340.0, 26784.0]</t>
  </si>
  <si>
    <t>[971.0, 1170.0, 1240.0, 1386.0]</t>
  </si>
  <si>
    <t>[243.0, 450.0, 596.0, 727.0]</t>
  </si>
  <si>
    <t>[393.0, 486.0, 498.0, nan]</t>
  </si>
  <si>
    <t>[1812.0, 2100.0, 2239.0, nan]</t>
  </si>
  <si>
    <t>[1227.0, 1633.0, 1945.0, 2323.0]</t>
  </si>
  <si>
    <t>[2960.0, 3941.0, 4830.0, 5444.0]</t>
  </si>
  <si>
    <t>[1674.0, 1845.0, 2022.0, nan]</t>
  </si>
  <si>
    <t>[1795.0, 2049.0, 2923.0, 4419.0]</t>
  </si>
  <si>
    <t>[50.0, 71.0, 268.0, nan]</t>
  </si>
  <si>
    <t>[855.0, 1197.0, 1454.0, nan]</t>
  </si>
  <si>
    <t>[87.0, 42.0, 181.0, nan]</t>
  </si>
  <si>
    <t>[1884.0, 2051.0, 2428.0, 2155.0]</t>
  </si>
  <si>
    <t>[383.0, 424.0, 441.0, nan]</t>
  </si>
  <si>
    <t>[1030.0, 1206.0, 1397.0, 1529.0]</t>
  </si>
  <si>
    <t>[68.0, 480.0, 507.0, 568.0]</t>
  </si>
  <si>
    <t>[191.0, 269.0, 554.0, nan]</t>
  </si>
  <si>
    <t>[317.0, 474.0, 531.0, nan]</t>
  </si>
  <si>
    <t>[869.0, 809.0, 1359.0, nan]</t>
  </si>
  <si>
    <t>[155.0, 214.0, 412.0, nan]</t>
  </si>
  <si>
    <t>[7609.0, 8440.0, 9197.0, 10091.0]</t>
  </si>
  <si>
    <t>[253.0, 232.0, 512.0, nan]</t>
  </si>
  <si>
    <t>[1665.0, 2085.0, 2439.0, 2855.0]</t>
  </si>
  <si>
    <t>[144.0, 210.0, 271.0, nan]</t>
  </si>
  <si>
    <t>[809.0, 2054.0, 2203.0, nan]</t>
  </si>
  <si>
    <t>[470.0, 502.0, 541.0, nan]</t>
  </si>
  <si>
    <t>[1065.0, 1244.0, 1397.0, 1480.0]</t>
  </si>
  <si>
    <t>[492.0, 609.0, 683.0, nan]</t>
  </si>
  <si>
    <t>[12.0, 295.0, 441.0, nan]</t>
  </si>
  <si>
    <t>[927.0, 1186.0, 1537.0, nan]</t>
  </si>
  <si>
    <t>[2072134.0, 2400690.0, 2549155.0, 2744279.0]</t>
  </si>
  <si>
    <t>[140.0, 377.0, 383.0, nan]</t>
  </si>
  <si>
    <t>[1786.0, 2132.0, 2468.0, 2629.0]</t>
  </si>
  <si>
    <t>[841.0, 952.0, 1097.0, nan]</t>
  </si>
  <si>
    <t>[681.0, 1264.0, 1528.0, 1760.0]</t>
  </si>
  <si>
    <t>[143.0, 284.0, 583.0, 686.0]</t>
  </si>
  <si>
    <t>[535.0, 489.0, 686.0, nan]</t>
  </si>
  <si>
    <t>[792.0, 1057.0, 1126.0, nan]</t>
  </si>
  <si>
    <t>[186.0, 268.0, 379.0, nan]</t>
  </si>
  <si>
    <t>[243.0, 413.0, 467.0, nan]</t>
  </si>
  <si>
    <t>[476.0, 593.0, 1057.0, 1181.0]</t>
  </si>
  <si>
    <t>[648.0, 805.0, 1055.0, nan]</t>
  </si>
  <si>
    <t>[-11.0, 20.0, 99.0, nan]</t>
  </si>
  <si>
    <t>[1196.0, 1321.0, 1415.0, 1591.0]</t>
  </si>
  <si>
    <t>[10647.0, 10667.0, 10983.0, 11688.0]</t>
  </si>
  <si>
    <t>[1178.0, 3091.0, 3385.0, 3393.0]</t>
  </si>
  <si>
    <t>[2848.0, 3152.0, 3673.0, nan]</t>
  </si>
  <si>
    <t>[490.0, 556.0, 651.0, nan]</t>
  </si>
  <si>
    <t>[282.0, 382.0, 1451.0, nan]</t>
  </si>
  <si>
    <t>[5809.0, 6474.0, 6528.0, 6879.0]</t>
  </si>
  <si>
    <t>[4089.0, 4293.0, 4689.0, 5160.0]</t>
  </si>
  <si>
    <t>[7990.0, 9917.0, 12497.0, 14379.0]</t>
  </si>
  <si>
    <t>[2050.0, 2570.0, 2885.0, nan]</t>
  </si>
  <si>
    <t>[39893.0, 42602.0, 46703.0, 50752.0]</t>
  </si>
  <si>
    <t>[936.0, 1017.0, 1265.0, nan]</t>
  </si>
  <si>
    <t>[1262.0, 1408.0, 1614.0, 1780.0]</t>
  </si>
  <si>
    <t>[260.0, 317.0, 667.0, nan]</t>
  </si>
  <si>
    <t>[91.0, 232.0, 247.0, nan]</t>
  </si>
  <si>
    <t>[927.0, 1403.0, 1594.0, 1640.0]</t>
  </si>
  <si>
    <t>[891.0, 1084.0, 1287.0, nan]</t>
  </si>
  <si>
    <t>[975.0, 1187.0, 1527.0, nan]</t>
  </si>
  <si>
    <t>[533.0, 711.0, 897.0, nan]</t>
  </si>
  <si>
    <t>[2359.0, 2810.0, 3075.0, 3356.0]</t>
  </si>
  <si>
    <t>[401.0, 512.0, 646.0, nan]</t>
  </si>
  <si>
    <t>[4046.0, 5183.0, 6472.0, 7618.0]</t>
  </si>
  <si>
    <t>[512.0, 615.0, 745.0, nan]</t>
  </si>
  <si>
    <t>[980.0, 1297.0, 2246.0, 2714.0]</t>
  </si>
  <si>
    <t>[221.0, 284.0, 377.0, nan]</t>
  </si>
  <si>
    <t>[128.0, 215.0, 727.0, nan]</t>
  </si>
  <si>
    <t>[70.0, 106.0, 694.0, 835.0]</t>
  </si>
  <si>
    <t>[1341.0, 1314.0, 1471.0, 1915.0]</t>
  </si>
  <si>
    <t>[613.0, 770.0, 817.0, nan]</t>
  </si>
  <si>
    <t>[337.0, 489.0, 745.0, nan]</t>
  </si>
  <si>
    <t>[26.0, 96.0, 159.0, nan]</t>
  </si>
  <si>
    <t>[246.0, 308.0, 474.0, nan]</t>
  </si>
  <si>
    <t>[112.0, 201.0, 387.0, nan]</t>
  </si>
  <si>
    <t>[972.0, 1086.0, 1364.0, nan]</t>
  </si>
  <si>
    <t>[403.0, 551.0, 1106.0, nan]</t>
  </si>
  <si>
    <t>[497.0, 880.0, 1382.0, 1392.0]</t>
  </si>
  <si>
    <t>[599.0, 623.0, 748.0, nan]</t>
  </si>
  <si>
    <t>[1223.0, 1319.0, 1468.0, nan]</t>
  </si>
  <si>
    <t>[432.0, 501.0, 700.0, nan]</t>
  </si>
  <si>
    <t>[1528.0, 1879.0, 2795.0, 3499.0]</t>
  </si>
  <si>
    <t>[1399.0, 2423.0, 2491.0, nan]</t>
  </si>
  <si>
    <t>[26.0, 161.0, 754.0, 1117.0]</t>
  </si>
  <si>
    <t>[5.27, 0.39, 15.18, nan]</t>
  </si>
  <si>
    <t>[13.48, 6.55, 50.67, nan]</t>
  </si>
  <si>
    <t>[14.33, 10.66, 13.32, nan]</t>
  </si>
  <si>
    <t>[23.78, 22.26, 18.34, nan]</t>
  </si>
  <si>
    <t>[428.57, 4.37, 1.79, 1.72]</t>
  </si>
  <si>
    <t>[3.48, 20.58, 26.2, 10.66]</t>
  </si>
  <si>
    <t>[8.88, 11.19, 7.4, nan]</t>
  </si>
  <si>
    <t>[18.31, 18.79, 11.49, nan]</t>
  </si>
  <si>
    <t>[3.7, 8.93, 13.31, nan]</t>
  </si>
  <si>
    <t>[6.21, 9.76, 14.22, nan]</t>
  </si>
  <si>
    <t>[8.55, 8.77, 7.81, 4.08]</t>
  </si>
  <si>
    <t>[12.03, 9.83, 11.57, nan]</t>
  </si>
  <si>
    <t>[20.63, 18.7, 9.11, nan]</t>
  </si>
  <si>
    <t>[42.16, 22.5, 5.89, nan]</t>
  </si>
  <si>
    <t>[10.98, -4.07, 47.51, nan]</t>
  </si>
  <si>
    <t>[7.73, 9.79, 18.68, nan]</t>
  </si>
  <si>
    <t>[8.77, 13.28, 11.98, nan]</t>
  </si>
  <si>
    <t>[11.73, 20.6, 3.66, nan]</t>
  </si>
  <si>
    <t>[16.24, 10.29, 6.57, nan]</t>
  </si>
  <si>
    <t>[11.49, 12.12, 4.07, nan]</t>
  </si>
  <si>
    <t>[2.65, 19.45, 8.37, nan]</t>
  </si>
  <si>
    <t>[17.28, 7.62, 7.12, nan]</t>
  </si>
  <si>
    <t>[4.38, 2.49, 17.15, nan]</t>
  </si>
  <si>
    <t>[40.99, 37.93, 26.51, nan]</t>
  </si>
  <si>
    <t>[24.19, 17.46, 1.28, nan]</t>
  </si>
  <si>
    <t>[31.06, 14.41, 3.28, nan]</t>
  </si>
  <si>
    <t>[-0.25, 30.75, 19.02, nan]</t>
  </si>
  <si>
    <t>[7.9, 7.28, 13.08, nan]</t>
  </si>
  <si>
    <t>[14.84, 12.14, 9.37, nan]</t>
  </si>
  <si>
    <t>[2.9, 0.74, 15.27, nan]</t>
  </si>
  <si>
    <t>[10.26, 18.57, 10.51, nan]</t>
  </si>
  <si>
    <t>[25.66, 21.75, 12.72, 9.89]</t>
  </si>
  <si>
    <t>[9.08, 7.06, 20.64, 11.26]</t>
  </si>
  <si>
    <t>[7.11, 9.62, 7.94, nan]</t>
  </si>
  <si>
    <t>[23.63, 41.29, 15.21, nan]</t>
  </si>
  <si>
    <t>[6.57, 7.95, 9.36, nan]</t>
  </si>
  <si>
    <t>[15.61, 10.33, 6.23, 8.39]</t>
  </si>
  <si>
    <t>[15.42, 7.94, 19.66, nan]</t>
  </si>
  <si>
    <t>[11.73, 8.56, 7.01, 8.79]</t>
  </si>
  <si>
    <t>[9.66, 6.48, 10.23, nan]</t>
  </si>
  <si>
    <t>[17.42, 24.28, 7.1, nan]</t>
  </si>
  <si>
    <t>[16.67, 15.94, 10.32, nan]</t>
  </si>
  <si>
    <t>[22.14, 15.94, 13.88, 11.53]</t>
  </si>
  <si>
    <t>[10.1, 12.46, 9.81, 10.36]</t>
  </si>
  <si>
    <t>[15.18, 14.18, 10.84, nan]</t>
  </si>
  <si>
    <t>[8.21, 7.58, 49.82, nan]</t>
  </si>
  <si>
    <t>[4.55, 3.67, 15.19, nan]</t>
  </si>
  <si>
    <t>[5.92, 11.94, 19.0, nan]</t>
  </si>
  <si>
    <t>[38.96, 21.35, 15.65, nan]</t>
  </si>
  <si>
    <t>[5.67, 3.89, 12.08, nan]</t>
  </si>
  <si>
    <t>[17.97, 14.99, 11.22, nan]</t>
  </si>
  <si>
    <t>[14.33, 13.35, 13.75, nan]</t>
  </si>
  <si>
    <t>[11.76, 19.69, 12.04, 13.13]</t>
  </si>
  <si>
    <t>[13.04, 19.56, 9.85, nan]</t>
  </si>
  <si>
    <t>[13.36, 13.22, 18.62, 31.99]</t>
  </si>
  <si>
    <t>[6.85, 14.53, 15.06, nan]</t>
  </si>
  <si>
    <t>[14.11, 12.96, 18.14, 13.58]</t>
  </si>
  <si>
    <t>[30.19, 28.89, 18.07, nan]</t>
  </si>
  <si>
    <t>[12.36, 11.68, 10.89, nan]</t>
  </si>
  <si>
    <t>[8.19, 9.88, 10.64, nan]</t>
  </si>
  <si>
    <t>[7.13, 6.39, 18.91, nan]</t>
  </si>
  <si>
    <t>[25.64, 64.78, 27.52, 5.9]</t>
  </si>
  <si>
    <t>[10.92, 12.88, 7.12, nan]</t>
  </si>
  <si>
    <t>[8.61, 12.72, 10.12, nan]</t>
  </si>
  <si>
    <t>[32.15, 20.69, 11.77, 15.59]</t>
  </si>
  <si>
    <t>[13.58, 11.08, 9.0, nan]</t>
  </si>
  <si>
    <t>[8.72, 10.15, 18.76, nan]</t>
  </si>
  <si>
    <t>[8.06, 11.45, 11.88, nan]</t>
  </si>
  <si>
    <t>[26.69, 4.87, 11.69, nan]</t>
  </si>
  <si>
    <t>[15.06, 8.54, 5.65, 1.14]</t>
  </si>
  <si>
    <t>[31.54, 21.94, 16.67, nan]</t>
  </si>
  <si>
    <t>[5.95, 9.89, 50.19, nan]</t>
  </si>
  <si>
    <t>[9.35, 10.18, 9.59, nan]</t>
  </si>
  <si>
    <t>[13.77, 14.16, 13.01, nan]</t>
  </si>
  <si>
    <t>[17.6, 17.32, 15.6, 14.55]</t>
  </si>
  <si>
    <t>[8.18, 10.48, 10.23, nan]</t>
  </si>
  <si>
    <t>[15.21, 28.01, 9.33, nan]</t>
  </si>
  <si>
    <t>[32.45, 8.53, 10.85, nan]</t>
  </si>
  <si>
    <t>[2.66, 0.5, 36.53, nan]</t>
  </si>
  <si>
    <t>[15.32, 10.82, 12.56, nan]</t>
  </si>
  <si>
    <t>[28.9, 25.22, 13.6, nan]</t>
  </si>
  <si>
    <t>[3.99, 8.72, 9.16, -3.92]</t>
  </si>
  <si>
    <t>[10.14, 9.75, 10.02, nan]</t>
  </si>
  <si>
    <t>[4.55, 3.46, 18.58, nan]</t>
  </si>
  <si>
    <t>[21.5, 1.51, 15.13, nan]</t>
  </si>
  <si>
    <t>[22.32, 19.43, 12.19, nan]</t>
  </si>
  <si>
    <t>[24.51, 16.89, 16.55, nan]</t>
  </si>
  <si>
    <t>[-0.82, 22.73, 15.7, nan]</t>
  </si>
  <si>
    <t>[43.0, 30.38, 21.0, nan]</t>
  </si>
  <si>
    <t>[20.84, 29.17, 11.22, nan]</t>
  </si>
  <si>
    <t>[3.95, 3.44, 93.94, nan]</t>
  </si>
  <si>
    <t>[16.27, 15.67, 16.62, nan]</t>
  </si>
  <si>
    <t>[9.89, 8.53, 11.5, nan]</t>
  </si>
  <si>
    <t>[7.97, 15.15, 11.74, 5.85]</t>
  </si>
  <si>
    <t>[6.94, 7.36, 9.82, 9.04]</t>
  </si>
  <si>
    <t>[17.21, 14.13, 13.76, nan]</t>
  </si>
  <si>
    <t>[-57.87, 8.92, 14.69, nan]</t>
  </si>
  <si>
    <t>[10.7, 9.59, 9.79, nan]</t>
  </si>
  <si>
    <t>[19.27, 21.73, 1.74, nan]</t>
  </si>
  <si>
    <t>[5.74, 11.83, 7.36, nan]</t>
  </si>
  <si>
    <t>[17.99, 15.93, 2.32, nan]</t>
  </si>
  <si>
    <t>[44.77, 31.07, 11.11, nan]</t>
  </si>
  <si>
    <t>[7.48, 7.08, 11.61, nan]</t>
  </si>
  <si>
    <t>[10.19, 8.58, 11.23, nan]</t>
  </si>
  <si>
    <t>[10.83, 8.45, 10.04, nan]</t>
  </si>
  <si>
    <t>[40.41, 24.7, 5.98, nan]</t>
  </si>
  <si>
    <t>[11.73, 13.14, 6.68, nan]</t>
  </si>
  <si>
    <t>[14.62, 12.72, 11.0, nan]</t>
  </si>
  <si>
    <t>[20.38, 18.93, 12.7, nan]</t>
  </si>
  <si>
    <t>[79.98, 6.22, 1.21, nan]</t>
  </si>
  <si>
    <t>[27.12, 18.52, 14.28, 17.13]</t>
  </si>
  <si>
    <t>[13.25, 14.23, 10.84, nan]</t>
  </si>
  <si>
    <t>[9.6, 9.61, 8.24, 6.44]</t>
  </si>
  <si>
    <t>[7.22, 35.2, 6.38, nan]</t>
  </si>
  <si>
    <t>[17.32, 5.23, 8.18, nan]</t>
  </si>
  <si>
    <t>[8.98, 9.26, 10.0, 10.18]</t>
  </si>
  <si>
    <t>[10.48, 10.57, 8.75, nan]</t>
  </si>
  <si>
    <t>[11.87, 9.98, 5.91, nan]</t>
  </si>
  <si>
    <t>[12.68, 12.88, 9.72, nan]</t>
  </si>
  <si>
    <t>[-1.41, 1.17, 26.85, nan]</t>
  </si>
  <si>
    <t>[9.56, 8.96, 14.22, nan]</t>
  </si>
  <si>
    <t>[12.05, 8.38, 10.29, nan]</t>
  </si>
  <si>
    <t>[7.39, 7.31, 9.12, 10.63]</t>
  </si>
  <si>
    <t>[9.58, 8.99, 10.32, nan]</t>
  </si>
  <si>
    <t>[13.77, 12.09, 11.65, nan]</t>
  </si>
  <si>
    <t>[16.04, 10.96, 5.87, 8.22]</t>
  </si>
  <si>
    <t>[11.19, 11.32, 10.33, 3.04]</t>
  </si>
  <si>
    <t>[7.66, 6.73, 9.18, nan]</t>
  </si>
  <si>
    <t>[5.14, 5.62, 11.92, 14.67]</t>
  </si>
  <si>
    <t>[7.76, 10.32, 7.7, nan]</t>
  </si>
  <si>
    <t>[11.09, 8.73, 8.79, nan]</t>
  </si>
  <si>
    <t>[8.6, 4.29, 14.18, nan]</t>
  </si>
  <si>
    <t>[10.25, 8.33, 8.02, 9.14]</t>
  </si>
  <si>
    <t>[14.66, 4.08, 12.71, nan]</t>
  </si>
  <si>
    <t>[8.13, 14.04, 11.59, 7.55]</t>
  </si>
  <si>
    <t>[5.48, 6.94, 14.24, -1.29]</t>
  </si>
  <si>
    <t>[5.36, 20.48, 2.17, nan]</t>
  </si>
  <si>
    <t>[9.39, 9.11, 9.06, nan]</t>
  </si>
  <si>
    <t>[10.96, 8.64, 9.76, 8.9]</t>
  </si>
  <si>
    <t>[7.77, 10.76, 11.5, nan]</t>
  </si>
  <si>
    <t>[8.79, 8.88, 8.77, 8.48]</t>
  </si>
  <si>
    <t>[7.74, 16.72, 11.73, 10.62]</t>
  </si>
  <si>
    <t>[21.52, 13.04, 5.51, 1.92]</t>
  </si>
  <si>
    <t>[16.7, 24.46, 16.94, nan]</t>
  </si>
  <si>
    <t>[19.4, 13.87, 15.26, nan]</t>
  </si>
  <si>
    <t>[13.79, 13.0, 15.06, 12.28]</t>
  </si>
  <si>
    <t>[22.54, 11.55, 12.76, 15.18]</t>
  </si>
  <si>
    <t>[-4.64, -17.96, 22.51, nan]</t>
  </si>
  <si>
    <t>[-6.48, 17.41, 8.89, nan]</t>
  </si>
  <si>
    <t>[9.89, 9.1, 7.28, nan]</t>
  </si>
  <si>
    <t>[9.18, 9.5, 6.89, nan]</t>
  </si>
  <si>
    <t>[5.06, 15.71, 9.98, nan]</t>
  </si>
  <si>
    <t>[15.38, 15.52, 3.92, 5.93]</t>
  </si>
  <si>
    <t>[14.53, 4.56, 30.57, nan]</t>
  </si>
  <si>
    <t>[53.52, 5.56, 11.52, nan]</t>
  </si>
  <si>
    <t>[12.53, 14.88, 4.31, 0.84]</t>
  </si>
  <si>
    <t>[10.37, 24.79, 14.26, nan]</t>
  </si>
  <si>
    <t>[26.71, 18.33, 12.03, nan]</t>
  </si>
  <si>
    <t>[18.54, 23.1, 21.11, nan]</t>
  </si>
  <si>
    <t>[14.98, 13.07, 9.36, nan]</t>
  </si>
  <si>
    <t>[4.04, 13.72, 8.05, nan]</t>
  </si>
  <si>
    <t>[85.88, 3.03, 2.54, nan]</t>
  </si>
  <si>
    <t>[nan, 10.99, 14.02, nan]</t>
  </si>
  <si>
    <t>[-5.22, 17.34, 11.79, 10.28]</t>
  </si>
  <si>
    <t>[96.96, 17.49, 12.38, nan]</t>
  </si>
  <si>
    <t>[-4.42, -10.62, 25.52, nan]</t>
  </si>
  <si>
    <t>[15.53, 16.22, 6.11, 7.27]</t>
  </si>
  <si>
    <t>[13.42, 11.14, 6.26, -0.39]</t>
  </si>
  <si>
    <t>[16.58, 11.75, 12.02, nan]</t>
  </si>
  <si>
    <t>[9.88, 7.5, 7.94, 1.94]</t>
  </si>
  <si>
    <t>[7.97, 9.25, 7.31, 6.51]</t>
  </si>
  <si>
    <t>[6.13, 7.27, 11.17, 12.66]</t>
  </si>
  <si>
    <t>[15.03, 10.95, 6.84, 8.64]</t>
  </si>
  <si>
    <t>[8.71, 12.11, 11.17, nan]</t>
  </si>
  <si>
    <t>[12.12, 13.2, 8.8, 9.48]</t>
  </si>
  <si>
    <t>[27.73, 67.41, 12.38, 14.23]</t>
  </si>
  <si>
    <t>[5.16, 4.55, 13.07, nan]</t>
  </si>
  <si>
    <t>[8.2, 8.49, 9.6, nan]</t>
  </si>
  <si>
    <t>[10.14, 12.37, 11.74, 13.04]</t>
  </si>
  <si>
    <t>[8.78, 8.15, 9.82, 9.35]</t>
  </si>
  <si>
    <t>[23.22, 16.36, 8.62, 12.47]</t>
  </si>
  <si>
    <t>[34.56, 22.21, 15.29, 13.25]</t>
  </si>
  <si>
    <t>[20.18, 24.25, 8.91, nan]</t>
  </si>
  <si>
    <t>[2.16, 18.04, 32.25, nan]</t>
  </si>
  <si>
    <t>[9.13, 9.21, 9.09, 8.24]</t>
  </si>
  <si>
    <t>[5.86, 11.3, 7.86, nan]</t>
  </si>
  <si>
    <t>[8.6, 12.93, 33.47, nan]</t>
  </si>
  <si>
    <t>[7.44, 8.34, 8.65, nan]</t>
  </si>
  <si>
    <t>[19.23, 10.94, 11.47, 2.39]</t>
  </si>
  <si>
    <t>[1.09, 15.83, 10.99, nan]</t>
  </si>
  <si>
    <t>[1.88, 1.37, 32.69, nan]</t>
  </si>
  <si>
    <t>[10.12, 19.21, 8.38, nan]</t>
  </si>
  <si>
    <t>[10.18, 8.78, 8.92, 8.54]</t>
  </si>
  <si>
    <t>[7.23, 12.5, 12.97, 13.81]</t>
  </si>
  <si>
    <t>[7.86, 8.69, 10.36, 9.63]</t>
  </si>
  <si>
    <t>[11.53, 9.78, 14.61, nan]</t>
  </si>
  <si>
    <t>[-18.59, 50.09, 2.96, nan]</t>
  </si>
  <si>
    <t>[40.14, 24.08, 19.05, nan]</t>
  </si>
  <si>
    <t>[36.5, 125.09, 30.35, nan]</t>
  </si>
  <si>
    <t>[16.04, 11.08, 14.9, nan]</t>
  </si>
  <si>
    <t>[-6.72, -14.94, 19.76, nan]</t>
  </si>
  <si>
    <t>[41.0, 31.2, 40.8, nan]</t>
  </si>
  <si>
    <t>[23.62, 18.89, 10.19, 5.43]</t>
  </si>
  <si>
    <t>[9.07, 4.31, 22.13, 1.06]</t>
  </si>
  <si>
    <t>[29.26, 20.22, 15.9, 12.76]</t>
  </si>
  <si>
    <t>[12.34, 23.45, 11.84, 17.98]</t>
  </si>
  <si>
    <t>[33.49, 16.44, 14.59, nan]</t>
  </si>
  <si>
    <t>[15.31, 2.93, 20.68, nan]</t>
  </si>
  <si>
    <t>[18.13, 13.06, 25.44, nan]</t>
  </si>
  <si>
    <t>[46.14, 13.13, 14.49, 7.31]</t>
  </si>
  <si>
    <t>[22.24, 18.7, 23.04, nan]</t>
  </si>
  <si>
    <t>[19.78, 16.67, 19.94, nan]</t>
  </si>
  <si>
    <t>[2.11, -52.2, 19.28, nan]</t>
  </si>
  <si>
    <t>[32.95, 15.59, 6.86, nan]</t>
  </si>
  <si>
    <t>[5.98, 16.32, 5.44, nan]</t>
  </si>
  <si>
    <t>[23.25, 12.42, 19.83, nan]</t>
  </si>
  <si>
    <t>[19.59, 17.7, 14.52, 21.1]</t>
  </si>
  <si>
    <t>[67.38, 36.08, 10.78, 8.57]</t>
  </si>
  <si>
    <t>[15.71, 11.38, 12.39, 12.31]</t>
  </si>
  <si>
    <t>[15.92, 11.03, 14.41, nan]</t>
  </si>
  <si>
    <t>[10.51, 14.58, 18.57, nan]</t>
  </si>
  <si>
    <t>[nan, 18.39, 17.14, 14.84]</t>
  </si>
  <si>
    <t>[2.99, 5.15, 33.12, nan]</t>
  </si>
  <si>
    <t>[6.91, 13.95, 26.19, 0.42]</t>
  </si>
  <si>
    <t>[10.91, 21.46, 3.16, 15.16]</t>
  </si>
  <si>
    <t>[37.74, 17.2, 16.33, nan]</t>
  </si>
  <si>
    <t>[36.8, 38.53, 4.25, 7.41]</t>
  </si>
  <si>
    <t>[20.41, 16.51, 21.46, nan]</t>
  </si>
  <si>
    <t>[15.82, 8.51, 14.07, nan]</t>
  </si>
  <si>
    <t>[51.21, 34.73, 35.97, nan]</t>
  </si>
  <si>
    <t>[16.04, 17.08, 14.98, 10.87]</t>
  </si>
  <si>
    <t>[17.36, 10.84, 16.97, 22.2]</t>
  </si>
  <si>
    <t>[23.24, 20.91, 6.97, 10.89]</t>
  </si>
  <si>
    <t>[26.45, 27.35, 25.33, 22.68]</t>
  </si>
  <si>
    <t>[29.03, 20.8, 1.79, nan]</t>
  </si>
  <si>
    <t>[10.71, 15.7, 6.43, nan]</t>
  </si>
  <si>
    <t>[32.39, 31.64, 21.36, 21.16]</t>
  </si>
  <si>
    <t>[28.66, 31.64, 25.13, 15.84]</t>
  </si>
  <si>
    <t>[15.85, 14.21, 12.7, nan]</t>
  </si>
  <si>
    <t>[3.28, 14.63, 35.27, 23.58]</t>
  </si>
  <si>
    <t>[46.48, 28.08, 26.22, nan]</t>
  </si>
  <si>
    <t>[30.56, 35.33, 20.86, nan]</t>
  </si>
  <si>
    <t>[-28.87, -117.02, 81.43, nan]</t>
  </si>
  <si>
    <t>[25.0, 22.21, 11.5, -9.6]</t>
  </si>
  <si>
    <t>[19.95, 5.04, 6.26, nan]</t>
  </si>
  <si>
    <t>[9.9, 19.4, 16.91, 10.53]</t>
  </si>
  <si>
    <t>[73.32, 22.09, 9.03, 12.83]</t>
  </si>
  <si>
    <t>[0, 21.05, 17.63, nan, 13.26]</t>
  </si>
  <si>
    <t>[23.89, 11.45, 10.78, nan]</t>
  </si>
  <si>
    <t>[1.6, -12.18, 40.27, nan]</t>
  </si>
  <si>
    <t>[0, 39.83, 30.62, nan, 42.72]</t>
  </si>
  <si>
    <t>[20.4, 16.15, 12.68, 11.46]</t>
  </si>
  <si>
    <t>[0, 25.53, 22.88, nan, nan]</t>
  </si>
  <si>
    <t>[29.71, 26.8, 22.72, 21.71]</t>
  </si>
  <si>
    <t>[112.67, 51.64, 25.95, nan]</t>
  </si>
  <si>
    <t>[35.63, 18.28, 13.3, nan]</t>
  </si>
  <si>
    <t>[8.43, 9.27, 11.4, nan]</t>
  </si>
  <si>
    <t>[19.44, 17.04, 15.47, 10.43]</t>
  </si>
  <si>
    <t>[-11.22, 21.34, 13.73, 6.73]</t>
  </si>
  <si>
    <t>[nan, 178.68, 95.79, nan]</t>
  </si>
  <si>
    <t>[0, 17.59, 10.18, nan, 16.1]</t>
  </si>
  <si>
    <t>[21.01, 19.63, 8.69, 10.44]</t>
  </si>
  <si>
    <t>[59.74, 6.73, 1.33, nan]</t>
  </si>
  <si>
    <t>[5.52, 20.86, 20.45, 10.24]</t>
  </si>
  <si>
    <t>[15.29, 19.36, 18.19, nan]</t>
  </si>
  <si>
    <t>[25.71, 63.52, 21.24, 15.82]</t>
  </si>
  <si>
    <t>[114.7, -7.87, 18.32, 16.23]</t>
  </si>
  <si>
    <t>[-4.73, 20.26, 36.0, 38.78]</t>
  </si>
  <si>
    <t>[-42.51, 21.27, 5.7, nan]</t>
  </si>
  <si>
    <t>[-15.84, 23.41, 34.66, nan]</t>
  </si>
  <si>
    <t>[30.78, 24.53, 18.13, nan]</t>
  </si>
  <si>
    <t>[26.83, 28.76, 23.33, 15.53]</t>
  </si>
  <si>
    <t>[7.79, 7.07, 23.82, nan]</t>
  </si>
  <si>
    <t>[0, 436.59, 71.24, nan, nan]</t>
  </si>
  <si>
    <t>[22.56, 15.03, 15.07, 13.67]</t>
  </si>
  <si>
    <t>[19.87, 23.01, 6.1, 9.93]</t>
  </si>
  <si>
    <t>[37.21, 28.48, 12.86, 4.66]</t>
  </si>
  <si>
    <t>[8.37, 11.12, 15.63, nan]</t>
  </si>
  <si>
    <t>[8.29, 17.09, 18.92, nan]</t>
  </si>
  <si>
    <t>[0, 32.29, 13.56, nan, nan]</t>
  </si>
  <si>
    <t>[21.3, 17.02, 10.82, 11.17]</t>
  </si>
  <si>
    <t>[12.48, 6.55, 10.03, 10.97]</t>
  </si>
  <si>
    <t>[7.53, 16.03, 23.81, 14.47]</t>
  </si>
  <si>
    <t>[nan, 23.54, 13.52, nan]</t>
  </si>
  <si>
    <t>[18.23, 10.6, 11.25, 11.46]</t>
  </si>
  <si>
    <t>[17.03, 14.79, 15.71, nan]</t>
  </si>
  <si>
    <t>[16.6, 15.56, 16.03, 16.15]</t>
  </si>
  <si>
    <t>[46.46, 19.3, 7.06, nan]</t>
  </si>
  <si>
    <t>[43.0, 7.19, 4.69, nan]</t>
  </si>
  <si>
    <t>[29.34, 44.95, 17.03, 6.96]</t>
  </si>
  <si>
    <t>[29.81, 22.72, 18.57, 19.73]</t>
  </si>
  <si>
    <t>[11.97, 17.46, 29.85, nan]</t>
  </si>
  <si>
    <t>[13.94, 28.23, 24.22, 30.32]</t>
  </si>
  <si>
    <t>[9.06, 16.27, 9.55, 9.77]</t>
  </si>
  <si>
    <t>[25.01, 29.43, 17.69, nan]</t>
  </si>
  <si>
    <t>[9.04, 19.02, 18.93, 18.27]</t>
  </si>
  <si>
    <t>[2.75, 10.39, 26.23, nan]</t>
  </si>
  <si>
    <t>[-1.1, 26.19, 47.71, 21.81]</t>
  </si>
  <si>
    <t>[-25.01, 8.48, 24.26, nan]</t>
  </si>
  <si>
    <t>[0, 50.71, 11.89, nan, nan]</t>
  </si>
  <si>
    <t>[0, 42.83, 33.03, 20.93, 18.35]</t>
  </si>
  <si>
    <t>[19.84, 22.47, 8.01, 27.76]</t>
  </si>
  <si>
    <t>[25.67, 22.1, 8.37, nan]</t>
  </si>
  <si>
    <t>[23.23, 25.56, 8.07, nan]</t>
  </si>
  <si>
    <t>[53.56, 106.81, 51.13, nan]</t>
  </si>
  <si>
    <t>[94.76, 12.83, 37.44, nan]</t>
  </si>
  <si>
    <t>[nan, 22.67, 3.53, nan]</t>
  </si>
  <si>
    <t>[9.8, 11.06, 21.18, nan]</t>
  </si>
  <si>
    <t>[26.66, 25.15, 15.54, nan]</t>
  </si>
  <si>
    <t>[-5.35, 46.18, 18.64, 2.02]</t>
  </si>
  <si>
    <t>[10.47, 8.88, 22.33, nan]</t>
  </si>
  <si>
    <t>[7.5, 7.62, 11.03, nan]</t>
  </si>
  <si>
    <t>[2.57, 11.62, 32.82, nan]</t>
  </si>
  <si>
    <t>[35.84, 49.27, 24.22, 20.25]</t>
  </si>
  <si>
    <t>[68.9, 33.48, -3.01, nan]</t>
  </si>
  <si>
    <t>[0, 91.73, 35.28, 41.72, 37.03]</t>
  </si>
  <si>
    <t>[21.76, 186.12, 5.06, nan]</t>
  </si>
  <si>
    <t>[23.86, 34.87, 3.01, nan]</t>
  </si>
  <si>
    <t>[4.61, 3.82, 3.04, nan]</t>
  </si>
  <si>
    <t>[9.89, 8.07, 6.74, nan]</t>
  </si>
  <si>
    <t>[0.2, 14.01, 19.91, 16.9]</t>
  </si>
  <si>
    <t>[40.81, 4.02, 3.84, 6.69]</t>
  </si>
  <si>
    <t>[12.54, 5.44, 7.47, nan]</t>
  </si>
  <si>
    <t>[4.49, 2.98, 4.38, nan]</t>
  </si>
  <si>
    <t>[13.79, 7.79, 5.62, nan]</t>
  </si>
  <si>
    <t>[15.56, 9.24, 6.05, nan]</t>
  </si>
  <si>
    <t>[20.99, 17.25, 14.97, 22.98]</t>
  </si>
  <si>
    <t>[4.42, 4.41, 4.64, nan]</t>
  </si>
  <si>
    <t>[7.3, 7.13, 12.7, nan]</t>
  </si>
  <si>
    <t>[11.41, 4.89, 18.81, nan]</t>
  </si>
  <si>
    <t>[29.69, nan, 2.37, nan]</t>
  </si>
  <si>
    <t>[8.25, 3.93, 2.2, nan]</t>
  </si>
  <si>
    <t>[19.25, 8.59, 8.74, nan]</t>
  </si>
  <si>
    <t>[20.6, 4.95, 27.38, nan]</t>
  </si>
  <si>
    <t>[6.11, 8.27, 11.2, nan]</t>
  </si>
  <si>
    <t>[5.04, 4.28, 8.97, nan]</t>
  </si>
  <si>
    <t>[13.74, 2.22, 4.62, nan]</t>
  </si>
  <si>
    <t>[4.92, 12.02, 11.59, nan]</t>
  </si>
  <si>
    <t>[20.79, 27.16, 5.67, nan]</t>
  </si>
  <si>
    <t>[5.84, 6.24, 3.85, nan]</t>
  </si>
  <si>
    <t>[6.92, 5.61, 55.93, nan]</t>
  </si>
  <si>
    <t>[2.96, 4.46, 12.19, nan]</t>
  </si>
  <si>
    <t>[nan, 2.76, 3.71, nan]</t>
  </si>
  <si>
    <t>[11.02, 10.95, 4.66, nan]</t>
  </si>
  <si>
    <t>[6.5, 6.97, 8.79, nan]</t>
  </si>
  <si>
    <t>[16.94, 70.47, 4.62, nan]</t>
  </si>
  <si>
    <t>[24.38, 8.79, 10.09, nan]</t>
  </si>
  <si>
    <t>[4.73, 4.08, 4.91, 5.12]</t>
  </si>
  <si>
    <t>[10.88, 14.93, 4.71, 8.12]</t>
  </si>
  <si>
    <t>[11.97, 7.76, 11.26, nan]</t>
  </si>
  <si>
    <t>[3.44, 1.2, 2.38, nan]</t>
  </si>
  <si>
    <t>[8.62, 4.98, 4.09, nan]</t>
  </si>
  <si>
    <t>[9.05, 9.83, 8.95, 5.41]</t>
  </si>
  <si>
    <t>[15.55, 18.63, 11.17, nan]</t>
  </si>
  <si>
    <t>[15.23, 16.55, 15.37, 11.83]</t>
  </si>
  <si>
    <t>[6.28, 7.56, 3.9, nan]</t>
  </si>
  <si>
    <t>[9.13, 4.26, 12.89, nan]</t>
  </si>
  <si>
    <t>[3.0, 2.15, 1.86, nan]</t>
  </si>
  <si>
    <t>[6.23, 6.43, 9.52, 9.71]</t>
  </si>
  <si>
    <t>[13.83, 8.8, 8.9, 7.29]</t>
  </si>
  <si>
    <t>[6.58, 4.88, 6.65, nan]</t>
  </si>
  <si>
    <t>[12.77, 10.26, 1.22, nan]</t>
  </si>
  <si>
    <t>[18.75, 18.75, 4.11, nan]</t>
  </si>
  <si>
    <t>[14.98, 5.03, 6.46, nan]</t>
  </si>
  <si>
    <t>[nan, 13.55, 8.06, nan]</t>
  </si>
  <si>
    <t>[23.76, 22.56, 6.87, nan]</t>
  </si>
  <si>
    <t>[4.49, 2.82, 1.46, nan]</t>
  </si>
  <si>
    <t>[10.29, 7.24, 8.02, nan]</t>
  </si>
  <si>
    <t>[12.47, 4.48, 6.39, 5.36]</t>
  </si>
  <si>
    <t>[nan, nan, 8.68, nan]</t>
  </si>
  <si>
    <t>[7.07, 5.9, 3.81, 2.63]</t>
  </si>
  <si>
    <t>[13.12, 3.99, 6.0, nan]</t>
  </si>
  <si>
    <t>[8.33, 6.92, 5.28, 6.73]</t>
  </si>
  <si>
    <t>[nan, nan, 11.08, nan]</t>
  </si>
  <si>
    <t>[nan, nan, 4.5, nan]</t>
  </si>
  <si>
    <t>[9.29, 5.62, 5.41, nan]</t>
  </si>
  <si>
    <t>[12.26, 11.41, 4.2, nan]</t>
  </si>
  <si>
    <t>[nan, nan, 11.87, 32.08]</t>
  </si>
  <si>
    <t>[12.98, 8.53, 13.97, nan]</t>
  </si>
  <si>
    <t>[11.73, 6.18, 6.51, nan]</t>
  </si>
  <si>
    <t>[nan, 7.78, 8.94, 7.16]</t>
  </si>
  <si>
    <t>[5.21, 2.79, 5.25, nan]</t>
  </si>
  <si>
    <t>[7.97, 6.74, 4.45, nan]</t>
  </si>
  <si>
    <t>[10.17, 5.7, 7.14, nan]</t>
  </si>
  <si>
    <t>[nan, 28.95, 8.16, nan]</t>
  </si>
  <si>
    <t>[2.96, 3.12, 5.73, 26.57]</t>
  </si>
  <si>
    <t>[6.13, 3.45, 4.15, nan]</t>
  </si>
  <si>
    <t>[14.98, 10.58, 1.96, nan]</t>
  </si>
  <si>
    <t>[5.19, 4.83, 4.8, nan]</t>
  </si>
  <si>
    <t>[7.14, 6.2, 7.22, nan]</t>
  </si>
  <si>
    <t>[10.56, 9.52, 8.8, 8.93]</t>
  </si>
  <si>
    <t>[7.57, 5.4, 5.11, nan]</t>
  </si>
  <si>
    <t>[7.05, 2.94, 7.5, nan]</t>
  </si>
  <si>
    <t>[4.95, 12.07, 7.53, nan]</t>
  </si>
  <si>
    <t>[31.08, 156.96, 1.46, nan]</t>
  </si>
  <si>
    <t>[5.37, 3.67, 2.62, nan]</t>
  </si>
  <si>
    <t>[5.33, 5.46, 6.49, nan]</t>
  </si>
  <si>
    <t>[51.01, 13.49, 12.57, nan]</t>
  </si>
  <si>
    <t>[9.69, 7.3, 6.62, nan]</t>
  </si>
  <si>
    <t>[31.58, 33.01, 5.39, nan]</t>
  </si>
  <si>
    <t>[7.23, 84.96, 6.26, nan]</t>
  </si>
  <si>
    <t>[3.99, 3.42, 2.6, nan]</t>
  </si>
  <si>
    <t>[4.2, 3.51, 3.14, nan]</t>
  </si>
  <si>
    <t>[nan, 3.67, 5.07, nan]</t>
  </si>
  <si>
    <t>[nan, 4.05, 9.99, nan]</t>
  </si>
  <si>
    <t>[19.6, 5.62, 15.72, nan]</t>
  </si>
  <si>
    <t>[64.15, 71.39, 1.28, nan]</t>
  </si>
  <si>
    <t>[6.67, 5.18, 5.84, nan]</t>
  </si>
  <si>
    <t>[7.16, 7.17, 6.27, nan]</t>
  </si>
  <si>
    <t>[12.66, 5.38, 7.39, 11.79]</t>
  </si>
  <si>
    <t>[16.38, 8.56, 8.77, 10.18]</t>
  </si>
  <si>
    <t>[7.87, 12.34, 7.09, nan]</t>
  </si>
  <si>
    <t>[nan, 7.82, 3.64, nan]</t>
  </si>
  <si>
    <t>[9.78, 7.04, 7.63, nan]</t>
  </si>
  <si>
    <t>[14.14, 4.37, 67.05, nan]</t>
  </si>
  <si>
    <t>[14.24, 6.58, 9.69, nan]</t>
  </si>
  <si>
    <t>[6.15, 4.03, 33.25, nan]</t>
  </si>
  <si>
    <t>[nan, 2.16, 9.08, nan]</t>
  </si>
  <si>
    <t>[7.83, 5.88, 3.62, nan]</t>
  </si>
  <si>
    <t>[11.26, 10.53, 5.49, nan]</t>
  </si>
  <si>
    <t>[9.85, 9.82, 7.11, nan]</t>
  </si>
  <si>
    <t>[8.57, 4.22, 14.4, nan]</t>
  </si>
  <si>
    <t>[12.35, 6.31, 10.56, nan]</t>
  </si>
  <si>
    <t>[8.37, 7.58, 7.61, nan]</t>
  </si>
  <si>
    <t>[5.36, 5.48, 6.94, nan]</t>
  </si>
  <si>
    <t>[3.52, 9.59, 129.11, nan]</t>
  </si>
  <si>
    <t>[6.05, 4.85, 4.66, 4.07]</t>
  </si>
  <si>
    <t>[6.26, 9.48, 7.79, nan]</t>
  </si>
  <si>
    <t>[18.31, 12.01, 10.74, 12.65]</t>
  </si>
  <si>
    <t>[13.58, 1.77, 13.23, nan]</t>
  </si>
  <si>
    <t>[5.15, 11.52, 5.4, nan]</t>
  </si>
  <si>
    <t>[17.58, 19.56, 13.28, 9.4]</t>
  </si>
  <si>
    <t>[7.85, 7.05, 8.37, nan]</t>
  </si>
  <si>
    <t>[7.59, 6.36, 9.85, nan]</t>
  </si>
  <si>
    <t>[4.52, 5.6, 6.53, nan]</t>
  </si>
  <si>
    <t>[nan, 64.55, 2.41, nan]</t>
  </si>
  <si>
    <t>[4.95, 5.06, 4.07, nan]</t>
  </si>
  <si>
    <t>[10.3, 11.15, 7.88, nan]</t>
  </si>
  <si>
    <t>[11.92, 10.86, 8.02, 5.63]</t>
  </si>
  <si>
    <t>[10.24, 8.58, 8.19, nan]</t>
  </si>
  <si>
    <t>[5.32, 6.06, 5.16, nan]</t>
  </si>
  <si>
    <t>[6.68, 6.6, 12.02, 8.03]</t>
  </si>
  <si>
    <t>[7.87, 10.52, 11.56, 31.34]</t>
  </si>
  <si>
    <t>[7.65, 6.19, 3.3, nan]</t>
  </si>
  <si>
    <t>[16.85, 12.57, 7.3, 4.96]</t>
  </si>
  <si>
    <t>[7.52, 5.21, 6.66, nan]</t>
  </si>
  <si>
    <t>[8.19, 7.22, 7.72, nan]</t>
  </si>
  <si>
    <t>[11.1, 19.12, 6.06, nan]</t>
  </si>
  <si>
    <t>[11.21, 10.65, 7.64, 6.55]</t>
  </si>
  <si>
    <t>[7.38, 24.38, 7.78, nan]</t>
  </si>
  <si>
    <t>[12.14, 6.41, 4.82, 9.58]</t>
  </si>
  <si>
    <t>[16.2, 10.55, 5.4, nan]</t>
  </si>
  <si>
    <t>[9.31, 1.67, 20.31, nan]</t>
  </si>
  <si>
    <t>[4.45, 4.25, 3.98, nan]</t>
  </si>
  <si>
    <t>[14.79, 15.47, 12.67, 12.05]</t>
  </si>
  <si>
    <t>[13.89, 5.73, 4.46, nan]</t>
  </si>
  <si>
    <t>[7.24, 4.86, 4.63, 4.28]</t>
  </si>
  <si>
    <t>[18.77, 4.93, 6.92, 9.07]</t>
  </si>
  <si>
    <t>[5.62, 6.01, 10.74, 38.73]</t>
  </si>
  <si>
    <t>[2.95, 2.18, 2.53, nan]</t>
  </si>
  <si>
    <t>[5.81, 5.18, 4.15, nan]</t>
  </si>
  <si>
    <t>[8.18, 7.11, 4.8, 5.25]</t>
  </si>
  <si>
    <t>[6.76, 10.46, 6.75, 4.47]</t>
  </si>
  <si>
    <t>[nan, nan, 3.0, nan]</t>
  </si>
  <si>
    <t>[nan, 6.69, 9.2, nan]</t>
  </si>
  <si>
    <t>[8.9, 6.71, 8.59, nan]</t>
  </si>
  <si>
    <t>[8.92, 5.9, 7.9, nan]</t>
  </si>
  <si>
    <t>[18.75, 5.01, 6.89, nan]</t>
  </si>
  <si>
    <t>[8.29, 6.96, 21.59, 13.94]</t>
  </si>
  <si>
    <t>[5.11, 14.55, 1.52, nan]</t>
  </si>
  <si>
    <t>[1.81, 6.62, 2.96, nan]</t>
  </si>
  <si>
    <t>[11.97, 8.18, 25.91, 119.48]</t>
  </si>
  <si>
    <t>[4.96, 3.01, 4.3, nan]</t>
  </si>
  <si>
    <t>[6.87, 6.15, 5.84, nan]</t>
  </si>
  <si>
    <t>[11.42, 8.32, 8.12, nan]</t>
  </si>
  <si>
    <t>[7.51, 5.82, 9.78, nan]</t>
  </si>
  <si>
    <t>[16.6, 5.27, 7.45, nan]</t>
  </si>
  <si>
    <t>[0.76, 19.02, 23.05, nan]</t>
  </si>
  <si>
    <t>[13.54, 9.04, 6.1, nan]</t>
  </si>
  <si>
    <t>[nan, 5.97, 5.61, 6.01]</t>
  </si>
  <si>
    <t>[2.69, 9.04, 9.4, nan]</t>
  </si>
  <si>
    <t>[nan, nan, 2.77, nan]</t>
  </si>
  <si>
    <t>[7.99, 3.88, 7.18, 12.18]</t>
  </si>
  <si>
    <t>[5.97, 5.41, 8.98, nan]</t>
  </si>
  <si>
    <t>[6.79, 8.45, 8.11, nan]</t>
  </si>
  <si>
    <t>[9.77, 9.22, 8.04, 20.86]</t>
  </si>
  <si>
    <t>[5.9, 3.69, 3.68, 4.05]</t>
  </si>
  <si>
    <t>[18.82, 13.91, 7.79, 6.81]</t>
  </si>
  <si>
    <t>[7.62, 9.36, 9.81, 5.91]</t>
  </si>
  <si>
    <t>[14.62, 8.16, 7.11, nan]</t>
  </si>
  <si>
    <t>[9.5, 7.5, 9.44, 6.01]</t>
  </si>
  <si>
    <t>[10.13, 0.82, 5.01, 5.44]</t>
  </si>
  <si>
    <t>[14.23, 12.44, 3.46, nan]</t>
  </si>
  <si>
    <t>[10.57, 9.88, 5.43, nan]</t>
  </si>
  <si>
    <t>[6.48, 6.12, 5.25, 3.8]</t>
  </si>
  <si>
    <t>[12.84, 15.03, 9.13, 7.82]</t>
  </si>
  <si>
    <t>[8.64, 4.77, 8.61, 6.72]</t>
  </si>
  <si>
    <t>[2.21, 2.06, 3.05, 4.65]</t>
  </si>
  <si>
    <t>[3.62, 2.22, 6.01, nan]</t>
  </si>
  <si>
    <t>[31.03, 5.22, 2.66, nan]</t>
  </si>
  <si>
    <t>[8.03, 5.95, 6.19, 5.05]</t>
  </si>
  <si>
    <t>[17.2, 7.76, 9.99, nan]</t>
  </si>
  <si>
    <t>[9.72, 8.52, 3.82, nan]</t>
  </si>
  <si>
    <t>[9.85, 6.96, 6.64, nan]</t>
  </si>
  <si>
    <t>[4.62, 6.95, 6.21, 38.21]</t>
  </si>
  <si>
    <t>[32.46, 3.57, 4.37, nan]</t>
  </si>
  <si>
    <t>[67.63, 64.56, 1.59, nan]</t>
  </si>
  <si>
    <t>[4.51, 2.37, 5.19, nan]</t>
  </si>
  <si>
    <t>[8.01, 6.35, 6.01, 5.69]</t>
  </si>
  <si>
    <t>[7.71, 5.4, 7.05, 6.61]</t>
  </si>
  <si>
    <t>[5.1, 3.89, 3.16, 3.2]</t>
  </si>
  <si>
    <t>[7.54, 7.66, 4.6, nan]</t>
  </si>
  <si>
    <t>[nan, 3.13, 56.74, nan]</t>
  </si>
  <si>
    <t>[nan, 4.87, 6.3, nan]</t>
  </si>
  <si>
    <t>[nan, nan, nan, nan]</t>
  </si>
  <si>
    <t>[14.65, 14.65, 9.46, nan]</t>
  </si>
  <si>
    <t>[nan, nan, 6.82, nan]</t>
  </si>
  <si>
    <t>[7.34, 8.23, 12.55, 24.41]</t>
  </si>
  <si>
    <t>[14.97, 22.53, 4.24, 119.39]</t>
  </si>
  <si>
    <t>[7.07, 7.87, 12.58, 11.54]</t>
  </si>
  <si>
    <t>[15.6, 5.95, 8.81, 9.28]</t>
  </si>
  <si>
    <t>[13.99, 7.08, 14.05, nan]</t>
  </si>
  <si>
    <t>[5.41, 34.54, 4.25, nan]</t>
  </si>
  <si>
    <t>[12.37, 10.78, 4.1, nan]</t>
  </si>
  <si>
    <t>[6.4, 11.77, 12.8, 18.11]</t>
  </si>
  <si>
    <t>[3.52, 3.39, 3.17, nan]</t>
  </si>
  <si>
    <t>[7.29, 4.68, 4.6, nan]</t>
  </si>
  <si>
    <t>[39.43, nan, 6.53, nan]</t>
  </si>
  <si>
    <t>[nan, 11.05, 12.95, nan]</t>
  </si>
  <si>
    <t>[14.29, 6.64, 17.35, nan]</t>
  </si>
  <si>
    <t>[7.52, 4.3, 5.32, nan]</t>
  </si>
  <si>
    <t>[6.94, 7.61, 7.86, 5.85]</t>
  </si>
  <si>
    <t>[nan, nan, 28.44, 22.69]</t>
  </si>
  <si>
    <t>[13.63, 15.46, 12.42, 10.59]</t>
  </si>
  <si>
    <t>[10.19, 14.34, 8.77, nan]</t>
  </si>
  <si>
    <t>[13.86, 7.07, 5.79, nan]</t>
  </si>
  <si>
    <t>[14.08, 10.46, 10.5, 8.58]</t>
  </si>
  <si>
    <t>[30.6, 23.44, 5.16, nan]</t>
  </si>
  <si>
    <t>[19.44, 9.1, 6.33, 315.66]</t>
  </si>
  <si>
    <t>[14.33, 6.1, 27.12, 7.34]</t>
  </si>
  <si>
    <t>[nan, 17.36, 13.7, nan]</t>
  </si>
  <si>
    <t>[5.23, 2.83, 34.03, 21.66]</t>
  </si>
  <si>
    <t>[9.55, 9.57, 6.6, nan]</t>
  </si>
  <si>
    <t>[9.48, 12.81, 7.23, nan]</t>
  </si>
  <si>
    <t>[10.17, 10.35, 9.47, nan]</t>
  </si>
  <si>
    <t>[13.44, 9.26, 11.49, 11.18]</t>
  </si>
  <si>
    <t>[8.06, 10.09, 5.56, 6.29]</t>
  </si>
  <si>
    <t>[9.46, 5.88, 22.26, 13.22]</t>
  </si>
  <si>
    <t>[nan, 8.46, 7.88, 9.48]</t>
  </si>
  <si>
    <t>[7.14, 6.82, 56.01, nan]</t>
  </si>
  <si>
    <t>[9.33, 3.86, 10.13, nan]</t>
  </si>
  <si>
    <t>[17.42, 14.22, 13.97, 14.16]</t>
  </si>
  <si>
    <t>[8.63, 5.65, 15.65, 16.56]</t>
  </si>
  <si>
    <t>[18.93, 14.5, 10.84, nan]</t>
  </si>
  <si>
    <t>[nan, nan, nan, 7.66]</t>
  </si>
  <si>
    <t>[nan, nan, 13.81, nan]</t>
  </si>
  <si>
    <t>[16.86, 6.37, 13.45, nan]</t>
  </si>
  <si>
    <t>[nan, nan, 8.08, nan]</t>
  </si>
  <si>
    <t>[15.62, 7.12, 15.17, nan]</t>
  </si>
  <si>
    <t>[14.74, 25.27, 18.58, nan]</t>
  </si>
  <si>
    <t>[23.68, 7.77, 7.09, 15.11]</t>
  </si>
  <si>
    <t>[nan, 19.17, 25.19, 21.8]</t>
  </si>
  <si>
    <t>[nan, nan, 10.71, nan]</t>
  </si>
  <si>
    <t>[4.05, 8.45, 9.33, nan]</t>
  </si>
  <si>
    <t>[260.15, nan, 5.95, nan]</t>
  </si>
  <si>
    <t>[nan, nan, 8.1, nan]</t>
  </si>
  <si>
    <t>[12.3, 12.8, 12.37, 16.54]</t>
  </si>
  <si>
    <t>[nan, nan, 12.85, nan]</t>
  </si>
  <si>
    <t>[11.15, 8.57, 9.93, 8.63]</t>
  </si>
  <si>
    <t>[4.07, 9.49, 23.56, nan]</t>
  </si>
  <si>
    <t>[nan, 11.4, 12.91, nan]</t>
  </si>
  <si>
    <t>[16.6, 11.96, 14.26, nan]</t>
  </si>
  <si>
    <t>[28.4, 15.1, 15.84, 16.1]</t>
  </si>
  <si>
    <t>[nan, 5.77, 7.46, 21.57]</t>
  </si>
  <si>
    <t>[nan, nan, 10.42, nan]</t>
  </si>
  <si>
    <t>[9.4, 6.42, 17.63, 17.08]</t>
  </si>
  <si>
    <t>[nan, 54.95, 214.72, nan]</t>
  </si>
  <si>
    <t>[13.72, 7.41, 10.42, 17.43]</t>
  </si>
  <si>
    <t>[15.95, 15.06, 11.03, nan]</t>
  </si>
  <si>
    <t>[28.84, 8.95, 18.34, 23.59]</t>
  </si>
  <si>
    <t>[nan, nan, 14.3, 15.34]</t>
  </si>
  <si>
    <t>[nan, 5.08, 5.98, 7.11]</t>
  </si>
  <si>
    <t>[nan, 6.8, 29.75, nan]</t>
  </si>
  <si>
    <t>[nan, 6.52, 5.57, nan]</t>
  </si>
  <si>
    <t>[nan, 5.87, 9.73, nan]</t>
  </si>
  <si>
    <t>[30.43, 21.85, 19.83, 13.36]</t>
  </si>
  <si>
    <t>[17.09, 14.61, 3.92, nan]</t>
  </si>
  <si>
    <t>[26.56, 13.14, 14.16, 12.78]</t>
  </si>
  <si>
    <t>[5.5, 3.86, 15.41, 13.19]</t>
  </si>
  <si>
    <t>[nan, 19.74, 17.97, 42.85]</t>
  </si>
  <si>
    <t>[12.77, 15.15, 8.01, nan]</t>
  </si>
  <si>
    <t>[24.35, 9.81, 10.71, nan]</t>
  </si>
  <si>
    <t>[nan, nan, 8.45, nan]</t>
  </si>
  <si>
    <t>[8.77, 9.43, 12.29, 13.21]</t>
  </si>
  <si>
    <t>[7.57, 11.4, 11.24, 10.07]</t>
  </si>
  <si>
    <t>[15.85, 22.78, 12.14, 13.61]</t>
  </si>
  <si>
    <t>[37.84, 3.46, 12.57, nan]</t>
  </si>
  <si>
    <t>[7.49, 11.06, 10.68, 12.06]</t>
  </si>
  <si>
    <t>[23.34, 16.33, 11.25, nan]</t>
  </si>
  <si>
    <t>[20.84, 15.89, 13.01, 10.79]</t>
  </si>
  <si>
    <t>[8.51, 17.08, 113.98, nan]</t>
  </si>
  <si>
    <t>[nan, 37.28, 31.45, nan]</t>
  </si>
  <si>
    <t>[11.19, 4.24, 11.88, 45.93]</t>
  </si>
  <si>
    <t>[8.17, 4.42, 7.56, 9.24]</t>
  </si>
  <si>
    <t>[19.87, 13.78, 11.5, nan]</t>
  </si>
  <si>
    <t>[15.11, 4.61, 7.02, 9.68]</t>
  </si>
  <si>
    <t>[21.35, 6.52, 13.61, 13.13]</t>
  </si>
  <si>
    <t>[10.38, 5.12, 10.06, nan]</t>
  </si>
  <si>
    <t>[25.5, 12.28, 8.25, 8.18]</t>
  </si>
  <si>
    <t>[53.38, 13.63, 5.05, nan]</t>
  </si>
  <si>
    <t>[nan, 7.48, 7.98, 12.07]</t>
  </si>
  <si>
    <t>[nan, 39.18, 10.46, nan]</t>
  </si>
  <si>
    <t>[nan, nan, 21.02, nan]</t>
  </si>
  <si>
    <t>[nan, nan, 11.28, 9.87]</t>
  </si>
  <si>
    <t>[9.34, 3.76, 30.76, 5.97]</t>
  </si>
  <si>
    <t>[28.51, 9.19, 20.91, nan]</t>
  </si>
  <si>
    <t>[nan, nan, 19.32, nan]</t>
  </si>
  <si>
    <t>[nan, nan, 49.47, nan]</t>
  </si>
  <si>
    <t>[18.23, 16.17, 9.29, nan]</t>
  </si>
  <si>
    <t>[nan, nan, 19.71, nan]</t>
  </si>
  <si>
    <t>[nan, nan, 17.74, 97.29]</t>
  </si>
  <si>
    <t>[11.95, 11.15, 7.87, nan]</t>
  </si>
  <si>
    <t>[14.56, 8.32, 6.24, nan]</t>
  </si>
  <si>
    <t>[38.91, 7.04, 4.12, nan]</t>
  </si>
  <si>
    <t>[18.41, 6.28, 12.67, 11.58]</t>
  </si>
  <si>
    <t>[7.5, 3.11, nan, nan]</t>
  </si>
  <si>
    <t>[nan, nan, nan, 7.45]</t>
  </si>
  <si>
    <t>name</t>
  </si>
  <si>
    <t>est_level</t>
  </si>
  <si>
    <t>price</t>
  </si>
  <si>
    <t>pegr</t>
  </si>
  <si>
    <t>est_price</t>
  </si>
  <si>
    <t>est_price1</t>
  </si>
  <si>
    <t>est_price2</t>
  </si>
  <si>
    <t>disparity</t>
  </si>
  <si>
    <t>disparity1</t>
  </si>
  <si>
    <t>disparity2</t>
  </si>
  <si>
    <t>rep_roe</t>
  </si>
  <si>
    <t xml:space="preserve"> &lt; 동종업계per</t>
  </si>
  <si>
    <t>시가총액(억)</t>
  </si>
  <si>
    <t>거래량</t>
  </si>
  <si>
    <t>지배주주자본</t>
  </si>
  <si>
    <t>최대주주지분율</t>
  </si>
  <si>
    <t>ROE</t>
  </si>
  <si>
    <t>PER</t>
  </si>
  <si>
    <t>매출액</t>
  </si>
  <si>
    <t>영업이익</t>
  </si>
  <si>
    <t>EPS(원)</t>
  </si>
  <si>
    <t>자기주식수</t>
  </si>
  <si>
    <t>배당수익률</t>
  </si>
  <si>
    <t>code</t>
  </si>
  <si>
    <t>시가총액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</si>
</sst>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tabSelected="1" workbookViewId="0"/>
  </sheetViews>
  <sheetFormatPr defaultRowHeight="15"/>
  <sheetData>
    <row r="1" spans="1:24">
      <c r="B1" s="1" t="s">
        <v>943</v>
      </c>
      <c r="C1" s="1" t="s">
        <v>944</v>
      </c>
      <c r="D1" s="1" t="s">
        <v>945</v>
      </c>
      <c r="E1" s="1" t="s">
        <v>946</v>
      </c>
      <c r="F1" s="1" t="s">
        <v>947</v>
      </c>
      <c r="G1" s="1" t="s">
        <v>948</v>
      </c>
      <c r="H1" s="1" t="s">
        <v>949</v>
      </c>
      <c r="I1" s="1" t="s">
        <v>950</v>
      </c>
      <c r="J1" s="1" t="s">
        <v>951</v>
      </c>
      <c r="K1" s="1" t="s">
        <v>952</v>
      </c>
      <c r="L1" s="1" t="s">
        <v>953</v>
      </c>
      <c r="M1" s="1" t="s">
        <v>954</v>
      </c>
      <c r="N1" s="1" t="s">
        <v>967</v>
      </c>
      <c r="O1" s="1" t="s">
        <v>956</v>
      </c>
      <c r="P1" s="1" t="s">
        <v>957</v>
      </c>
      <c r="Q1" s="1" t="s">
        <v>958</v>
      </c>
      <c r="R1" s="1" t="s">
        <v>959</v>
      </c>
      <c r="S1" s="1" t="s">
        <v>960</v>
      </c>
      <c r="T1" s="1" t="s">
        <v>961</v>
      </c>
      <c r="U1" s="1" t="s">
        <v>962</v>
      </c>
      <c r="V1" s="1" t="s">
        <v>963</v>
      </c>
      <c r="W1" s="1" t="s">
        <v>964</v>
      </c>
      <c r="X1" s="1" t="s">
        <v>965</v>
      </c>
    </row>
    <row r="2" spans="1:24">
      <c r="A2" s="2">
        <f>HYPERLINK("https://finance.naver.com/item/coinfo.nhn?code=095570", "A095570")</f>
        <v>0</v>
      </c>
      <c r="B2">
        <f>HYPERLINK("http://comp.fnguide.com/SVO2/ASP/SVD_Consensus.asp?pGB=1&amp;gicode=A095570&amp;cID=&amp;MenuYn=Y&amp;ReportGB=&amp;NewMenuID=108&amp;stkGb=701", "AJ네트웍스")</f>
        <v>0</v>
      </c>
      <c r="C2">
        <v>3</v>
      </c>
      <c r="D2">
        <v>4365</v>
      </c>
      <c r="E2">
        <v>0.25</v>
      </c>
      <c r="F2">
        <v>7536</v>
      </c>
      <c r="G2">
        <v>7211</v>
      </c>
      <c r="H2">
        <v>7118</v>
      </c>
      <c r="I2">
        <v>-72.65000000000001</v>
      </c>
      <c r="J2">
        <v>-65.19</v>
      </c>
      <c r="K2">
        <v>-63.07</v>
      </c>
      <c r="L2">
        <v>8.6</v>
      </c>
      <c r="M2" t="b">
        <v>1</v>
      </c>
      <c r="N2">
        <v>2044</v>
      </c>
      <c r="O2">
        <v>243752</v>
      </c>
      <c r="P2" t="s">
        <v>0</v>
      </c>
      <c r="Q2">
        <v>72.18000000000001</v>
      </c>
      <c r="R2" t="s">
        <v>316</v>
      </c>
      <c r="S2" t="s">
        <v>632</v>
      </c>
      <c r="T2">
        <v>12028</v>
      </c>
      <c r="U2">
        <v>178</v>
      </c>
      <c r="V2">
        <v>982</v>
      </c>
      <c r="W2">
        <v>1284859</v>
      </c>
      <c r="X2">
        <v>6.04</v>
      </c>
    </row>
    <row r="3" spans="1:24">
      <c r="A3" s="2">
        <f>HYPERLINK("https://finance.naver.com/item/coinfo.nhn?code=014100", "A014100")</f>
        <v>0</v>
      </c>
      <c r="B3">
        <f>HYPERLINK("http://comp.fnguide.com/SVO2/ASP/SVD_Consensus.asp?pGB=1&amp;gicode=A014100&amp;cID=&amp;MenuYn=Y&amp;ReportGB=&amp;NewMenuID=108&amp;stkGb=701", "메디앙스")</f>
        <v>0</v>
      </c>
      <c r="C3">
        <v>3</v>
      </c>
      <c r="D3">
        <v>4195</v>
      </c>
      <c r="E3">
        <v>0.05</v>
      </c>
      <c r="F3">
        <v>27128</v>
      </c>
      <c r="G3">
        <v>15204</v>
      </c>
      <c r="H3">
        <v>11803</v>
      </c>
      <c r="I3">
        <v>-546.6799999999999</v>
      </c>
      <c r="J3">
        <v>-262.44</v>
      </c>
      <c r="K3">
        <v>-181.37</v>
      </c>
      <c r="L3">
        <v>29.76</v>
      </c>
      <c r="M3" t="b">
        <v>1</v>
      </c>
      <c r="N3">
        <v>495</v>
      </c>
      <c r="O3">
        <v>0</v>
      </c>
      <c r="P3" t="s">
        <v>1</v>
      </c>
      <c r="Q3">
        <v>30.49</v>
      </c>
      <c r="R3" t="s">
        <v>317</v>
      </c>
      <c r="S3" t="s">
        <v>633</v>
      </c>
      <c r="T3">
        <v>973</v>
      </c>
      <c r="U3">
        <v>16</v>
      </c>
      <c r="V3">
        <v>2877</v>
      </c>
      <c r="W3">
        <v>236868</v>
      </c>
    </row>
    <row r="4" spans="1:24">
      <c r="A4" s="2">
        <f>HYPERLINK("https://finance.naver.com/item/coinfo.nhn?code=005710", "A005710")</f>
        <v>0</v>
      </c>
      <c r="B4">
        <f>HYPERLINK("http://comp.fnguide.com/SVO2/ASP/SVD_Consensus.asp?pGB=1&amp;gicode=A005710&amp;cID=&amp;MenuYn=Y&amp;ReportGB=&amp;NewMenuID=108&amp;stkGb=701", "대원산업")</f>
        <v>0</v>
      </c>
      <c r="C4">
        <v>3</v>
      </c>
      <c r="D4">
        <v>5700</v>
      </c>
      <c r="E4">
        <v>0.05</v>
      </c>
      <c r="F4">
        <v>24541</v>
      </c>
      <c r="G4">
        <v>19136</v>
      </c>
      <c r="H4">
        <v>17594</v>
      </c>
      <c r="I4">
        <v>-330.55</v>
      </c>
      <c r="J4">
        <v>-235.72</v>
      </c>
      <c r="K4">
        <v>-208.67</v>
      </c>
      <c r="L4">
        <v>12.6</v>
      </c>
      <c r="M4" t="b">
        <v>1</v>
      </c>
      <c r="N4">
        <v>1142</v>
      </c>
      <c r="O4">
        <v>10498</v>
      </c>
      <c r="P4" t="s">
        <v>2</v>
      </c>
      <c r="Q4">
        <v>61.55</v>
      </c>
      <c r="R4" t="s">
        <v>318</v>
      </c>
      <c r="S4" t="s">
        <v>634</v>
      </c>
      <c r="T4">
        <v>6610</v>
      </c>
      <c r="U4">
        <v>263</v>
      </c>
      <c r="V4">
        <v>1950</v>
      </c>
      <c r="X4">
        <v>2.11</v>
      </c>
    </row>
    <row r="5" spans="1:24">
      <c r="A5" s="2">
        <f>HYPERLINK("https://finance.naver.com/item/coinfo.nhn?code=023910", "A023910")</f>
        <v>0</v>
      </c>
      <c r="B5">
        <f>HYPERLINK("http://comp.fnguide.com/SVO2/ASP/SVD_Consensus.asp?pGB=1&amp;gicode=A023910&amp;cID=&amp;MenuYn=Y&amp;ReportGB=&amp;NewMenuID=108&amp;stkGb=701", "대한약품")</f>
        <v>0</v>
      </c>
      <c r="C5">
        <v>3</v>
      </c>
      <c r="D5">
        <v>31200</v>
      </c>
      <c r="E5">
        <v>0.51</v>
      </c>
      <c r="F5">
        <v>71602</v>
      </c>
      <c r="G5">
        <v>45296</v>
      </c>
      <c r="H5">
        <v>37794</v>
      </c>
      <c r="I5">
        <v>-129.49</v>
      </c>
      <c r="J5">
        <v>-45.18</v>
      </c>
      <c r="K5">
        <v>-21.13</v>
      </c>
      <c r="L5">
        <v>20.55</v>
      </c>
      <c r="M5" t="b">
        <v>1</v>
      </c>
      <c r="N5">
        <v>1872</v>
      </c>
      <c r="O5">
        <v>33343</v>
      </c>
      <c r="P5" t="s">
        <v>3</v>
      </c>
      <c r="Q5">
        <v>34.95</v>
      </c>
      <c r="R5" t="s">
        <v>319</v>
      </c>
      <c r="S5" t="s">
        <v>635</v>
      </c>
      <c r="T5">
        <v>1688</v>
      </c>
      <c r="U5">
        <v>336</v>
      </c>
      <c r="V5">
        <v>4694</v>
      </c>
      <c r="X5">
        <v>1.26</v>
      </c>
    </row>
    <row r="6" spans="1:24">
      <c r="A6" s="2">
        <f>HYPERLINK("https://finance.naver.com/item/coinfo.nhn?code=027410", "A027410")</f>
        <v>0</v>
      </c>
      <c r="B6">
        <f>HYPERLINK("http://comp.fnguide.com/SVO2/ASP/SVD_Consensus.asp?pGB=1&amp;gicode=A027410&amp;cID=&amp;MenuYn=Y&amp;ReportGB=&amp;NewMenuID=108&amp;stkGb=701", "BGF")</f>
        <v>0</v>
      </c>
      <c r="C6">
        <v>3</v>
      </c>
      <c r="D6">
        <v>4590</v>
      </c>
      <c r="E6">
        <v>-0.52</v>
      </c>
      <c r="F6">
        <v>145153</v>
      </c>
      <c r="G6">
        <v>67409</v>
      </c>
      <c r="H6">
        <v>45236</v>
      </c>
      <c r="I6">
        <v>-3062.38</v>
      </c>
      <c r="J6">
        <v>-1368.61</v>
      </c>
      <c r="K6">
        <v>-885.54</v>
      </c>
      <c r="L6">
        <v>73.78</v>
      </c>
      <c r="M6" t="b">
        <v>0</v>
      </c>
      <c r="N6">
        <v>4393</v>
      </c>
      <c r="O6">
        <v>181165</v>
      </c>
      <c r="P6" t="s">
        <v>4</v>
      </c>
      <c r="Q6">
        <v>69.70999999999999</v>
      </c>
      <c r="R6" t="s">
        <v>320</v>
      </c>
      <c r="S6" t="s">
        <v>636</v>
      </c>
      <c r="T6">
        <v>2403</v>
      </c>
      <c r="U6">
        <v>294</v>
      </c>
      <c r="V6">
        <v>281</v>
      </c>
      <c r="W6">
        <v>8024</v>
      </c>
      <c r="X6">
        <v>1.96</v>
      </c>
    </row>
    <row r="7" spans="1:24">
      <c r="A7" s="2">
        <f>HYPERLINK("https://finance.naver.com/item/coinfo.nhn?code=067990", "A067990")</f>
        <v>0</v>
      </c>
      <c r="B7">
        <f>HYPERLINK("http://comp.fnguide.com/SVO2/ASP/SVD_Consensus.asp?pGB=1&amp;gicode=A067990&amp;cID=&amp;MenuYn=Y&amp;ReportGB=&amp;NewMenuID=108&amp;stkGb=701", "도이치모터스")</f>
        <v>0</v>
      </c>
      <c r="C7">
        <v>3</v>
      </c>
      <c r="D7">
        <v>6310</v>
      </c>
      <c r="E7">
        <v>0.07000000000000001</v>
      </c>
      <c r="F7">
        <v>23697</v>
      </c>
      <c r="G7">
        <v>14995</v>
      </c>
      <c r="H7">
        <v>12513</v>
      </c>
      <c r="I7">
        <v>-275.55</v>
      </c>
      <c r="J7">
        <v>-137.63</v>
      </c>
      <c r="K7">
        <v>-98.3</v>
      </c>
      <c r="L7">
        <v>20.54</v>
      </c>
      <c r="M7" t="b">
        <v>1</v>
      </c>
      <c r="N7">
        <v>1769</v>
      </c>
      <c r="O7">
        <v>298410</v>
      </c>
      <c r="P7" t="s">
        <v>5</v>
      </c>
      <c r="Q7">
        <v>33.11</v>
      </c>
      <c r="R7" t="s">
        <v>321</v>
      </c>
      <c r="S7" t="s">
        <v>637</v>
      </c>
      <c r="T7">
        <v>12087</v>
      </c>
      <c r="U7">
        <v>829</v>
      </c>
      <c r="V7">
        <v>1998</v>
      </c>
      <c r="W7">
        <v>1100000</v>
      </c>
    </row>
    <row r="8" spans="1:24">
      <c r="A8" s="2">
        <f>HYPERLINK("https://finance.naver.com/item/coinfo.nhn?code=088130", "A088130")</f>
        <v>0</v>
      </c>
      <c r="B8">
        <f>HYPERLINK("http://comp.fnguide.com/SVO2/ASP/SVD_Consensus.asp?pGB=1&amp;gicode=A088130&amp;cID=&amp;MenuYn=Y&amp;ReportGB=&amp;NewMenuID=108&amp;stkGb=701", "동아엘텍")</f>
        <v>0</v>
      </c>
      <c r="C8">
        <v>3</v>
      </c>
      <c r="D8">
        <v>8150</v>
      </c>
      <c r="E8">
        <v>-20.07</v>
      </c>
      <c r="F8">
        <v>18670</v>
      </c>
      <c r="G8">
        <v>17499</v>
      </c>
      <c r="H8">
        <v>17166</v>
      </c>
      <c r="I8">
        <v>-129.08</v>
      </c>
      <c r="J8">
        <v>-114.72</v>
      </c>
      <c r="K8">
        <v>-110.62</v>
      </c>
      <c r="L8">
        <v>8.91</v>
      </c>
      <c r="M8" t="b">
        <v>1</v>
      </c>
      <c r="N8">
        <v>869</v>
      </c>
      <c r="O8">
        <v>64473</v>
      </c>
      <c r="P8" t="s">
        <v>6</v>
      </c>
      <c r="Q8">
        <v>31.01</v>
      </c>
      <c r="R8" t="s">
        <v>322</v>
      </c>
      <c r="S8" t="s">
        <v>638</v>
      </c>
      <c r="T8">
        <v>2029</v>
      </c>
      <c r="U8">
        <v>198</v>
      </c>
      <c r="V8">
        <v>1086</v>
      </c>
      <c r="W8">
        <v>807091</v>
      </c>
      <c r="X8">
        <v>1.85</v>
      </c>
    </row>
    <row r="9" spans="1:24">
      <c r="A9" s="2">
        <f>HYPERLINK("https://finance.naver.com/item/coinfo.nhn?code=013120", "A013120")</f>
        <v>0</v>
      </c>
      <c r="B9">
        <f>HYPERLINK("http://comp.fnguide.com/SVO2/ASP/SVD_Consensus.asp?pGB=1&amp;gicode=A013120&amp;cID=&amp;MenuYn=Y&amp;ReportGB=&amp;NewMenuID=108&amp;stkGb=701", "동원개발")</f>
        <v>0</v>
      </c>
      <c r="C9">
        <v>3</v>
      </c>
      <c r="D9">
        <v>4395</v>
      </c>
      <c r="E9">
        <v>0.72</v>
      </c>
      <c r="F9">
        <v>16025</v>
      </c>
      <c r="G9">
        <v>11501</v>
      </c>
      <c r="H9">
        <v>10210</v>
      </c>
      <c r="I9">
        <v>-264.63</v>
      </c>
      <c r="J9">
        <v>-161.68</v>
      </c>
      <c r="K9">
        <v>-132.32</v>
      </c>
      <c r="L9">
        <v>15.06</v>
      </c>
      <c r="M9" t="b">
        <v>1</v>
      </c>
      <c r="N9">
        <v>3991</v>
      </c>
      <c r="O9">
        <v>131368</v>
      </c>
      <c r="P9" t="s">
        <v>7</v>
      </c>
      <c r="Q9">
        <v>61.17</v>
      </c>
      <c r="R9" t="s">
        <v>323</v>
      </c>
      <c r="S9" t="s">
        <v>639</v>
      </c>
      <c r="T9">
        <v>6426</v>
      </c>
      <c r="U9">
        <v>1061</v>
      </c>
      <c r="V9">
        <v>933</v>
      </c>
      <c r="X9">
        <v>4.16</v>
      </c>
    </row>
    <row r="10" spans="1:24">
      <c r="A10" s="2">
        <f>HYPERLINK("https://finance.naver.com/item/coinfo.nhn?code=109860", "A109860")</f>
        <v>0</v>
      </c>
      <c r="B10">
        <f>HYPERLINK("http://comp.fnguide.com/SVO2/ASP/SVD_Consensus.asp?pGB=1&amp;gicode=A109860&amp;cID=&amp;MenuYn=Y&amp;ReportGB=&amp;NewMenuID=108&amp;stkGb=701", "동일금속")</f>
        <v>0</v>
      </c>
      <c r="C10">
        <v>3</v>
      </c>
      <c r="D10">
        <v>10700</v>
      </c>
      <c r="E10">
        <v>-1.57</v>
      </c>
      <c r="F10">
        <v>24779</v>
      </c>
      <c r="G10">
        <v>21485</v>
      </c>
      <c r="H10">
        <v>20546</v>
      </c>
      <c r="I10">
        <v>-131.58</v>
      </c>
      <c r="J10">
        <v>-100.8</v>
      </c>
      <c r="K10">
        <v>-92.02</v>
      </c>
      <c r="L10">
        <v>10.25</v>
      </c>
      <c r="M10" t="b">
        <v>1</v>
      </c>
      <c r="N10">
        <v>749</v>
      </c>
      <c r="O10">
        <v>15069</v>
      </c>
      <c r="P10" t="s">
        <v>8</v>
      </c>
      <c r="Q10">
        <v>57.72</v>
      </c>
      <c r="R10" t="s">
        <v>324</v>
      </c>
      <c r="S10" t="s">
        <v>640</v>
      </c>
      <c r="T10">
        <v>866</v>
      </c>
      <c r="U10">
        <v>126</v>
      </c>
      <c r="V10">
        <v>2226</v>
      </c>
      <c r="W10">
        <v>563000</v>
      </c>
      <c r="X10">
        <v>2.24</v>
      </c>
    </row>
    <row r="11" spans="1:24">
      <c r="A11" s="2">
        <f>HYPERLINK("https://finance.naver.com/item/coinfo.nhn?code=038390", "A038390")</f>
        <v>0</v>
      </c>
      <c r="B11">
        <f>HYPERLINK("http://comp.fnguide.com/SVO2/ASP/SVD_Consensus.asp?pGB=1&amp;gicode=A038390&amp;cID=&amp;MenuYn=Y&amp;ReportGB=&amp;NewMenuID=108&amp;stkGb=701", "레드캡투어")</f>
        <v>0</v>
      </c>
      <c r="C11">
        <v>3</v>
      </c>
      <c r="D11">
        <v>21450</v>
      </c>
      <c r="E11">
        <v>4.13</v>
      </c>
      <c r="F11">
        <v>29129</v>
      </c>
      <c r="G11">
        <v>23883</v>
      </c>
      <c r="H11">
        <v>22386</v>
      </c>
      <c r="I11">
        <v>-35.8</v>
      </c>
      <c r="J11">
        <v>-11.34</v>
      </c>
      <c r="K11">
        <v>-4.37</v>
      </c>
      <c r="L11">
        <v>11.4</v>
      </c>
      <c r="M11" t="b">
        <v>0</v>
      </c>
      <c r="N11">
        <v>1842</v>
      </c>
      <c r="O11">
        <v>112680</v>
      </c>
      <c r="P11" t="s">
        <v>9</v>
      </c>
      <c r="Q11">
        <v>74.58</v>
      </c>
      <c r="R11" t="s">
        <v>325</v>
      </c>
      <c r="S11" t="s">
        <v>641</v>
      </c>
      <c r="T11">
        <v>2588</v>
      </c>
      <c r="U11">
        <v>350</v>
      </c>
      <c r="V11">
        <v>2589</v>
      </c>
      <c r="W11">
        <v>552500</v>
      </c>
      <c r="X11">
        <v>5.11</v>
      </c>
    </row>
    <row r="12" spans="1:24">
      <c r="A12" s="2">
        <f>HYPERLINK("https://finance.naver.com/item/coinfo.nhn?code=228850", "A228850")</f>
        <v>0</v>
      </c>
      <c r="B12">
        <f>HYPERLINK("http://comp.fnguide.com/SVO2/ASP/SVD_Consensus.asp?pGB=1&amp;gicode=A228850&amp;cID=&amp;MenuYn=Y&amp;ReportGB=&amp;NewMenuID=108&amp;stkGb=701", "레이언스")</f>
        <v>0</v>
      </c>
      <c r="C12">
        <v>3</v>
      </c>
      <c r="D12">
        <v>11150</v>
      </c>
      <c r="E12">
        <v>-0.61</v>
      </c>
      <c r="F12">
        <v>12770</v>
      </c>
      <c r="G12">
        <v>12516</v>
      </c>
      <c r="H12">
        <v>12444</v>
      </c>
      <c r="I12">
        <v>-14.53</v>
      </c>
      <c r="J12">
        <v>-12.25</v>
      </c>
      <c r="K12">
        <v>-11.6</v>
      </c>
      <c r="L12">
        <v>8.25</v>
      </c>
      <c r="M12" t="b">
        <v>1</v>
      </c>
      <c r="N12">
        <v>1850</v>
      </c>
      <c r="O12">
        <v>35685</v>
      </c>
      <c r="P12" t="s">
        <v>10</v>
      </c>
      <c r="Q12">
        <v>64.86</v>
      </c>
      <c r="R12" t="s">
        <v>326</v>
      </c>
      <c r="S12" t="s">
        <v>642</v>
      </c>
      <c r="T12">
        <v>1262</v>
      </c>
      <c r="U12">
        <v>228</v>
      </c>
      <c r="V12">
        <v>885</v>
      </c>
      <c r="W12">
        <v>854574</v>
      </c>
      <c r="X12">
        <v>2.26</v>
      </c>
    </row>
    <row r="13" spans="1:24">
      <c r="A13" s="2">
        <f>HYPERLINK("https://finance.naver.com/item/coinfo.nhn?code=012700", "A012700")</f>
        <v>0</v>
      </c>
      <c r="B13">
        <f>HYPERLINK("http://comp.fnguide.com/SVO2/ASP/SVD_Consensus.asp?pGB=1&amp;gicode=A012700&amp;cID=&amp;MenuYn=Y&amp;ReportGB=&amp;NewMenuID=108&amp;stkGb=701", "리드코프")</f>
        <v>0</v>
      </c>
      <c r="C13">
        <v>3</v>
      </c>
      <c r="D13">
        <v>6630</v>
      </c>
      <c r="E13">
        <v>3.11</v>
      </c>
      <c r="F13">
        <v>19956</v>
      </c>
      <c r="G13">
        <v>16613</v>
      </c>
      <c r="H13">
        <v>15660</v>
      </c>
      <c r="I13">
        <v>-200.99</v>
      </c>
      <c r="J13">
        <v>-150.57</v>
      </c>
      <c r="K13">
        <v>-136.19</v>
      </c>
      <c r="L13">
        <v>11.07</v>
      </c>
      <c r="M13" t="b">
        <v>1</v>
      </c>
      <c r="N13">
        <v>1753</v>
      </c>
      <c r="O13">
        <v>327474</v>
      </c>
      <c r="P13" t="s">
        <v>11</v>
      </c>
      <c r="Q13">
        <v>40.16</v>
      </c>
      <c r="R13" t="s">
        <v>327</v>
      </c>
      <c r="S13" t="s">
        <v>643</v>
      </c>
      <c r="T13">
        <v>4954</v>
      </c>
      <c r="U13">
        <v>539</v>
      </c>
      <c r="V13">
        <v>1531</v>
      </c>
      <c r="W13">
        <v>851283</v>
      </c>
      <c r="X13">
        <v>2.11</v>
      </c>
    </row>
    <row r="14" spans="1:24">
      <c r="A14" s="2">
        <f>HYPERLINK("https://finance.naver.com/item/coinfo.nhn?code=093520", "A093520")</f>
        <v>0</v>
      </c>
      <c r="B14">
        <f>HYPERLINK("http://comp.fnguide.com/SVO2/ASP/SVD_Consensus.asp?pGB=1&amp;gicode=A093520&amp;cID=&amp;MenuYn=Y&amp;ReportGB=&amp;NewMenuID=108&amp;stkGb=701", "매커스")</f>
        <v>0</v>
      </c>
      <c r="C14">
        <v>3</v>
      </c>
      <c r="D14">
        <v>4790</v>
      </c>
      <c r="E14">
        <v>1.39</v>
      </c>
      <c r="F14">
        <v>7826</v>
      </c>
      <c r="G14">
        <v>5762</v>
      </c>
      <c r="H14">
        <v>5174</v>
      </c>
      <c r="I14">
        <v>-63.38</v>
      </c>
      <c r="J14">
        <v>-20.3</v>
      </c>
      <c r="K14">
        <v>-8.01</v>
      </c>
      <c r="L14">
        <v>14.23</v>
      </c>
      <c r="M14" t="b">
        <v>1</v>
      </c>
      <c r="N14">
        <v>774</v>
      </c>
      <c r="O14">
        <v>86056</v>
      </c>
      <c r="P14" t="s">
        <v>12</v>
      </c>
      <c r="Q14">
        <v>15.93</v>
      </c>
      <c r="R14" t="s">
        <v>328</v>
      </c>
      <c r="S14" t="s">
        <v>644</v>
      </c>
      <c r="T14">
        <v>575</v>
      </c>
      <c r="U14">
        <v>59</v>
      </c>
      <c r="V14">
        <v>296</v>
      </c>
      <c r="W14">
        <v>4135008</v>
      </c>
      <c r="X14">
        <v>2.66</v>
      </c>
    </row>
    <row r="15" spans="1:24">
      <c r="A15" s="2">
        <f>HYPERLINK("https://finance.naver.com/item/coinfo.nhn?code=241770", "A241770")</f>
        <v>0</v>
      </c>
      <c r="B15">
        <f>HYPERLINK("http://comp.fnguide.com/SVO2/ASP/SVD_Consensus.asp?pGB=1&amp;gicode=A241770&amp;cID=&amp;MenuYn=Y&amp;ReportGB=&amp;NewMenuID=108&amp;stkGb=701", "메카로")</f>
        <v>0</v>
      </c>
      <c r="C15">
        <v>3</v>
      </c>
      <c r="D15">
        <v>13200</v>
      </c>
      <c r="E15">
        <v>-0.35</v>
      </c>
      <c r="F15">
        <v>31821</v>
      </c>
      <c r="G15">
        <v>21439</v>
      </c>
      <c r="H15">
        <v>18478</v>
      </c>
      <c r="I15">
        <v>-141.06</v>
      </c>
      <c r="J15">
        <v>-62.42</v>
      </c>
      <c r="K15">
        <v>-39.98</v>
      </c>
      <c r="L15">
        <v>17.47</v>
      </c>
      <c r="M15" t="b">
        <v>1</v>
      </c>
      <c r="N15">
        <v>1334</v>
      </c>
      <c r="O15">
        <v>91310</v>
      </c>
      <c r="P15" t="s">
        <v>13</v>
      </c>
      <c r="Q15">
        <v>60.49</v>
      </c>
      <c r="R15" t="s">
        <v>329</v>
      </c>
      <c r="S15" t="s">
        <v>645</v>
      </c>
      <c r="T15">
        <v>725</v>
      </c>
      <c r="U15">
        <v>86</v>
      </c>
      <c r="V15">
        <v>819</v>
      </c>
      <c r="W15">
        <v>380000</v>
      </c>
      <c r="X15">
        <v>1.04</v>
      </c>
    </row>
    <row r="16" spans="1:24">
      <c r="A16" s="2">
        <f>HYPERLINK("https://finance.naver.com/item/coinfo.nhn?code=007720", "A007720")</f>
        <v>0</v>
      </c>
      <c r="B16">
        <f>HYPERLINK("http://comp.fnguide.com/SVO2/ASP/SVD_Consensus.asp?pGB=1&amp;gicode=A007720&amp;cID=&amp;MenuYn=Y&amp;ReportGB=&amp;NewMenuID=108&amp;stkGb=701", "대명소노시즌")</f>
        <v>0</v>
      </c>
      <c r="C16">
        <v>3</v>
      </c>
      <c r="D16">
        <v>1080</v>
      </c>
      <c r="E16">
        <v>0</v>
      </c>
      <c r="F16">
        <v>5267</v>
      </c>
      <c r="G16">
        <v>3091</v>
      </c>
      <c r="H16">
        <v>2470</v>
      </c>
      <c r="I16">
        <v>-387.7</v>
      </c>
      <c r="J16">
        <v>-186.16</v>
      </c>
      <c r="K16">
        <v>-128.68</v>
      </c>
      <c r="L16">
        <v>25.58</v>
      </c>
      <c r="M16" t="b">
        <v>1</v>
      </c>
      <c r="N16">
        <v>1089</v>
      </c>
      <c r="O16">
        <v>786796</v>
      </c>
      <c r="P16" t="s">
        <v>14</v>
      </c>
      <c r="Q16">
        <v>44.44</v>
      </c>
      <c r="R16" t="s">
        <v>330</v>
      </c>
      <c r="S16" t="s">
        <v>646</v>
      </c>
      <c r="T16">
        <v>2186</v>
      </c>
      <c r="U16">
        <v>39</v>
      </c>
      <c r="V16">
        <v>633</v>
      </c>
    </row>
    <row r="17" spans="1:24">
      <c r="A17" s="2">
        <f>HYPERLINK("https://finance.naver.com/item/coinfo.nhn?code=101330", "A101330")</f>
        <v>0</v>
      </c>
      <c r="B17">
        <f>HYPERLINK("http://comp.fnguide.com/SVO2/ASP/SVD_Consensus.asp?pGB=1&amp;gicode=A101330&amp;cID=&amp;MenuYn=Y&amp;ReportGB=&amp;NewMenuID=108&amp;stkGb=701", "모베이스")</f>
        <v>0</v>
      </c>
      <c r="C17">
        <v>3</v>
      </c>
      <c r="D17">
        <v>3635</v>
      </c>
      <c r="E17">
        <v>0.18</v>
      </c>
      <c r="F17">
        <v>19726</v>
      </c>
      <c r="G17">
        <v>14684</v>
      </c>
      <c r="H17">
        <v>13247</v>
      </c>
      <c r="I17">
        <v>-442.66</v>
      </c>
      <c r="J17">
        <v>-303.97</v>
      </c>
      <c r="K17">
        <v>-264.42</v>
      </c>
      <c r="L17">
        <v>13.89</v>
      </c>
      <c r="M17" t="b">
        <v>1</v>
      </c>
      <c r="N17">
        <v>871</v>
      </c>
      <c r="O17">
        <v>1078809</v>
      </c>
      <c r="P17" t="s">
        <v>15</v>
      </c>
      <c r="Q17">
        <v>45.22</v>
      </c>
      <c r="R17" t="s">
        <v>331</v>
      </c>
      <c r="S17" t="s">
        <v>647</v>
      </c>
      <c r="T17">
        <v>6525</v>
      </c>
      <c r="U17">
        <v>320</v>
      </c>
      <c r="V17">
        <v>1924</v>
      </c>
      <c r="W17">
        <v>227362</v>
      </c>
    </row>
    <row r="18" spans="1:24">
      <c r="A18" s="2">
        <f>HYPERLINK("https://finance.naver.com/item/coinfo.nhn?code=208710", "A208710")</f>
        <v>0</v>
      </c>
      <c r="B18">
        <f>HYPERLINK("http://comp.fnguide.com/SVO2/ASP/SVD_Consensus.asp?pGB=1&amp;gicode=A208710&amp;cID=&amp;MenuYn=Y&amp;ReportGB=&amp;NewMenuID=108&amp;stkGb=701", "바이오로그디바이스")</f>
        <v>0</v>
      </c>
      <c r="C18">
        <v>3</v>
      </c>
      <c r="D18">
        <v>1700</v>
      </c>
      <c r="E18">
        <v>4.81</v>
      </c>
      <c r="F18">
        <v>2906</v>
      </c>
      <c r="G18">
        <v>2333</v>
      </c>
      <c r="H18">
        <v>2170</v>
      </c>
      <c r="I18">
        <v>-70.95999999999999</v>
      </c>
      <c r="J18">
        <v>-37.26</v>
      </c>
      <c r="K18">
        <v>-27.65</v>
      </c>
      <c r="L18">
        <v>11.88</v>
      </c>
      <c r="M18" t="b">
        <v>1</v>
      </c>
      <c r="N18">
        <v>491</v>
      </c>
      <c r="O18">
        <v>2314041</v>
      </c>
      <c r="P18" t="s">
        <v>16</v>
      </c>
      <c r="Q18">
        <v>24.24</v>
      </c>
      <c r="R18" t="s">
        <v>332</v>
      </c>
      <c r="S18" t="s">
        <v>648</v>
      </c>
      <c r="T18">
        <v>904</v>
      </c>
      <c r="U18">
        <v>70</v>
      </c>
      <c r="V18">
        <v>213</v>
      </c>
      <c r="W18">
        <v>137119</v>
      </c>
    </row>
    <row r="19" spans="1:24">
      <c r="A19" s="2">
        <f>HYPERLINK("https://finance.naver.com/item/coinfo.nhn?code=141000", "A141000")</f>
        <v>0</v>
      </c>
      <c r="B19">
        <f>HYPERLINK("http://comp.fnguide.com/SVO2/ASP/SVD_Consensus.asp?pGB=1&amp;gicode=A141000&amp;cID=&amp;MenuYn=Y&amp;ReportGB=&amp;NewMenuID=108&amp;stkGb=701", "비아트론")</f>
        <v>0</v>
      </c>
      <c r="C19">
        <v>3</v>
      </c>
      <c r="D19">
        <v>10300</v>
      </c>
      <c r="E19">
        <v>3.39</v>
      </c>
      <c r="F19">
        <v>14969</v>
      </c>
      <c r="G19">
        <v>12714</v>
      </c>
      <c r="H19">
        <v>12071</v>
      </c>
      <c r="I19">
        <v>-45.33</v>
      </c>
      <c r="J19">
        <v>-23.44</v>
      </c>
      <c r="K19">
        <v>-17.19</v>
      </c>
      <c r="L19">
        <v>10.65</v>
      </c>
      <c r="M19" t="b">
        <v>1</v>
      </c>
      <c r="N19">
        <v>1248</v>
      </c>
      <c r="O19">
        <v>206724</v>
      </c>
      <c r="P19" t="s">
        <v>17</v>
      </c>
      <c r="Q19">
        <v>19.07</v>
      </c>
      <c r="R19" t="s">
        <v>333</v>
      </c>
      <c r="S19" t="s">
        <v>649</v>
      </c>
      <c r="T19">
        <v>500</v>
      </c>
      <c r="U19">
        <v>38</v>
      </c>
      <c r="V19">
        <v>396</v>
      </c>
      <c r="W19">
        <v>281420</v>
      </c>
    </row>
    <row r="20" spans="1:24">
      <c r="A20" s="2">
        <f>HYPERLINK("https://finance.naver.com/item/coinfo.nhn?code=093190", "A093190")</f>
        <v>0</v>
      </c>
      <c r="B20">
        <f>HYPERLINK("http://comp.fnguide.com/SVO2/ASP/SVD_Consensus.asp?pGB=1&amp;gicode=A093190&amp;cID=&amp;MenuYn=Y&amp;ReportGB=&amp;NewMenuID=108&amp;stkGb=701", "빅솔론")</f>
        <v>0</v>
      </c>
      <c r="C20">
        <v>3</v>
      </c>
      <c r="D20">
        <v>4445</v>
      </c>
      <c r="E20">
        <v>-0.5600000000000001</v>
      </c>
      <c r="F20">
        <v>10552</v>
      </c>
      <c r="G20">
        <v>9582</v>
      </c>
      <c r="H20">
        <v>9306</v>
      </c>
      <c r="I20">
        <v>-137.39</v>
      </c>
      <c r="J20">
        <v>-115.57</v>
      </c>
      <c r="K20">
        <v>-109.35</v>
      </c>
      <c r="L20">
        <v>9.42</v>
      </c>
      <c r="M20" t="b">
        <v>1</v>
      </c>
      <c r="N20">
        <v>855</v>
      </c>
      <c r="O20">
        <v>51143</v>
      </c>
      <c r="P20" t="s">
        <v>18</v>
      </c>
      <c r="Q20">
        <v>40.88</v>
      </c>
      <c r="R20" t="s">
        <v>334</v>
      </c>
      <c r="S20" t="s">
        <v>650</v>
      </c>
      <c r="T20">
        <v>848</v>
      </c>
      <c r="U20">
        <v>95</v>
      </c>
      <c r="V20">
        <v>499</v>
      </c>
      <c r="W20">
        <v>2846707</v>
      </c>
      <c r="X20">
        <v>3.4</v>
      </c>
    </row>
    <row r="21" spans="1:24">
      <c r="A21" s="2">
        <f>HYPERLINK("https://finance.naver.com/item/coinfo.nhn?code=018310", "A018310")</f>
        <v>0</v>
      </c>
      <c r="B21">
        <f>HYPERLINK("http://comp.fnguide.com/SVO2/ASP/SVD_Consensus.asp?pGB=1&amp;gicode=A018310&amp;cID=&amp;MenuYn=Y&amp;ReportGB=&amp;NewMenuID=108&amp;stkGb=701", "삼목에스폼")</f>
        <v>0</v>
      </c>
      <c r="C21">
        <v>3</v>
      </c>
      <c r="D21">
        <v>7580</v>
      </c>
      <c r="E21">
        <v>-0.34</v>
      </c>
      <c r="F21">
        <v>28762</v>
      </c>
      <c r="G21">
        <v>28740</v>
      </c>
      <c r="H21">
        <v>28734</v>
      </c>
      <c r="I21">
        <v>-279.44</v>
      </c>
      <c r="J21">
        <v>-279.16</v>
      </c>
      <c r="K21">
        <v>-279.08</v>
      </c>
      <c r="L21">
        <v>7.99</v>
      </c>
      <c r="M21" t="b">
        <v>1</v>
      </c>
      <c r="N21">
        <v>1114</v>
      </c>
      <c r="O21">
        <v>8652</v>
      </c>
      <c r="P21" t="s">
        <v>19</v>
      </c>
      <c r="Q21">
        <v>50.66</v>
      </c>
      <c r="R21" t="s">
        <v>335</v>
      </c>
      <c r="S21" t="s">
        <v>651</v>
      </c>
      <c r="T21">
        <v>1442</v>
      </c>
      <c r="U21">
        <v>114</v>
      </c>
      <c r="V21">
        <v>932</v>
      </c>
      <c r="W21">
        <v>2783927</v>
      </c>
      <c r="X21">
        <v>1.2</v>
      </c>
    </row>
    <row r="22" spans="1:24">
      <c r="A22" s="2">
        <f>HYPERLINK("https://finance.naver.com/item/coinfo.nhn?code=023600", "A023600")</f>
        <v>0</v>
      </c>
      <c r="B22">
        <f>HYPERLINK("http://comp.fnguide.com/SVO2/ASP/SVD_Consensus.asp?pGB=1&amp;gicode=A023600&amp;cID=&amp;MenuYn=Y&amp;ReportGB=&amp;NewMenuID=108&amp;stkGb=701", "삼보판지")</f>
        <v>0</v>
      </c>
      <c r="C22">
        <v>3</v>
      </c>
      <c r="D22">
        <v>10150</v>
      </c>
      <c r="E22">
        <v>-1.46</v>
      </c>
      <c r="F22">
        <v>30979</v>
      </c>
      <c r="G22">
        <v>25737</v>
      </c>
      <c r="H22">
        <v>24242</v>
      </c>
      <c r="I22">
        <v>-205.21</v>
      </c>
      <c r="J22">
        <v>-153.57</v>
      </c>
      <c r="K22">
        <v>-138.84</v>
      </c>
      <c r="L22">
        <v>11.11</v>
      </c>
      <c r="M22" t="b">
        <v>1</v>
      </c>
      <c r="N22">
        <v>1641</v>
      </c>
      <c r="O22">
        <v>428146</v>
      </c>
      <c r="P22" t="s">
        <v>20</v>
      </c>
      <c r="Q22">
        <v>63.54</v>
      </c>
      <c r="R22" t="s">
        <v>336</v>
      </c>
      <c r="S22" t="s">
        <v>652</v>
      </c>
      <c r="T22">
        <v>3670</v>
      </c>
      <c r="U22">
        <v>457</v>
      </c>
      <c r="V22">
        <v>1779</v>
      </c>
      <c r="W22">
        <v>202211</v>
      </c>
      <c r="X22">
        <v>1.52</v>
      </c>
    </row>
    <row r="23" spans="1:24">
      <c r="A23" s="2">
        <f>HYPERLINK("https://finance.naver.com/item/coinfo.nhn?code=037460", "A037460")</f>
        <v>0</v>
      </c>
      <c r="B23">
        <f>HYPERLINK("http://comp.fnguide.com/SVO2/ASP/SVD_Consensus.asp?pGB=1&amp;gicode=A037460&amp;cID=&amp;MenuYn=Y&amp;ReportGB=&amp;NewMenuID=108&amp;stkGb=701", "삼지전자")</f>
        <v>0</v>
      </c>
      <c r="C23">
        <v>3</v>
      </c>
      <c r="D23">
        <v>12550</v>
      </c>
      <c r="E23">
        <v>1.16</v>
      </c>
      <c r="F23">
        <v>14801</v>
      </c>
      <c r="G23">
        <v>13811</v>
      </c>
      <c r="H23">
        <v>13529</v>
      </c>
      <c r="I23">
        <v>-17.93</v>
      </c>
      <c r="J23">
        <v>-10.05</v>
      </c>
      <c r="K23">
        <v>-7.8</v>
      </c>
      <c r="L23">
        <v>8.98</v>
      </c>
      <c r="M23" t="b">
        <v>1</v>
      </c>
      <c r="N23">
        <v>2048</v>
      </c>
      <c r="O23">
        <v>302739</v>
      </c>
      <c r="P23" t="s">
        <v>21</v>
      </c>
      <c r="Q23">
        <v>46.69</v>
      </c>
      <c r="R23" t="s">
        <v>337</v>
      </c>
      <c r="S23" t="s">
        <v>653</v>
      </c>
      <c r="T23">
        <v>14950</v>
      </c>
      <c r="U23">
        <v>362</v>
      </c>
      <c r="V23">
        <v>849</v>
      </c>
      <c r="W23">
        <v>983010</v>
      </c>
      <c r="X23">
        <v>1.42</v>
      </c>
    </row>
    <row r="24" spans="1:24">
      <c r="A24" s="2">
        <f>HYPERLINK("https://finance.naver.com/item/coinfo.nhn?code=032750", "A032750")</f>
        <v>0</v>
      </c>
      <c r="B24">
        <f>HYPERLINK("http://comp.fnguide.com/SVO2/ASP/SVD_Consensus.asp?pGB=1&amp;gicode=A032750&amp;cID=&amp;MenuYn=Y&amp;ReportGB=&amp;NewMenuID=108&amp;stkGb=701", "삼진")</f>
        <v>0</v>
      </c>
      <c r="C24">
        <v>3</v>
      </c>
      <c r="D24">
        <v>10300</v>
      </c>
      <c r="E24">
        <v>0.63</v>
      </c>
      <c r="F24">
        <v>16214</v>
      </c>
      <c r="G24">
        <v>14144</v>
      </c>
      <c r="H24">
        <v>13553</v>
      </c>
      <c r="I24">
        <v>-57.42</v>
      </c>
      <c r="J24">
        <v>-37.32</v>
      </c>
      <c r="K24">
        <v>-31.59</v>
      </c>
      <c r="L24">
        <v>10.13</v>
      </c>
      <c r="M24" t="b">
        <v>1</v>
      </c>
      <c r="N24">
        <v>618</v>
      </c>
      <c r="O24">
        <v>78189</v>
      </c>
      <c r="P24" t="s">
        <v>22</v>
      </c>
      <c r="Q24">
        <v>44.13</v>
      </c>
      <c r="R24" t="s">
        <v>338</v>
      </c>
      <c r="S24" t="s">
        <v>654</v>
      </c>
      <c r="T24">
        <v>1352</v>
      </c>
      <c r="U24">
        <v>117</v>
      </c>
      <c r="V24">
        <v>2019</v>
      </c>
      <c r="X24">
        <v>1.75</v>
      </c>
    </row>
    <row r="25" spans="1:24">
      <c r="A25" s="2">
        <f>HYPERLINK("https://finance.naver.com/item/coinfo.nhn?code=038540", "A038540")</f>
        <v>0</v>
      </c>
      <c r="B25">
        <f>HYPERLINK("http://comp.fnguide.com/SVO2/ASP/SVD_Consensus.asp?pGB=1&amp;gicode=A038540&amp;cID=&amp;MenuYn=Y&amp;ReportGB=&amp;NewMenuID=108&amp;stkGb=701", "상상인")</f>
        <v>0</v>
      </c>
      <c r="C25">
        <v>3</v>
      </c>
      <c r="D25">
        <v>6530</v>
      </c>
      <c r="E25">
        <v>0.31</v>
      </c>
      <c r="F25">
        <v>39400</v>
      </c>
      <c r="G25">
        <v>21507</v>
      </c>
      <c r="H25">
        <v>16404</v>
      </c>
      <c r="I25">
        <v>-503.38</v>
      </c>
      <c r="J25">
        <v>-229.36</v>
      </c>
      <c r="K25">
        <v>-151.21</v>
      </c>
      <c r="L25">
        <v>32.73</v>
      </c>
      <c r="M25" t="b">
        <v>1</v>
      </c>
      <c r="N25">
        <v>3613</v>
      </c>
      <c r="O25">
        <v>261395</v>
      </c>
      <c r="P25" t="s">
        <v>23</v>
      </c>
      <c r="Q25">
        <v>31.93</v>
      </c>
      <c r="R25" t="s">
        <v>339</v>
      </c>
      <c r="S25" t="s">
        <v>655</v>
      </c>
      <c r="T25">
        <v>5413</v>
      </c>
      <c r="U25">
        <v>1824</v>
      </c>
      <c r="V25">
        <v>2254</v>
      </c>
      <c r="W25">
        <v>604037</v>
      </c>
      <c r="X25">
        <v>2.31</v>
      </c>
    </row>
    <row r="26" spans="1:24">
      <c r="A26" s="2">
        <f>HYPERLINK("https://finance.naver.com/item/coinfo.nhn?code=140070", "A140070")</f>
        <v>0</v>
      </c>
      <c r="B26">
        <f>HYPERLINK("http://comp.fnguide.com/SVO2/ASP/SVD_Consensus.asp?pGB=1&amp;gicode=A140070&amp;cID=&amp;MenuYn=Y&amp;ReportGB=&amp;NewMenuID=108&amp;stkGb=701", "서플러스글로벌")</f>
        <v>0</v>
      </c>
      <c r="C26">
        <v>3</v>
      </c>
      <c r="D26">
        <v>2935</v>
      </c>
      <c r="E26">
        <v>1.16</v>
      </c>
      <c r="F26">
        <v>4654</v>
      </c>
      <c r="G26">
        <v>3985</v>
      </c>
      <c r="H26">
        <v>3794</v>
      </c>
      <c r="I26">
        <v>-58.58</v>
      </c>
      <c r="J26">
        <v>-35.78</v>
      </c>
      <c r="K26">
        <v>-29.28</v>
      </c>
      <c r="L26">
        <v>10.49</v>
      </c>
      <c r="M26" t="b">
        <v>1</v>
      </c>
      <c r="N26">
        <v>1086</v>
      </c>
      <c r="O26">
        <v>146122</v>
      </c>
      <c r="P26" t="s">
        <v>24</v>
      </c>
      <c r="Q26">
        <v>57.52</v>
      </c>
      <c r="R26" t="s">
        <v>340</v>
      </c>
      <c r="S26" t="s">
        <v>656</v>
      </c>
      <c r="T26">
        <v>1103</v>
      </c>
      <c r="U26">
        <v>27</v>
      </c>
      <c r="V26">
        <v>43</v>
      </c>
      <c r="W26">
        <v>2130000</v>
      </c>
    </row>
    <row r="27" spans="1:24">
      <c r="A27" s="2">
        <f>HYPERLINK("https://finance.naver.com/item/coinfo.nhn?code=011370", "A011370")</f>
        <v>0</v>
      </c>
      <c r="B27">
        <f>HYPERLINK("http://comp.fnguide.com/SVO2/ASP/SVD_Consensus.asp?pGB=1&amp;gicode=A011370&amp;cID=&amp;MenuYn=Y&amp;ReportGB=&amp;NewMenuID=108&amp;stkGb=701", "서한")</f>
        <v>0</v>
      </c>
      <c r="C27">
        <v>3</v>
      </c>
      <c r="D27">
        <v>1600</v>
      </c>
      <c r="E27">
        <v>-1.81</v>
      </c>
      <c r="F27">
        <v>4360</v>
      </c>
      <c r="G27">
        <v>3540</v>
      </c>
      <c r="H27">
        <v>3306</v>
      </c>
      <c r="I27">
        <v>-172.5</v>
      </c>
      <c r="J27">
        <v>-121.23</v>
      </c>
      <c r="K27">
        <v>-106.61</v>
      </c>
      <c r="L27">
        <v>11.62</v>
      </c>
      <c r="M27" t="b">
        <v>1</v>
      </c>
      <c r="N27">
        <v>1614</v>
      </c>
      <c r="O27">
        <v>1859551</v>
      </c>
      <c r="P27" t="s">
        <v>25</v>
      </c>
      <c r="Q27">
        <v>11.26</v>
      </c>
      <c r="R27" t="s">
        <v>341</v>
      </c>
      <c r="S27" t="s">
        <v>657</v>
      </c>
      <c r="T27">
        <v>5481</v>
      </c>
      <c r="U27">
        <v>240</v>
      </c>
      <c r="V27">
        <v>98</v>
      </c>
      <c r="X27">
        <v>2.52</v>
      </c>
    </row>
    <row r="28" spans="1:24">
      <c r="A28" s="2">
        <f>HYPERLINK("https://finance.naver.com/item/coinfo.nhn?code=006580", "A006580")</f>
        <v>0</v>
      </c>
      <c r="B28">
        <f>HYPERLINK("http://comp.fnguide.com/SVO2/ASP/SVD_Consensus.asp?pGB=1&amp;gicode=A006580&amp;cID=&amp;MenuYn=Y&amp;ReportGB=&amp;NewMenuID=108&amp;stkGb=701", "대양제지")</f>
        <v>0</v>
      </c>
      <c r="C28">
        <v>3</v>
      </c>
      <c r="D28">
        <v>3110</v>
      </c>
      <c r="E28">
        <v>-0.15</v>
      </c>
      <c r="F28">
        <v>16123</v>
      </c>
      <c r="G28">
        <v>10351</v>
      </c>
      <c r="H28">
        <v>8704</v>
      </c>
      <c r="I28">
        <v>-418.42</v>
      </c>
      <c r="J28">
        <v>-232.82</v>
      </c>
      <c r="K28">
        <v>-179.88</v>
      </c>
      <c r="L28">
        <v>19.76</v>
      </c>
      <c r="M28" t="b">
        <v>1</v>
      </c>
      <c r="N28">
        <v>835</v>
      </c>
      <c r="O28">
        <v>504679</v>
      </c>
      <c r="P28" t="s">
        <v>26</v>
      </c>
      <c r="Q28">
        <v>53.58</v>
      </c>
      <c r="R28" t="s">
        <v>342</v>
      </c>
      <c r="S28" t="s">
        <v>658</v>
      </c>
      <c r="T28">
        <v>2594</v>
      </c>
      <c r="U28">
        <v>327</v>
      </c>
      <c r="V28">
        <v>876</v>
      </c>
      <c r="W28">
        <v>6193269</v>
      </c>
      <c r="X28">
        <v>1.23</v>
      </c>
    </row>
    <row r="29" spans="1:24">
      <c r="A29" s="2">
        <f>HYPERLINK("https://finance.naver.com/item/coinfo.nhn?code=032190", "A032190")</f>
        <v>0</v>
      </c>
      <c r="B29">
        <f>HYPERLINK("http://comp.fnguide.com/SVO2/ASP/SVD_Consensus.asp?pGB=1&amp;gicode=A032190&amp;cID=&amp;MenuYn=Y&amp;ReportGB=&amp;NewMenuID=108&amp;stkGb=701", "다우데이타")</f>
        <v>0</v>
      </c>
      <c r="C29">
        <v>3</v>
      </c>
      <c r="D29">
        <v>13200</v>
      </c>
      <c r="E29">
        <v>0.83</v>
      </c>
      <c r="F29">
        <v>20470</v>
      </c>
      <c r="G29">
        <v>17717</v>
      </c>
      <c r="H29">
        <v>16931</v>
      </c>
      <c r="I29">
        <v>-55.08</v>
      </c>
      <c r="J29">
        <v>-34.22</v>
      </c>
      <c r="K29">
        <v>-28.27</v>
      </c>
      <c r="L29">
        <v>10.28</v>
      </c>
      <c r="M29" t="b">
        <v>1</v>
      </c>
      <c r="N29">
        <v>5056</v>
      </c>
      <c r="O29">
        <v>802704</v>
      </c>
      <c r="P29" t="s">
        <v>27</v>
      </c>
      <c r="Q29">
        <v>67.34999999999999</v>
      </c>
      <c r="R29" t="s">
        <v>343</v>
      </c>
      <c r="S29" t="s">
        <v>659</v>
      </c>
      <c r="T29">
        <v>36056</v>
      </c>
      <c r="U29">
        <v>5590</v>
      </c>
      <c r="V29">
        <v>1782</v>
      </c>
      <c r="X29">
        <v>2.17</v>
      </c>
    </row>
    <row r="30" spans="1:24">
      <c r="A30" s="2">
        <f>HYPERLINK("https://finance.naver.com/item/coinfo.nhn?code=045300", "A045300")</f>
        <v>0</v>
      </c>
      <c r="B30">
        <f>HYPERLINK("http://comp.fnguide.com/SVO2/ASP/SVD_Consensus.asp?pGB=1&amp;gicode=A045300&amp;cID=&amp;MenuYn=Y&amp;ReportGB=&amp;NewMenuID=108&amp;stkGb=701", "성우테크론")</f>
        <v>0</v>
      </c>
      <c r="C30">
        <v>3</v>
      </c>
      <c r="D30">
        <v>5100</v>
      </c>
      <c r="E30">
        <v>0.05</v>
      </c>
      <c r="F30">
        <v>7802</v>
      </c>
      <c r="G30">
        <v>6453</v>
      </c>
      <c r="H30">
        <v>6069</v>
      </c>
      <c r="I30">
        <v>-52.97</v>
      </c>
      <c r="J30">
        <v>-26.53</v>
      </c>
      <c r="K30">
        <v>-18.99</v>
      </c>
      <c r="L30">
        <v>11.21</v>
      </c>
      <c r="M30" t="b">
        <v>1</v>
      </c>
      <c r="N30">
        <v>480</v>
      </c>
      <c r="O30">
        <v>144940</v>
      </c>
      <c r="P30" t="s">
        <v>28</v>
      </c>
      <c r="Q30">
        <v>41.96</v>
      </c>
      <c r="R30" t="s">
        <v>344</v>
      </c>
      <c r="S30" t="s">
        <v>660</v>
      </c>
      <c r="T30">
        <v>330</v>
      </c>
      <c r="U30">
        <v>22</v>
      </c>
      <c r="V30">
        <v>481</v>
      </c>
      <c r="W30">
        <v>352684</v>
      </c>
      <c r="X30">
        <v>0.93</v>
      </c>
    </row>
    <row r="31" spans="1:24">
      <c r="A31" s="2">
        <f>HYPERLINK("https://finance.naver.com/item/coinfo.nhn?code=023460", "A023460")</f>
        <v>0</v>
      </c>
      <c r="B31">
        <f>HYPERLINK("http://comp.fnguide.com/SVO2/ASP/SVD_Consensus.asp?pGB=1&amp;gicode=A023460&amp;cID=&amp;MenuYn=Y&amp;ReportGB=&amp;NewMenuID=108&amp;stkGb=701", "CNH")</f>
        <v>0</v>
      </c>
      <c r="C31">
        <v>3</v>
      </c>
      <c r="D31">
        <v>1910</v>
      </c>
      <c r="E31">
        <v>0</v>
      </c>
      <c r="F31">
        <v>3152</v>
      </c>
      <c r="G31">
        <v>3065</v>
      </c>
      <c r="H31">
        <v>3040</v>
      </c>
      <c r="I31">
        <v>-65.05</v>
      </c>
      <c r="J31">
        <v>-60.49</v>
      </c>
      <c r="K31">
        <v>-59.19</v>
      </c>
      <c r="L31">
        <v>8.369999999999999</v>
      </c>
      <c r="M31" t="b">
        <v>1</v>
      </c>
      <c r="N31">
        <v>711</v>
      </c>
      <c r="O31">
        <v>521117</v>
      </c>
      <c r="P31" t="s">
        <v>29</v>
      </c>
      <c r="Q31">
        <v>60.88</v>
      </c>
      <c r="R31" t="s">
        <v>345</v>
      </c>
      <c r="S31" t="s">
        <v>661</v>
      </c>
      <c r="T31">
        <v>405</v>
      </c>
      <c r="U31">
        <v>211</v>
      </c>
      <c r="V31">
        <v>414</v>
      </c>
      <c r="W31">
        <v>2418619</v>
      </c>
      <c r="X31">
        <v>1.57</v>
      </c>
    </row>
    <row r="32" spans="1:24">
      <c r="A32" s="2">
        <f>HYPERLINK("https://finance.naver.com/item/coinfo.nhn?code=024720", "A024720")</f>
        <v>0</v>
      </c>
      <c r="B32">
        <f>HYPERLINK("http://comp.fnguide.com/SVO2/ASP/SVD_Consensus.asp?pGB=1&amp;gicode=A024720&amp;cID=&amp;MenuYn=Y&amp;ReportGB=&amp;NewMenuID=108&amp;stkGb=701", "한국콜마홀딩스")</f>
        <v>0</v>
      </c>
      <c r="C32">
        <v>3</v>
      </c>
      <c r="D32">
        <v>25500</v>
      </c>
      <c r="E32">
        <v>2.01</v>
      </c>
      <c r="F32">
        <v>40010</v>
      </c>
      <c r="G32">
        <v>30557</v>
      </c>
      <c r="H32">
        <v>27862</v>
      </c>
      <c r="I32">
        <v>-56.9</v>
      </c>
      <c r="J32">
        <v>-19.83</v>
      </c>
      <c r="K32">
        <v>-9.26</v>
      </c>
      <c r="L32">
        <v>13.16</v>
      </c>
      <c r="M32" t="b">
        <v>0</v>
      </c>
      <c r="N32">
        <v>4737</v>
      </c>
      <c r="O32">
        <v>49703</v>
      </c>
      <c r="P32" t="s">
        <v>30</v>
      </c>
      <c r="Q32">
        <v>44.38</v>
      </c>
      <c r="R32" t="s">
        <v>346</v>
      </c>
      <c r="S32" t="s">
        <v>662</v>
      </c>
      <c r="T32">
        <v>5934</v>
      </c>
      <c r="U32">
        <v>930</v>
      </c>
      <c r="V32">
        <v>2236</v>
      </c>
      <c r="W32">
        <v>97500</v>
      </c>
      <c r="X32">
        <v>0.86</v>
      </c>
    </row>
    <row r="33" spans="1:24">
      <c r="A33" s="2">
        <f>HYPERLINK("https://finance.naver.com/item/coinfo.nhn?code=034830", "A034830")</f>
        <v>0</v>
      </c>
      <c r="B33">
        <f>HYPERLINK("http://comp.fnguide.com/SVO2/ASP/SVD_Consensus.asp?pGB=1&amp;gicode=A034830&amp;cID=&amp;MenuYn=Y&amp;ReportGB=&amp;NewMenuID=108&amp;stkGb=701", "한국토지신탁")</f>
        <v>0</v>
      </c>
      <c r="C33">
        <v>3</v>
      </c>
      <c r="D33">
        <v>1860</v>
      </c>
      <c r="E33">
        <v>0</v>
      </c>
      <c r="F33">
        <v>8616</v>
      </c>
      <c r="G33">
        <v>5750</v>
      </c>
      <c r="H33">
        <v>4933</v>
      </c>
      <c r="I33">
        <v>-363.23</v>
      </c>
      <c r="J33">
        <v>-209.15</v>
      </c>
      <c r="K33">
        <v>-165.21</v>
      </c>
      <c r="L33">
        <v>17.89</v>
      </c>
      <c r="M33" t="b">
        <v>1</v>
      </c>
      <c r="N33">
        <v>4696</v>
      </c>
      <c r="O33">
        <v>1315078</v>
      </c>
      <c r="P33" t="s">
        <v>31</v>
      </c>
      <c r="Q33">
        <v>35.46</v>
      </c>
      <c r="R33" t="s">
        <v>347</v>
      </c>
      <c r="S33" t="s">
        <v>663</v>
      </c>
      <c r="T33">
        <v>2557</v>
      </c>
      <c r="U33">
        <v>1193</v>
      </c>
      <c r="V33">
        <v>428</v>
      </c>
      <c r="W33">
        <v>24161374</v>
      </c>
      <c r="X33">
        <v>5.24</v>
      </c>
    </row>
    <row r="34" spans="1:24">
      <c r="A34" s="2">
        <f>HYPERLINK("https://finance.naver.com/item/coinfo.nhn?code=053690", "A053690")</f>
        <v>0</v>
      </c>
      <c r="B34">
        <f>HYPERLINK("http://comp.fnguide.com/SVO2/ASP/SVD_Consensus.asp?pGB=1&amp;gicode=A053690&amp;cID=&amp;MenuYn=Y&amp;ReportGB=&amp;NewMenuID=108&amp;stkGb=701", "한미글로벌")</f>
        <v>0</v>
      </c>
      <c r="C34">
        <v>3</v>
      </c>
      <c r="D34">
        <v>9850</v>
      </c>
      <c r="E34">
        <v>-1.54</v>
      </c>
      <c r="F34">
        <v>21881</v>
      </c>
      <c r="G34">
        <v>16132</v>
      </c>
      <c r="H34">
        <v>14492</v>
      </c>
      <c r="I34">
        <v>-122.14</v>
      </c>
      <c r="J34">
        <v>-63.78</v>
      </c>
      <c r="K34">
        <v>-47.13</v>
      </c>
      <c r="L34">
        <v>14.19</v>
      </c>
      <c r="M34" t="b">
        <v>1</v>
      </c>
      <c r="N34">
        <v>1079</v>
      </c>
      <c r="O34">
        <v>79407</v>
      </c>
      <c r="P34" t="s">
        <v>32</v>
      </c>
      <c r="Q34">
        <v>26.61</v>
      </c>
      <c r="R34" t="s">
        <v>348</v>
      </c>
      <c r="S34" t="s">
        <v>664</v>
      </c>
      <c r="T34">
        <v>2947</v>
      </c>
      <c r="U34">
        <v>244</v>
      </c>
      <c r="V34">
        <v>2038</v>
      </c>
      <c r="W34">
        <v>1362240</v>
      </c>
      <c r="X34">
        <v>2.08</v>
      </c>
    </row>
    <row r="35" spans="1:24">
      <c r="A35" s="2">
        <f>HYPERLINK("https://finance.naver.com/item/coinfo.nhn?code=010420", "A010420")</f>
        <v>0</v>
      </c>
      <c r="B35">
        <f>HYPERLINK("http://comp.fnguide.com/SVO2/ASP/SVD_Consensus.asp?pGB=1&amp;gicode=A010420&amp;cID=&amp;MenuYn=Y&amp;ReportGB=&amp;NewMenuID=108&amp;stkGb=701", "한솔PNS")</f>
        <v>0</v>
      </c>
      <c r="C35">
        <v>3</v>
      </c>
      <c r="D35">
        <v>1660</v>
      </c>
      <c r="E35">
        <v>0.6</v>
      </c>
      <c r="F35">
        <v>2101</v>
      </c>
      <c r="G35">
        <v>2044</v>
      </c>
      <c r="H35">
        <v>2027</v>
      </c>
      <c r="I35">
        <v>-26.6</v>
      </c>
      <c r="J35">
        <v>-23.13</v>
      </c>
      <c r="K35">
        <v>-22.14</v>
      </c>
      <c r="L35">
        <v>8.359999999999999</v>
      </c>
      <c r="M35" t="b">
        <v>1</v>
      </c>
      <c r="N35">
        <v>340</v>
      </c>
      <c r="O35">
        <v>130957</v>
      </c>
      <c r="P35" t="s">
        <v>33</v>
      </c>
      <c r="Q35">
        <v>46.07</v>
      </c>
      <c r="R35" t="s">
        <v>349</v>
      </c>
      <c r="S35" t="s">
        <v>665</v>
      </c>
      <c r="T35">
        <v>2339</v>
      </c>
      <c r="U35">
        <v>40</v>
      </c>
      <c r="V35">
        <v>154</v>
      </c>
      <c r="X35">
        <v>1.44</v>
      </c>
    </row>
    <row r="36" spans="1:24">
      <c r="A36" s="2">
        <f>HYPERLINK("https://finance.naver.com/item/coinfo.nhn?code=004960", "A004960")</f>
        <v>0</v>
      </c>
      <c r="B36">
        <f>HYPERLINK("http://comp.fnguide.com/SVO2/ASP/SVD_Consensus.asp?pGB=1&amp;gicode=A004960&amp;cID=&amp;MenuYn=Y&amp;ReportGB=&amp;NewMenuID=108&amp;stkGb=701", "한신공영")</f>
        <v>0</v>
      </c>
      <c r="C36">
        <v>3</v>
      </c>
      <c r="D36">
        <v>14850</v>
      </c>
      <c r="E36">
        <v>0.09</v>
      </c>
      <c r="F36">
        <v>138601</v>
      </c>
      <c r="G36">
        <v>81611</v>
      </c>
      <c r="H36">
        <v>65357</v>
      </c>
      <c r="I36">
        <v>-833.34</v>
      </c>
      <c r="J36">
        <v>-449.57</v>
      </c>
      <c r="K36">
        <v>-340.11</v>
      </c>
      <c r="L36">
        <v>25.31</v>
      </c>
      <c r="M36" t="b">
        <v>1</v>
      </c>
      <c r="N36">
        <v>1718</v>
      </c>
      <c r="O36">
        <v>31046</v>
      </c>
      <c r="P36" t="s">
        <v>34</v>
      </c>
      <c r="Q36">
        <v>36.76</v>
      </c>
      <c r="R36" t="s">
        <v>350</v>
      </c>
      <c r="S36" t="s">
        <v>666</v>
      </c>
      <c r="T36">
        <v>16233</v>
      </c>
      <c r="U36">
        <v>1245</v>
      </c>
      <c r="V36">
        <v>6210</v>
      </c>
      <c r="X36">
        <v>2.36</v>
      </c>
    </row>
    <row r="37" spans="1:24">
      <c r="A37" s="2">
        <f>HYPERLINK("https://finance.naver.com/item/coinfo.nhn?code=003530", "A003530")</f>
        <v>0</v>
      </c>
      <c r="B37">
        <f>HYPERLINK("http://comp.fnguide.com/SVO2/ASP/SVD_Consensus.asp?pGB=1&amp;gicode=A003530&amp;cID=&amp;MenuYn=Y&amp;ReportGB=&amp;NewMenuID=108&amp;stkGb=701", "한화투자증권")</f>
        <v>0</v>
      </c>
      <c r="C37">
        <v>3</v>
      </c>
      <c r="D37">
        <v>2190</v>
      </c>
      <c r="E37">
        <v>-51.5</v>
      </c>
      <c r="F37">
        <v>5701</v>
      </c>
      <c r="G37">
        <v>5520</v>
      </c>
      <c r="H37">
        <v>5469</v>
      </c>
      <c r="I37">
        <v>-160.33</v>
      </c>
      <c r="J37">
        <v>-152.07</v>
      </c>
      <c r="K37">
        <v>-149.71</v>
      </c>
      <c r="L37">
        <v>8.42</v>
      </c>
      <c r="M37" t="b">
        <v>1</v>
      </c>
      <c r="N37">
        <v>4699</v>
      </c>
      <c r="O37">
        <v>1481991</v>
      </c>
      <c r="P37" t="s">
        <v>35</v>
      </c>
      <c r="Q37">
        <v>46.24</v>
      </c>
      <c r="R37" t="s">
        <v>351</v>
      </c>
      <c r="S37" t="s">
        <v>667</v>
      </c>
      <c r="T37">
        <v>3483</v>
      </c>
      <c r="U37">
        <v>1119</v>
      </c>
      <c r="V37">
        <v>505</v>
      </c>
      <c r="W37">
        <v>677387</v>
      </c>
    </row>
    <row r="38" spans="1:24">
      <c r="A38" s="2">
        <f>HYPERLINK("https://finance.naver.com/item/coinfo.nhn?code=001450", "A001450")</f>
        <v>0</v>
      </c>
      <c r="B38">
        <f>HYPERLINK("http://comp.fnguide.com/SVO2/ASP/SVD_Consensus.asp?pGB=1&amp;gicode=A001450&amp;cID=&amp;MenuYn=Y&amp;ReportGB=&amp;NewMenuID=108&amp;stkGb=701", "현대해상")</f>
        <v>0</v>
      </c>
      <c r="C38">
        <v>3</v>
      </c>
      <c r="D38">
        <v>23400</v>
      </c>
      <c r="E38">
        <v>0.8</v>
      </c>
      <c r="F38">
        <v>65194</v>
      </c>
      <c r="G38">
        <v>60150</v>
      </c>
      <c r="H38">
        <v>58712</v>
      </c>
      <c r="I38">
        <v>-178.61</v>
      </c>
      <c r="J38">
        <v>-157.05</v>
      </c>
      <c r="K38">
        <v>-150.91</v>
      </c>
      <c r="L38">
        <v>9.16</v>
      </c>
      <c r="M38" t="b">
        <v>1</v>
      </c>
      <c r="N38">
        <v>20920</v>
      </c>
      <c r="O38">
        <v>607536</v>
      </c>
      <c r="P38" t="s">
        <v>36</v>
      </c>
      <c r="Q38">
        <v>22.53</v>
      </c>
      <c r="R38" t="s">
        <v>352</v>
      </c>
      <c r="S38" t="s">
        <v>668</v>
      </c>
      <c r="T38">
        <v>134844</v>
      </c>
      <c r="U38">
        <v>3953</v>
      </c>
      <c r="V38">
        <v>3011</v>
      </c>
      <c r="W38">
        <v>9985500</v>
      </c>
      <c r="X38">
        <v>3.27</v>
      </c>
    </row>
    <row r="39" spans="1:24">
      <c r="A39" s="2">
        <f>HYPERLINK("https://finance.naver.com/item/coinfo.nhn?code=006060", "A006060")</f>
        <v>0</v>
      </c>
      <c r="B39">
        <f>HYPERLINK("http://comp.fnguide.com/SVO2/ASP/SVD_Consensus.asp?pGB=1&amp;gicode=A006060&amp;cID=&amp;MenuYn=Y&amp;ReportGB=&amp;NewMenuID=108&amp;stkGb=701", "화승인더")</f>
        <v>0</v>
      </c>
      <c r="C39">
        <v>3</v>
      </c>
      <c r="D39">
        <v>7330</v>
      </c>
      <c r="E39">
        <v>2.29</v>
      </c>
      <c r="F39">
        <v>11700</v>
      </c>
      <c r="G39">
        <v>8400</v>
      </c>
      <c r="H39">
        <v>7459</v>
      </c>
      <c r="I39">
        <v>-59.61</v>
      </c>
      <c r="J39">
        <v>-14.59</v>
      </c>
      <c r="K39">
        <v>-1.75</v>
      </c>
      <c r="L39">
        <v>15.05</v>
      </c>
      <c r="M39" t="b">
        <v>1</v>
      </c>
      <c r="N39">
        <v>4055</v>
      </c>
      <c r="O39">
        <v>216432</v>
      </c>
      <c r="P39" t="s">
        <v>37</v>
      </c>
      <c r="Q39">
        <v>33.59</v>
      </c>
      <c r="R39" t="s">
        <v>353</v>
      </c>
      <c r="S39" t="s">
        <v>669</v>
      </c>
      <c r="T39">
        <v>14259</v>
      </c>
      <c r="U39">
        <v>1136</v>
      </c>
      <c r="V39">
        <v>1066</v>
      </c>
      <c r="W39">
        <v>2071532</v>
      </c>
      <c r="X39">
        <v>0.38</v>
      </c>
    </row>
    <row r="40" spans="1:24">
      <c r="A40" s="2">
        <f>HYPERLINK("https://finance.naver.com/item/coinfo.nhn?code=016580", "A016580")</f>
        <v>0</v>
      </c>
      <c r="B40">
        <f>HYPERLINK("http://comp.fnguide.com/SVO2/ASP/SVD_Consensus.asp?pGB=1&amp;gicode=A016580&amp;cID=&amp;MenuYn=Y&amp;ReportGB=&amp;NewMenuID=108&amp;stkGb=701", "환인제약")</f>
        <v>0</v>
      </c>
      <c r="C40">
        <v>3</v>
      </c>
      <c r="D40">
        <v>15900</v>
      </c>
      <c r="E40">
        <v>8.69</v>
      </c>
      <c r="F40">
        <v>18683</v>
      </c>
      <c r="G40">
        <v>18233</v>
      </c>
      <c r="H40">
        <v>18105</v>
      </c>
      <c r="I40">
        <v>-17.5</v>
      </c>
      <c r="J40">
        <v>-14.67</v>
      </c>
      <c r="K40">
        <v>-13.87</v>
      </c>
      <c r="L40">
        <v>8.31</v>
      </c>
      <c r="M40" t="b">
        <v>1</v>
      </c>
      <c r="N40">
        <v>2957</v>
      </c>
      <c r="O40">
        <v>140204</v>
      </c>
      <c r="P40" t="s">
        <v>38</v>
      </c>
      <c r="Q40">
        <v>21.9</v>
      </c>
      <c r="R40" t="s">
        <v>354</v>
      </c>
      <c r="S40" t="s">
        <v>670</v>
      </c>
      <c r="T40">
        <v>1592</v>
      </c>
      <c r="U40">
        <v>262</v>
      </c>
      <c r="V40">
        <v>1005</v>
      </c>
      <c r="W40">
        <v>3333000</v>
      </c>
      <c r="X40">
        <v>1.94</v>
      </c>
    </row>
    <row r="41" spans="1:24">
      <c r="A41" s="2">
        <f>HYPERLINK("https://finance.naver.com/item/coinfo.nhn?code=032560", "A032560")</f>
        <v>0</v>
      </c>
      <c r="B41">
        <f>HYPERLINK("http://comp.fnguide.com/SVO2/ASP/SVD_Consensus.asp?pGB=1&amp;gicode=A032560&amp;cID=&amp;MenuYn=Y&amp;ReportGB=&amp;NewMenuID=108&amp;stkGb=701", "황금에스티")</f>
        <v>0</v>
      </c>
      <c r="C41">
        <v>3</v>
      </c>
      <c r="D41">
        <v>7670</v>
      </c>
      <c r="E41">
        <v>0.21</v>
      </c>
      <c r="F41">
        <v>20688</v>
      </c>
      <c r="G41">
        <v>19423</v>
      </c>
      <c r="H41">
        <v>19062</v>
      </c>
      <c r="I41">
        <v>-169.73</v>
      </c>
      <c r="J41">
        <v>-153.23</v>
      </c>
      <c r="K41">
        <v>-148.52</v>
      </c>
      <c r="L41">
        <v>8.880000000000001</v>
      </c>
      <c r="M41" t="b">
        <v>1</v>
      </c>
      <c r="N41">
        <v>1074</v>
      </c>
      <c r="O41">
        <v>240692</v>
      </c>
      <c r="P41" t="s">
        <v>39</v>
      </c>
      <c r="Q41">
        <v>54.12</v>
      </c>
      <c r="R41" t="s">
        <v>355</v>
      </c>
      <c r="S41" t="s">
        <v>671</v>
      </c>
      <c r="T41">
        <v>2436</v>
      </c>
      <c r="U41">
        <v>188</v>
      </c>
      <c r="V41">
        <v>1794</v>
      </c>
      <c r="W41">
        <v>1861</v>
      </c>
      <c r="X41">
        <v>1.43</v>
      </c>
    </row>
    <row r="42" spans="1:24">
      <c r="A42" s="2">
        <f>HYPERLINK("https://finance.naver.com/item/coinfo.nhn?code=005870", "A005870")</f>
        <v>0</v>
      </c>
      <c r="B42">
        <f>HYPERLINK("http://comp.fnguide.com/SVO2/ASP/SVD_Consensus.asp?pGB=1&amp;gicode=A005870&amp;cID=&amp;MenuYn=Y&amp;ReportGB=&amp;NewMenuID=108&amp;stkGb=701", "휴니드")</f>
        <v>0</v>
      </c>
      <c r="C42">
        <v>3</v>
      </c>
      <c r="D42">
        <v>6000</v>
      </c>
      <c r="E42">
        <v>0.24</v>
      </c>
      <c r="F42">
        <v>16126</v>
      </c>
      <c r="G42">
        <v>11754</v>
      </c>
      <c r="H42">
        <v>10507</v>
      </c>
      <c r="I42">
        <v>-168.76</v>
      </c>
      <c r="J42">
        <v>-95.90000000000001</v>
      </c>
      <c r="K42">
        <v>-75.12</v>
      </c>
      <c r="L42">
        <v>14.55</v>
      </c>
      <c r="M42" t="b">
        <v>1</v>
      </c>
      <c r="N42">
        <v>847</v>
      </c>
      <c r="O42">
        <v>70502</v>
      </c>
      <c r="P42" t="s">
        <v>40</v>
      </c>
      <c r="Q42">
        <v>22.83</v>
      </c>
      <c r="R42" t="s">
        <v>356</v>
      </c>
      <c r="S42" t="s">
        <v>672</v>
      </c>
      <c r="T42">
        <v>1947</v>
      </c>
      <c r="U42">
        <v>88</v>
      </c>
      <c r="V42">
        <v>564</v>
      </c>
      <c r="W42">
        <v>1025525</v>
      </c>
    </row>
    <row r="43" spans="1:24">
      <c r="A43" s="2">
        <f>HYPERLINK("https://finance.naver.com/item/coinfo.nhn?code=900290", "A900290")</f>
        <v>0</v>
      </c>
      <c r="B43">
        <f>HYPERLINK("http://comp.fnguide.com/SVO2/ASP/SVD_Consensus.asp?pGB=1&amp;gicode=A900290&amp;cID=&amp;MenuYn=Y&amp;ReportGB=&amp;NewMenuID=108&amp;stkGb=701", "GRT")</f>
        <v>0</v>
      </c>
      <c r="C43">
        <v>3</v>
      </c>
      <c r="D43">
        <v>951</v>
      </c>
      <c r="E43">
        <v>0</v>
      </c>
      <c r="F43">
        <v>13016</v>
      </c>
      <c r="G43">
        <v>9907</v>
      </c>
      <c r="H43">
        <v>9020</v>
      </c>
      <c r="I43">
        <v>-1268.69</v>
      </c>
      <c r="J43">
        <v>-941.7</v>
      </c>
      <c r="K43">
        <v>-848.4400000000001</v>
      </c>
      <c r="L43">
        <v>13.25</v>
      </c>
      <c r="M43" t="b">
        <v>0</v>
      </c>
      <c r="N43">
        <v>641</v>
      </c>
      <c r="O43">
        <v>0</v>
      </c>
      <c r="P43" t="s">
        <v>41</v>
      </c>
      <c r="Q43">
        <v>38.78</v>
      </c>
      <c r="R43" t="s">
        <v>357</v>
      </c>
      <c r="S43" t="s">
        <v>673</v>
      </c>
      <c r="T43">
        <v>3434</v>
      </c>
      <c r="U43">
        <v>679</v>
      </c>
      <c r="V43">
        <v>766</v>
      </c>
    </row>
    <row r="44" spans="1:24">
      <c r="A44" s="2">
        <f>HYPERLINK("https://finance.naver.com/item/coinfo.nhn?code=036800", "A036800")</f>
        <v>0</v>
      </c>
      <c r="B44">
        <f>HYPERLINK("http://comp.fnguide.com/SVO2/ASP/SVD_Consensus.asp?pGB=1&amp;gicode=A036800&amp;cID=&amp;MenuYn=Y&amp;ReportGB=&amp;NewMenuID=108&amp;stkGb=701", "나이스정보통신")</f>
        <v>0</v>
      </c>
      <c r="C44">
        <v>3</v>
      </c>
      <c r="D44">
        <v>27100</v>
      </c>
      <c r="E44">
        <v>-2.45</v>
      </c>
      <c r="F44">
        <v>49042</v>
      </c>
      <c r="G44">
        <v>34331</v>
      </c>
      <c r="H44">
        <v>30135</v>
      </c>
      <c r="I44">
        <v>-80.97</v>
      </c>
      <c r="J44">
        <v>-26.68</v>
      </c>
      <c r="K44">
        <v>-11.2</v>
      </c>
      <c r="L44">
        <v>15.94</v>
      </c>
      <c r="M44" t="b">
        <v>1</v>
      </c>
      <c r="N44">
        <v>2710</v>
      </c>
      <c r="O44">
        <v>51197</v>
      </c>
      <c r="P44" t="s">
        <v>42</v>
      </c>
      <c r="Q44">
        <v>42.74</v>
      </c>
      <c r="R44" t="s">
        <v>358</v>
      </c>
      <c r="S44" t="s">
        <v>674</v>
      </c>
      <c r="T44">
        <v>4529</v>
      </c>
      <c r="U44">
        <v>350</v>
      </c>
      <c r="V44">
        <v>3011</v>
      </c>
      <c r="W44">
        <v>625978</v>
      </c>
      <c r="X44">
        <v>1.61</v>
      </c>
    </row>
    <row r="45" spans="1:24">
      <c r="A45" s="2">
        <f>HYPERLINK("https://finance.naver.com/item/coinfo.nhn?code=028150", "A028150")</f>
        <v>0</v>
      </c>
      <c r="B45">
        <f>HYPERLINK("http://comp.fnguide.com/SVO2/ASP/SVD_Consensus.asp?pGB=1&amp;gicode=A028150&amp;cID=&amp;MenuYn=Y&amp;ReportGB=&amp;NewMenuID=108&amp;stkGb=701", "GS홈쇼핑")</f>
        <v>0</v>
      </c>
      <c r="C45">
        <v>3</v>
      </c>
      <c r="D45">
        <v>137200</v>
      </c>
      <c r="E45">
        <v>0.99</v>
      </c>
      <c r="F45">
        <v>258727</v>
      </c>
      <c r="G45">
        <v>218779</v>
      </c>
      <c r="H45">
        <v>207386</v>
      </c>
      <c r="I45">
        <v>-88.58</v>
      </c>
      <c r="J45">
        <v>-59.46</v>
      </c>
      <c r="K45">
        <v>-51.16</v>
      </c>
      <c r="L45">
        <v>10.74</v>
      </c>
      <c r="M45" t="b">
        <v>1</v>
      </c>
      <c r="N45">
        <v>9004</v>
      </c>
      <c r="O45">
        <v>24321</v>
      </c>
      <c r="P45" t="s">
        <v>43</v>
      </c>
      <c r="Q45">
        <v>36.1</v>
      </c>
      <c r="R45" t="s">
        <v>359</v>
      </c>
      <c r="S45" t="s">
        <v>675</v>
      </c>
      <c r="T45">
        <v>12304</v>
      </c>
      <c r="U45">
        <v>1211</v>
      </c>
      <c r="V45">
        <v>16696</v>
      </c>
      <c r="W45">
        <v>599200</v>
      </c>
      <c r="X45">
        <v>4.37</v>
      </c>
    </row>
    <row r="46" spans="1:24">
      <c r="A46" s="2">
        <f>HYPERLINK("https://finance.naver.com/item/coinfo.nhn?code=024120", "A024120")</f>
        <v>0</v>
      </c>
      <c r="B46">
        <f>HYPERLINK("http://comp.fnguide.com/SVO2/ASP/SVD_Consensus.asp?pGB=1&amp;gicode=A024120&amp;cID=&amp;MenuYn=Y&amp;ReportGB=&amp;NewMenuID=108&amp;stkGb=701", "KB오토시스")</f>
        <v>0</v>
      </c>
      <c r="C46">
        <v>3</v>
      </c>
      <c r="D46">
        <v>6340</v>
      </c>
      <c r="E46">
        <v>-0.45</v>
      </c>
      <c r="F46">
        <v>14159</v>
      </c>
      <c r="G46">
        <v>11008</v>
      </c>
      <c r="H46">
        <v>10110</v>
      </c>
      <c r="I46">
        <v>-123.33</v>
      </c>
      <c r="J46">
        <v>-73.63</v>
      </c>
      <c r="K46">
        <v>-59.46</v>
      </c>
      <c r="L46">
        <v>12.68</v>
      </c>
      <c r="M46" t="b">
        <v>1</v>
      </c>
      <c r="N46">
        <v>729</v>
      </c>
      <c r="O46">
        <v>11279</v>
      </c>
      <c r="P46" t="s">
        <v>44</v>
      </c>
      <c r="Q46">
        <v>72.06999999999999</v>
      </c>
      <c r="R46" t="s">
        <v>360</v>
      </c>
      <c r="S46" t="s">
        <v>676</v>
      </c>
      <c r="T46">
        <v>1478</v>
      </c>
      <c r="U46">
        <v>127</v>
      </c>
      <c r="V46">
        <v>930</v>
      </c>
      <c r="X46">
        <v>3.72</v>
      </c>
    </row>
    <row r="47" spans="1:24">
      <c r="A47" s="2">
        <f>HYPERLINK("https://finance.naver.com/item/coinfo.nhn?code=151860", "A151860")</f>
        <v>0</v>
      </c>
      <c r="B47">
        <f>HYPERLINK("http://comp.fnguide.com/SVO2/ASP/SVD_Consensus.asp?pGB=1&amp;gicode=A151860&amp;cID=&amp;MenuYn=Y&amp;ReportGB=&amp;NewMenuID=108&amp;stkGb=701", "KG ETS")</f>
        <v>0</v>
      </c>
      <c r="C47">
        <v>3</v>
      </c>
      <c r="D47">
        <v>5150</v>
      </c>
      <c r="E47">
        <v>0.02</v>
      </c>
      <c r="F47">
        <v>25313</v>
      </c>
      <c r="G47">
        <v>14323</v>
      </c>
      <c r="H47">
        <v>11188</v>
      </c>
      <c r="I47">
        <v>-391.52</v>
      </c>
      <c r="J47">
        <v>-178.11</v>
      </c>
      <c r="K47">
        <v>-117.24</v>
      </c>
      <c r="L47">
        <v>28.81</v>
      </c>
      <c r="M47" t="b">
        <v>0</v>
      </c>
      <c r="N47">
        <v>1854</v>
      </c>
      <c r="O47">
        <v>2856100</v>
      </c>
      <c r="P47" t="s">
        <v>45</v>
      </c>
      <c r="Q47">
        <v>46.5</v>
      </c>
      <c r="R47" t="s">
        <v>361</v>
      </c>
      <c r="S47" t="s">
        <v>677</v>
      </c>
      <c r="T47">
        <v>1609</v>
      </c>
      <c r="U47">
        <v>159</v>
      </c>
      <c r="V47">
        <v>2716</v>
      </c>
      <c r="W47">
        <v>1433682</v>
      </c>
      <c r="X47">
        <v>3.31</v>
      </c>
    </row>
    <row r="48" spans="1:24">
      <c r="A48" s="2">
        <f>HYPERLINK("https://finance.naver.com/item/coinfo.nhn?code=024940", "A024940")</f>
        <v>0</v>
      </c>
      <c r="B48">
        <f>HYPERLINK("http://comp.fnguide.com/SVO2/ASP/SVD_Consensus.asp?pGB=1&amp;gicode=A024940&amp;cID=&amp;MenuYn=Y&amp;ReportGB=&amp;NewMenuID=108&amp;stkGb=701", "PN풍년")</f>
        <v>0</v>
      </c>
      <c r="C48">
        <v>3</v>
      </c>
      <c r="D48">
        <v>4025</v>
      </c>
      <c r="E48">
        <v>0.25</v>
      </c>
      <c r="F48">
        <v>5165</v>
      </c>
      <c r="G48">
        <v>4648</v>
      </c>
      <c r="H48">
        <v>4500</v>
      </c>
      <c r="I48">
        <v>-28.33</v>
      </c>
      <c r="J48">
        <v>-15.48</v>
      </c>
      <c r="K48">
        <v>-11.81</v>
      </c>
      <c r="L48">
        <v>9.58</v>
      </c>
      <c r="M48" t="b">
        <v>1</v>
      </c>
      <c r="N48">
        <v>403</v>
      </c>
      <c r="O48">
        <v>105491</v>
      </c>
      <c r="P48" t="s">
        <v>46</v>
      </c>
      <c r="Q48">
        <v>38.07</v>
      </c>
      <c r="R48" t="s">
        <v>362</v>
      </c>
      <c r="S48" t="s">
        <v>678</v>
      </c>
      <c r="T48">
        <v>546</v>
      </c>
      <c r="U48">
        <v>-13</v>
      </c>
      <c r="V48">
        <v>542</v>
      </c>
      <c r="W48">
        <v>1101320</v>
      </c>
      <c r="X48">
        <v>1.12</v>
      </c>
    </row>
    <row r="49" spans="1:24">
      <c r="A49" s="2">
        <f>HYPERLINK("https://finance.naver.com/item/coinfo.nhn?code=091340", "A091340")</f>
        <v>0</v>
      </c>
      <c r="B49">
        <f>HYPERLINK("http://comp.fnguide.com/SVO2/ASP/SVD_Consensus.asp?pGB=1&amp;gicode=A091340&amp;cID=&amp;MenuYn=Y&amp;ReportGB=&amp;NewMenuID=108&amp;stkGb=701", "S&amp;K폴리텍")</f>
        <v>0</v>
      </c>
      <c r="C49">
        <v>3</v>
      </c>
      <c r="D49">
        <v>5040</v>
      </c>
      <c r="E49">
        <v>0.12</v>
      </c>
      <c r="F49">
        <v>14362</v>
      </c>
      <c r="G49">
        <v>10494</v>
      </c>
      <c r="H49">
        <v>9391</v>
      </c>
      <c r="I49">
        <v>-184.95</v>
      </c>
      <c r="J49">
        <v>-108.22</v>
      </c>
      <c r="K49">
        <v>-86.33</v>
      </c>
      <c r="L49">
        <v>14.47</v>
      </c>
      <c r="M49" t="b">
        <v>1</v>
      </c>
      <c r="N49">
        <v>590</v>
      </c>
      <c r="O49">
        <v>86982</v>
      </c>
      <c r="P49" t="s">
        <v>47</v>
      </c>
      <c r="Q49">
        <v>42.34</v>
      </c>
      <c r="R49" t="s">
        <v>363</v>
      </c>
      <c r="S49" t="s">
        <v>679</v>
      </c>
      <c r="T49">
        <v>3380</v>
      </c>
      <c r="U49">
        <v>257</v>
      </c>
      <c r="V49">
        <v>1311</v>
      </c>
      <c r="W49">
        <v>494438</v>
      </c>
    </row>
    <row r="50" spans="1:24">
      <c r="A50" s="2">
        <f>HYPERLINK("https://finance.naver.com/item/coinfo.nhn?code=255220", "A255220")</f>
        <v>0</v>
      </c>
      <c r="B50">
        <f>HYPERLINK("http://comp.fnguide.com/SVO2/ASP/SVD_Consensus.asp?pGB=1&amp;gicode=A255220&amp;cID=&amp;MenuYn=Y&amp;ReportGB=&amp;NewMenuID=108&amp;stkGb=701", "SG")</f>
        <v>0</v>
      </c>
      <c r="C50">
        <v>3</v>
      </c>
      <c r="D50">
        <v>1835</v>
      </c>
      <c r="E50">
        <v>-11.08</v>
      </c>
      <c r="F50">
        <v>5280</v>
      </c>
      <c r="G50">
        <v>3290</v>
      </c>
      <c r="H50">
        <v>2722</v>
      </c>
      <c r="I50">
        <v>-187.75</v>
      </c>
      <c r="J50">
        <v>-79.28</v>
      </c>
      <c r="K50">
        <v>-48.34</v>
      </c>
      <c r="L50">
        <v>21.44</v>
      </c>
      <c r="M50" t="b">
        <v>1</v>
      </c>
      <c r="N50">
        <v>674</v>
      </c>
      <c r="O50">
        <v>62332</v>
      </c>
      <c r="P50" t="s">
        <v>48</v>
      </c>
      <c r="Q50">
        <v>40.46</v>
      </c>
      <c r="R50" t="s">
        <v>364</v>
      </c>
      <c r="S50" t="s">
        <v>680</v>
      </c>
      <c r="T50">
        <v>1328</v>
      </c>
      <c r="U50">
        <v>128</v>
      </c>
      <c r="V50">
        <v>277</v>
      </c>
      <c r="W50">
        <v>754641</v>
      </c>
    </row>
    <row r="51" spans="1:24">
      <c r="A51" s="2">
        <f>HYPERLINK("https://finance.naver.com/item/coinfo.nhn?code=078890", "A078890")</f>
        <v>0</v>
      </c>
      <c r="B51">
        <f>HYPERLINK("http://comp.fnguide.com/SVO2/ASP/SVD_Consensus.asp?pGB=1&amp;gicode=A078890&amp;cID=&amp;MenuYn=Y&amp;ReportGB=&amp;NewMenuID=108&amp;stkGb=701", "가온미디어")</f>
        <v>0</v>
      </c>
      <c r="C51">
        <v>3</v>
      </c>
      <c r="D51">
        <v>6400</v>
      </c>
      <c r="E51">
        <v>-0.46</v>
      </c>
      <c r="F51">
        <v>11372</v>
      </c>
      <c r="G51">
        <v>11123</v>
      </c>
      <c r="H51">
        <v>11052</v>
      </c>
      <c r="I51">
        <v>-77.69</v>
      </c>
      <c r="J51">
        <v>-73.8</v>
      </c>
      <c r="K51">
        <v>-72.69</v>
      </c>
      <c r="L51">
        <v>8.279999999999999</v>
      </c>
      <c r="M51" t="b">
        <v>1</v>
      </c>
      <c r="N51">
        <v>965</v>
      </c>
      <c r="O51">
        <v>256801</v>
      </c>
      <c r="P51" t="s">
        <v>49</v>
      </c>
      <c r="Q51">
        <v>16.06</v>
      </c>
      <c r="R51" t="s">
        <v>365</v>
      </c>
      <c r="S51" t="s">
        <v>681</v>
      </c>
      <c r="T51">
        <v>6010</v>
      </c>
      <c r="U51">
        <v>291</v>
      </c>
      <c r="V51">
        <v>1200</v>
      </c>
      <c r="W51">
        <v>664245</v>
      </c>
      <c r="X51">
        <v>1.19</v>
      </c>
    </row>
    <row r="52" spans="1:24">
      <c r="A52" s="2">
        <f>HYPERLINK("https://finance.naver.com/item/coinfo.nhn?code=900280", "A900280")</f>
        <v>0</v>
      </c>
      <c r="B52">
        <f>HYPERLINK("http://comp.fnguide.com/SVO2/ASP/SVD_Consensus.asp?pGB=1&amp;gicode=A900280&amp;cID=&amp;MenuYn=Y&amp;ReportGB=&amp;NewMenuID=108&amp;stkGb=701", "골든센츄리")</f>
        <v>0</v>
      </c>
      <c r="C52">
        <v>3</v>
      </c>
      <c r="D52">
        <v>313</v>
      </c>
      <c r="E52">
        <v>-0.05</v>
      </c>
      <c r="F52">
        <v>2322</v>
      </c>
      <c r="G52">
        <v>1746</v>
      </c>
      <c r="H52">
        <v>1581</v>
      </c>
      <c r="I52">
        <v>-641.83</v>
      </c>
      <c r="J52">
        <v>-457.7</v>
      </c>
      <c r="K52">
        <v>-405.18</v>
      </c>
      <c r="L52">
        <v>13.6</v>
      </c>
      <c r="M52" t="b">
        <v>0</v>
      </c>
      <c r="N52">
        <v>497</v>
      </c>
      <c r="O52">
        <v>1350344</v>
      </c>
      <c r="P52" t="s">
        <v>50</v>
      </c>
      <c r="Q52">
        <v>28.29</v>
      </c>
      <c r="R52" t="s">
        <v>366</v>
      </c>
      <c r="S52" t="s">
        <v>682</v>
      </c>
      <c r="T52">
        <v>1131</v>
      </c>
      <c r="U52">
        <v>294</v>
      </c>
      <c r="V52">
        <v>214</v>
      </c>
    </row>
    <row r="53" spans="1:24">
      <c r="A53" s="2">
        <f>HYPERLINK("https://finance.naver.com/item/coinfo.nhn?code=066620", "A066620")</f>
        <v>0</v>
      </c>
      <c r="B53">
        <f>HYPERLINK("http://comp.fnguide.com/SVO2/ASP/SVD_Consensus.asp?pGB=1&amp;gicode=A066620&amp;cID=&amp;MenuYn=Y&amp;ReportGB=&amp;NewMenuID=108&amp;stkGb=701", "국보디자인")</f>
        <v>0</v>
      </c>
      <c r="C53">
        <v>3</v>
      </c>
      <c r="D53">
        <v>17650</v>
      </c>
      <c r="E53">
        <v>0.65</v>
      </c>
      <c r="F53">
        <v>30855</v>
      </c>
      <c r="G53">
        <v>23108</v>
      </c>
      <c r="H53">
        <v>20898</v>
      </c>
      <c r="I53">
        <v>-74.81999999999999</v>
      </c>
      <c r="J53">
        <v>-30.92</v>
      </c>
      <c r="K53">
        <v>-18.4</v>
      </c>
      <c r="L53">
        <v>13.71</v>
      </c>
      <c r="M53" t="b">
        <v>1</v>
      </c>
      <c r="N53">
        <v>1324</v>
      </c>
      <c r="O53">
        <v>62103</v>
      </c>
      <c r="P53" t="s">
        <v>51</v>
      </c>
      <c r="Q53">
        <v>53.09</v>
      </c>
      <c r="R53" t="s">
        <v>367</v>
      </c>
      <c r="S53" t="s">
        <v>683</v>
      </c>
      <c r="T53">
        <v>2690</v>
      </c>
      <c r="U53">
        <v>116</v>
      </c>
      <c r="V53">
        <v>2126</v>
      </c>
      <c r="W53">
        <v>627314</v>
      </c>
      <c r="X53">
        <v>1.76</v>
      </c>
    </row>
    <row r="54" spans="1:24">
      <c r="A54" s="2">
        <f>HYPERLINK("https://finance.naver.com/item/coinfo.nhn?code=036190", "A036190")</f>
        <v>0</v>
      </c>
      <c r="B54">
        <f>HYPERLINK("http://comp.fnguide.com/SVO2/ASP/SVD_Consensus.asp?pGB=1&amp;gicode=A036190&amp;cID=&amp;MenuYn=Y&amp;ReportGB=&amp;NewMenuID=108&amp;stkGb=701", "금화피에스시")</f>
        <v>0</v>
      </c>
      <c r="C54">
        <v>3</v>
      </c>
      <c r="D54">
        <v>29550</v>
      </c>
      <c r="E54">
        <v>0.8100000000000001</v>
      </c>
      <c r="F54">
        <v>73877</v>
      </c>
      <c r="G54">
        <v>53854</v>
      </c>
      <c r="H54">
        <v>48143</v>
      </c>
      <c r="I54">
        <v>-150.01</v>
      </c>
      <c r="J54">
        <v>-82.25</v>
      </c>
      <c r="K54">
        <v>-62.92</v>
      </c>
      <c r="L54">
        <v>14.54</v>
      </c>
      <c r="M54" t="b">
        <v>1</v>
      </c>
      <c r="N54">
        <v>1773</v>
      </c>
      <c r="O54">
        <v>17691</v>
      </c>
      <c r="P54" t="s">
        <v>52</v>
      </c>
      <c r="Q54">
        <v>36.08</v>
      </c>
      <c r="R54" t="s">
        <v>368</v>
      </c>
      <c r="S54" t="s">
        <v>684</v>
      </c>
      <c r="T54">
        <v>2094</v>
      </c>
      <c r="U54">
        <v>343</v>
      </c>
      <c r="V54">
        <v>4614</v>
      </c>
      <c r="W54">
        <v>94210</v>
      </c>
      <c r="X54">
        <v>4.41</v>
      </c>
    </row>
    <row r="55" spans="1:24">
      <c r="A55" s="2">
        <f>HYPERLINK("https://finance.naver.com/item/coinfo.nhn?code=308100", "A308100")</f>
        <v>0</v>
      </c>
      <c r="B55">
        <f>HYPERLINK("http://comp.fnguide.com/SVO2/ASP/SVD_Consensus.asp?pGB=1&amp;gicode=A308100&amp;cID=&amp;MenuYn=Y&amp;ReportGB=&amp;NewMenuID=108&amp;stkGb=701", "까스텔바작")</f>
        <v>0</v>
      </c>
      <c r="C55">
        <v>3</v>
      </c>
      <c r="D55">
        <v>9430</v>
      </c>
      <c r="E55">
        <v>-1.2</v>
      </c>
      <c r="F55">
        <v>19842</v>
      </c>
      <c r="G55">
        <v>14909</v>
      </c>
      <c r="H55">
        <v>13501</v>
      </c>
      <c r="I55">
        <v>-110.42</v>
      </c>
      <c r="J55">
        <v>-58.1</v>
      </c>
      <c r="K55">
        <v>-43.18</v>
      </c>
      <c r="L55">
        <v>13.62</v>
      </c>
      <c r="M55" t="b">
        <v>1</v>
      </c>
      <c r="N55">
        <v>622</v>
      </c>
      <c r="O55">
        <v>26322</v>
      </c>
      <c r="P55" t="s">
        <v>53</v>
      </c>
      <c r="Q55">
        <v>70.48999999999999</v>
      </c>
      <c r="R55" t="s">
        <v>369</v>
      </c>
      <c r="S55" t="s">
        <v>685</v>
      </c>
      <c r="T55">
        <v>814</v>
      </c>
      <c r="U55">
        <v>90</v>
      </c>
      <c r="V55">
        <v>1083</v>
      </c>
    </row>
    <row r="56" spans="1:24">
      <c r="A56" s="2">
        <f>HYPERLINK("https://finance.naver.com/item/coinfo.nhn?code=035890", "A035890")</f>
        <v>0</v>
      </c>
      <c r="B56">
        <f>HYPERLINK("http://comp.fnguide.com/SVO2/ASP/SVD_Consensus.asp?pGB=1&amp;gicode=A035890&amp;cID=&amp;MenuYn=Y&amp;ReportGB=&amp;NewMenuID=108&amp;stkGb=701", "서희건설")</f>
        <v>0</v>
      </c>
      <c r="C56">
        <v>3</v>
      </c>
      <c r="D56">
        <v>1375</v>
      </c>
      <c r="E56">
        <v>0.06</v>
      </c>
      <c r="F56">
        <v>3431</v>
      </c>
      <c r="G56">
        <v>2402</v>
      </c>
      <c r="H56">
        <v>2108</v>
      </c>
      <c r="I56">
        <v>-149.52</v>
      </c>
      <c r="J56">
        <v>-74.68000000000001</v>
      </c>
      <c r="K56">
        <v>-53.33</v>
      </c>
      <c r="L56">
        <v>15.94</v>
      </c>
      <c r="M56" t="b">
        <v>1</v>
      </c>
      <c r="N56">
        <v>2847</v>
      </c>
      <c r="O56">
        <v>1806467</v>
      </c>
      <c r="P56" t="s">
        <v>54</v>
      </c>
      <c r="Q56">
        <v>48.87</v>
      </c>
      <c r="R56" t="s">
        <v>370</v>
      </c>
      <c r="S56" t="s">
        <v>686</v>
      </c>
      <c r="T56">
        <v>12430</v>
      </c>
      <c r="U56">
        <v>1182</v>
      </c>
      <c r="V56">
        <v>294</v>
      </c>
      <c r="W56">
        <v>9575559</v>
      </c>
      <c r="X56">
        <v>2.68</v>
      </c>
    </row>
    <row r="57" spans="1:24">
      <c r="A57" s="2">
        <f>HYPERLINK("https://finance.naver.com/item/coinfo.nhn?code=036830", "A036830")</f>
        <v>0</v>
      </c>
      <c r="B57">
        <f>HYPERLINK("http://comp.fnguide.com/SVO2/ASP/SVD_Consensus.asp?pGB=1&amp;gicode=A036830&amp;cID=&amp;MenuYn=Y&amp;ReportGB=&amp;NewMenuID=108&amp;stkGb=701", "솔브레인홀딩스")</f>
        <v>0</v>
      </c>
      <c r="C57">
        <v>3</v>
      </c>
      <c r="D57">
        <v>42800</v>
      </c>
      <c r="E57">
        <v>0.07000000000000001</v>
      </c>
      <c r="F57">
        <v>154825</v>
      </c>
      <c r="G57">
        <v>116745</v>
      </c>
      <c r="H57">
        <v>105885</v>
      </c>
      <c r="I57">
        <v>-261.74</v>
      </c>
      <c r="J57">
        <v>-172.77</v>
      </c>
      <c r="K57">
        <v>-147.39</v>
      </c>
      <c r="L57">
        <v>13.52</v>
      </c>
      <c r="M57" t="b">
        <v>1</v>
      </c>
      <c r="N57">
        <v>4117</v>
      </c>
      <c r="O57">
        <v>49128</v>
      </c>
      <c r="P57" t="s">
        <v>55</v>
      </c>
      <c r="Q57">
        <v>43.45</v>
      </c>
      <c r="R57" t="s">
        <v>371</v>
      </c>
      <c r="S57" t="s">
        <v>687</v>
      </c>
      <c r="T57">
        <v>10213</v>
      </c>
      <c r="U57">
        <v>1742</v>
      </c>
      <c r="V57">
        <v>6737</v>
      </c>
      <c r="W57">
        <v>526253</v>
      </c>
      <c r="X57">
        <v>2.1</v>
      </c>
    </row>
    <row r="58" spans="1:24">
      <c r="A58" s="2">
        <f>HYPERLINK("https://finance.naver.com/item/coinfo.nhn?code=071050", "A071050")</f>
        <v>0</v>
      </c>
      <c r="B58">
        <f>HYPERLINK("http://comp.fnguide.com/SVO2/ASP/SVD_Consensus.asp?pGB=1&amp;gicode=A071050&amp;cID=&amp;MenuYn=Y&amp;ReportGB=&amp;NewMenuID=108&amp;stkGb=701", "한국금융지주")</f>
        <v>0</v>
      </c>
      <c r="C58">
        <v>3</v>
      </c>
      <c r="D58">
        <v>77400</v>
      </c>
      <c r="E58">
        <v>2.29</v>
      </c>
      <c r="F58">
        <v>187159</v>
      </c>
      <c r="G58">
        <v>131739</v>
      </c>
      <c r="H58">
        <v>115933</v>
      </c>
      <c r="I58">
        <v>-141.81</v>
      </c>
      <c r="J58">
        <v>-70.20999999999999</v>
      </c>
      <c r="K58">
        <v>-49.78</v>
      </c>
      <c r="L58">
        <v>15.74</v>
      </c>
      <c r="M58" t="b">
        <v>1</v>
      </c>
      <c r="N58">
        <v>43132</v>
      </c>
      <c r="O58">
        <v>358798</v>
      </c>
      <c r="P58" t="s">
        <v>56</v>
      </c>
      <c r="Q58">
        <v>20.7</v>
      </c>
      <c r="R58" t="s">
        <v>372</v>
      </c>
      <c r="S58" t="s">
        <v>688</v>
      </c>
      <c r="T58">
        <v>14001</v>
      </c>
      <c r="U58">
        <v>9418</v>
      </c>
      <c r="V58">
        <v>13724</v>
      </c>
      <c r="W58">
        <v>2987479</v>
      </c>
      <c r="X58">
        <v>4.01</v>
      </c>
    </row>
    <row r="59" spans="1:24">
      <c r="A59" s="2">
        <f>HYPERLINK("https://finance.naver.com/item/coinfo.nhn?code=251970", "A251970")</f>
        <v>0</v>
      </c>
      <c r="B59">
        <f>HYPERLINK("http://comp.fnguide.com/SVO2/ASP/SVD_Consensus.asp?pGB=1&amp;gicode=A251970&amp;cID=&amp;MenuYn=Y&amp;ReportGB=&amp;NewMenuID=108&amp;stkGb=701", "펌텍코리아")</f>
        <v>0</v>
      </c>
      <c r="C59">
        <v>3</v>
      </c>
      <c r="D59">
        <v>14400</v>
      </c>
      <c r="E59">
        <v>-2.33</v>
      </c>
      <c r="F59">
        <v>35401</v>
      </c>
      <c r="G59">
        <v>21300</v>
      </c>
      <c r="H59">
        <v>17279</v>
      </c>
      <c r="I59">
        <v>-145.84</v>
      </c>
      <c r="J59">
        <v>-47.92</v>
      </c>
      <c r="K59">
        <v>-19.99</v>
      </c>
      <c r="L59">
        <v>23.7</v>
      </c>
      <c r="M59" t="b">
        <v>1</v>
      </c>
      <c r="N59">
        <v>1786</v>
      </c>
      <c r="O59">
        <v>20729</v>
      </c>
      <c r="P59" t="s">
        <v>57</v>
      </c>
      <c r="Q59">
        <v>61.4</v>
      </c>
      <c r="R59" t="s">
        <v>373</v>
      </c>
      <c r="S59" t="s">
        <v>689</v>
      </c>
      <c r="T59">
        <v>1754</v>
      </c>
      <c r="U59">
        <v>269</v>
      </c>
      <c r="V59">
        <v>1661</v>
      </c>
      <c r="W59">
        <v>287382</v>
      </c>
      <c r="X59">
        <v>1.79</v>
      </c>
    </row>
    <row r="60" spans="1:24">
      <c r="A60" s="2">
        <f>HYPERLINK("https://finance.naver.com/item/coinfo.nhn?code=190650", "A190650")</f>
        <v>0</v>
      </c>
      <c r="B60">
        <f>HYPERLINK("http://comp.fnguide.com/SVO2/ASP/SVD_Consensus.asp?pGB=1&amp;gicode=A190650&amp;cID=&amp;MenuYn=Y&amp;ReportGB=&amp;NewMenuID=108&amp;stkGb=701", "코리아에셋투자증권")</f>
        <v>0</v>
      </c>
      <c r="C60">
        <v>3</v>
      </c>
      <c r="D60">
        <v>7630</v>
      </c>
      <c r="E60">
        <v>0.34</v>
      </c>
      <c r="F60">
        <v>15563</v>
      </c>
      <c r="G60">
        <v>12760</v>
      </c>
      <c r="H60">
        <v>11960</v>
      </c>
      <c r="I60">
        <v>-103.97</v>
      </c>
      <c r="J60">
        <v>-67.23</v>
      </c>
      <c r="K60">
        <v>-56.75</v>
      </c>
      <c r="L60">
        <v>11.4</v>
      </c>
      <c r="M60" t="b">
        <v>1</v>
      </c>
      <c r="N60">
        <v>487</v>
      </c>
      <c r="O60">
        <v>43173</v>
      </c>
      <c r="P60" t="s">
        <v>58</v>
      </c>
      <c r="Q60">
        <v>51.42</v>
      </c>
      <c r="R60" t="s">
        <v>374</v>
      </c>
      <c r="S60" t="s">
        <v>690</v>
      </c>
      <c r="T60">
        <v>560</v>
      </c>
      <c r="U60">
        <v>94</v>
      </c>
      <c r="V60">
        <v>1207</v>
      </c>
      <c r="X60">
        <v>5.52</v>
      </c>
    </row>
    <row r="61" spans="1:24">
      <c r="A61" s="2">
        <f>HYPERLINK("https://finance.naver.com/item/coinfo.nhn?code=049430", "A049430")</f>
        <v>0</v>
      </c>
      <c r="B61">
        <f>HYPERLINK("http://comp.fnguide.com/SVO2/ASP/SVD_Consensus.asp?pGB=1&amp;gicode=A049430&amp;cID=&amp;MenuYn=Y&amp;ReportGB=&amp;NewMenuID=108&amp;stkGb=701", "코메론")</f>
        <v>0</v>
      </c>
      <c r="C61">
        <v>3</v>
      </c>
      <c r="D61">
        <v>8760</v>
      </c>
      <c r="E61">
        <v>-2.59</v>
      </c>
      <c r="F61">
        <v>21207</v>
      </c>
      <c r="G61">
        <v>18656</v>
      </c>
      <c r="H61">
        <v>17929</v>
      </c>
      <c r="I61">
        <v>-142.08</v>
      </c>
      <c r="J61">
        <v>-112.97</v>
      </c>
      <c r="K61">
        <v>-104.67</v>
      </c>
      <c r="L61">
        <v>9.98</v>
      </c>
      <c r="M61" t="b">
        <v>1</v>
      </c>
      <c r="N61">
        <v>793</v>
      </c>
      <c r="O61">
        <v>36365</v>
      </c>
      <c r="P61" t="s">
        <v>59</v>
      </c>
      <c r="Q61">
        <v>38.73</v>
      </c>
      <c r="R61" t="s">
        <v>375</v>
      </c>
      <c r="S61" t="s">
        <v>691</v>
      </c>
      <c r="T61">
        <v>666</v>
      </c>
      <c r="U61">
        <v>139</v>
      </c>
      <c r="V61">
        <v>1581</v>
      </c>
      <c r="W61">
        <v>763630</v>
      </c>
      <c r="X61">
        <v>2.34</v>
      </c>
    </row>
    <row r="62" spans="1:24">
      <c r="A62" s="2">
        <f>HYPERLINK("https://finance.naver.com/item/coinfo.nhn?code=056360", "A056360")</f>
        <v>0</v>
      </c>
      <c r="B62">
        <f>HYPERLINK("http://comp.fnguide.com/SVO2/ASP/SVD_Consensus.asp?pGB=1&amp;gicode=A056360&amp;cID=&amp;MenuYn=Y&amp;ReportGB=&amp;NewMenuID=108&amp;stkGb=701", "코위버")</f>
        <v>0</v>
      </c>
      <c r="C62">
        <v>3</v>
      </c>
      <c r="D62">
        <v>10300</v>
      </c>
      <c r="E62">
        <v>-0.47</v>
      </c>
      <c r="F62">
        <v>20311</v>
      </c>
      <c r="G62">
        <v>15734</v>
      </c>
      <c r="H62">
        <v>14428</v>
      </c>
      <c r="I62">
        <v>-97.2</v>
      </c>
      <c r="J62">
        <v>-52.76</v>
      </c>
      <c r="K62">
        <v>-40.08</v>
      </c>
      <c r="L62">
        <v>12.77</v>
      </c>
      <c r="M62" t="b">
        <v>1</v>
      </c>
      <c r="N62">
        <v>1009</v>
      </c>
      <c r="O62">
        <v>442207</v>
      </c>
      <c r="P62" t="s">
        <v>60</v>
      </c>
      <c r="Q62">
        <v>28.91</v>
      </c>
      <c r="R62" t="s">
        <v>376</v>
      </c>
      <c r="S62" t="s">
        <v>692</v>
      </c>
      <c r="T62">
        <v>1131</v>
      </c>
      <c r="U62">
        <v>117</v>
      </c>
      <c r="V62">
        <v>2107</v>
      </c>
      <c r="W62">
        <v>450345</v>
      </c>
      <c r="X62">
        <v>2.26</v>
      </c>
    </row>
    <row r="63" spans="1:24">
      <c r="A63" s="2">
        <f>HYPERLINK("https://finance.naver.com/item/coinfo.nhn?code=282880", "A282880")</f>
        <v>0</v>
      </c>
      <c r="B63">
        <f>HYPERLINK("http://comp.fnguide.com/SVO2/ASP/SVD_Consensus.asp?pGB=1&amp;gicode=A282880&amp;cID=&amp;MenuYn=Y&amp;ReportGB=&amp;NewMenuID=108&amp;stkGb=701", "코윈테크")</f>
        <v>0</v>
      </c>
      <c r="C63">
        <v>3</v>
      </c>
      <c r="D63">
        <v>21150</v>
      </c>
      <c r="E63">
        <v>-0.78</v>
      </c>
      <c r="F63">
        <v>57407</v>
      </c>
      <c r="G63">
        <v>29874</v>
      </c>
      <c r="H63">
        <v>22021</v>
      </c>
      <c r="I63">
        <v>-171.43</v>
      </c>
      <c r="J63">
        <v>-41.25</v>
      </c>
      <c r="K63">
        <v>-4.12</v>
      </c>
      <c r="L63">
        <v>39.63</v>
      </c>
      <c r="M63" t="b">
        <v>1</v>
      </c>
      <c r="N63">
        <v>1957</v>
      </c>
      <c r="O63">
        <v>45439</v>
      </c>
      <c r="P63" t="s">
        <v>61</v>
      </c>
      <c r="Q63">
        <v>24.47</v>
      </c>
      <c r="R63" t="s">
        <v>377</v>
      </c>
      <c r="S63" t="s">
        <v>693</v>
      </c>
      <c r="T63">
        <v>911</v>
      </c>
      <c r="U63">
        <v>208</v>
      </c>
      <c r="V63">
        <v>2120</v>
      </c>
      <c r="W63">
        <v>307389</v>
      </c>
      <c r="X63">
        <v>1.85</v>
      </c>
    </row>
    <row r="64" spans="1:24">
      <c r="A64" s="2">
        <f>HYPERLINK("https://finance.naver.com/item/coinfo.nhn?code=015710", "A015710")</f>
        <v>0</v>
      </c>
      <c r="B64">
        <f>HYPERLINK("http://comp.fnguide.com/SVO2/ASP/SVD_Consensus.asp?pGB=1&amp;gicode=A015710&amp;cID=&amp;MenuYn=Y&amp;ReportGB=&amp;NewMenuID=108&amp;stkGb=701", "코콤")</f>
        <v>0</v>
      </c>
      <c r="C64">
        <v>3</v>
      </c>
      <c r="D64">
        <v>6850</v>
      </c>
      <c r="E64">
        <v>-5.45</v>
      </c>
      <c r="F64">
        <v>8611</v>
      </c>
      <c r="G64">
        <v>7705</v>
      </c>
      <c r="H64">
        <v>7447</v>
      </c>
      <c r="I64">
        <v>-25.7</v>
      </c>
      <c r="J64">
        <v>-12.49</v>
      </c>
      <c r="K64">
        <v>-8.720000000000001</v>
      </c>
      <c r="L64">
        <v>9.67</v>
      </c>
      <c r="M64" t="b">
        <v>1</v>
      </c>
      <c r="N64">
        <v>1201</v>
      </c>
      <c r="O64">
        <v>120027</v>
      </c>
      <c r="P64" t="s">
        <v>62</v>
      </c>
      <c r="Q64">
        <v>59.2</v>
      </c>
      <c r="R64" t="s">
        <v>378</v>
      </c>
      <c r="S64" t="s">
        <v>694</v>
      </c>
      <c r="T64">
        <v>1339</v>
      </c>
      <c r="U64">
        <v>133</v>
      </c>
      <c r="V64">
        <v>469</v>
      </c>
      <c r="W64">
        <v>932563</v>
      </c>
      <c r="X64">
        <v>2.44</v>
      </c>
    </row>
    <row r="65" spans="1:24">
      <c r="A65" s="2">
        <f>HYPERLINK("https://finance.naver.com/item/coinfo.nhn?code=052330", "A052330")</f>
        <v>0</v>
      </c>
      <c r="B65">
        <f>HYPERLINK("http://comp.fnguide.com/SVO2/ASP/SVD_Consensus.asp?pGB=1&amp;gicode=A052330&amp;cID=&amp;MenuYn=Y&amp;ReportGB=&amp;NewMenuID=108&amp;stkGb=701", "코텍")</f>
        <v>0</v>
      </c>
      <c r="C65">
        <v>3</v>
      </c>
      <c r="D65">
        <v>9070</v>
      </c>
      <c r="E65">
        <v>-0.15</v>
      </c>
      <c r="F65">
        <v>29945</v>
      </c>
      <c r="G65">
        <v>25330</v>
      </c>
      <c r="H65">
        <v>24014</v>
      </c>
      <c r="I65">
        <v>-230.16</v>
      </c>
      <c r="J65">
        <v>-179.27</v>
      </c>
      <c r="K65">
        <v>-164.76</v>
      </c>
      <c r="L65">
        <v>10.73</v>
      </c>
      <c r="M65" t="b">
        <v>1</v>
      </c>
      <c r="N65">
        <v>1413</v>
      </c>
      <c r="O65">
        <v>46568</v>
      </c>
      <c r="P65" t="s">
        <v>63</v>
      </c>
      <c r="Q65">
        <v>32.95</v>
      </c>
      <c r="R65" t="s">
        <v>379</v>
      </c>
      <c r="S65" t="s">
        <v>695</v>
      </c>
      <c r="T65">
        <v>2853</v>
      </c>
      <c r="U65">
        <v>331</v>
      </c>
      <c r="V65">
        <v>1975</v>
      </c>
      <c r="W65">
        <v>1293395</v>
      </c>
      <c r="X65">
        <v>3.11</v>
      </c>
    </row>
    <row r="66" spans="1:24">
      <c r="A66" s="2">
        <f>HYPERLINK("https://finance.naver.com/item/coinfo.nhn?code=110790", "A110790")</f>
        <v>0</v>
      </c>
      <c r="B66">
        <f>HYPERLINK("http://comp.fnguide.com/SVO2/ASP/SVD_Consensus.asp?pGB=1&amp;gicode=A110790&amp;cID=&amp;MenuYn=Y&amp;ReportGB=&amp;NewMenuID=108&amp;stkGb=701", "크리스에프앤씨")</f>
        <v>0</v>
      </c>
      <c r="C66">
        <v>3</v>
      </c>
      <c r="D66">
        <v>22200</v>
      </c>
      <c r="E66">
        <v>4.56</v>
      </c>
      <c r="F66">
        <v>45501</v>
      </c>
      <c r="G66">
        <v>30196</v>
      </c>
      <c r="H66">
        <v>25831</v>
      </c>
      <c r="I66">
        <v>-104.96</v>
      </c>
      <c r="J66">
        <v>-36.02</v>
      </c>
      <c r="K66">
        <v>-16.36</v>
      </c>
      <c r="L66">
        <v>18.14</v>
      </c>
      <c r="M66" t="b">
        <v>1</v>
      </c>
      <c r="N66">
        <v>2601</v>
      </c>
      <c r="O66">
        <v>2856</v>
      </c>
      <c r="P66" t="s">
        <v>64</v>
      </c>
      <c r="Q66">
        <v>40.12</v>
      </c>
      <c r="R66" t="s">
        <v>380</v>
      </c>
      <c r="S66" t="s">
        <v>696</v>
      </c>
      <c r="T66">
        <v>2595</v>
      </c>
      <c r="U66">
        <v>377</v>
      </c>
      <c r="V66">
        <v>2119</v>
      </c>
      <c r="W66">
        <v>874441</v>
      </c>
      <c r="X66">
        <v>2.11</v>
      </c>
    </row>
    <row r="67" spans="1:24">
      <c r="A67" s="2">
        <f>HYPERLINK("https://finance.naver.com/item/coinfo.nhn?code=900250", "A900250")</f>
        <v>0</v>
      </c>
      <c r="B67">
        <f>HYPERLINK("http://comp.fnguide.com/SVO2/ASP/SVD_Consensus.asp?pGB=1&amp;gicode=A900250&amp;cID=&amp;MenuYn=Y&amp;ReportGB=&amp;NewMenuID=108&amp;stkGb=701", "크리스탈신소재")</f>
        <v>0</v>
      </c>
      <c r="C67">
        <v>3</v>
      </c>
      <c r="D67">
        <v>1875</v>
      </c>
      <c r="E67">
        <v>-1.13</v>
      </c>
      <c r="F67">
        <v>5119</v>
      </c>
      <c r="G67">
        <v>4391</v>
      </c>
      <c r="H67">
        <v>4183</v>
      </c>
      <c r="I67">
        <v>-173.01</v>
      </c>
      <c r="J67">
        <v>-134.18</v>
      </c>
      <c r="K67">
        <v>-123.1</v>
      </c>
      <c r="L67">
        <v>10.46</v>
      </c>
      <c r="M67" t="b">
        <v>0</v>
      </c>
      <c r="N67">
        <v>1271</v>
      </c>
      <c r="O67">
        <v>1889304</v>
      </c>
      <c r="P67" t="s">
        <v>65</v>
      </c>
      <c r="Q67">
        <v>21.85</v>
      </c>
      <c r="R67" t="s">
        <v>381</v>
      </c>
      <c r="S67" t="s">
        <v>697</v>
      </c>
      <c r="T67">
        <v>846</v>
      </c>
      <c r="U67">
        <v>285</v>
      </c>
      <c r="V67">
        <v>334</v>
      </c>
    </row>
    <row r="68" spans="1:24">
      <c r="A68" s="2">
        <f>HYPERLINK("https://finance.naver.com/item/coinfo.nhn?code=065130", "A065130")</f>
        <v>0</v>
      </c>
      <c r="B68">
        <f>HYPERLINK("http://comp.fnguide.com/SVO2/ASP/SVD_Consensus.asp?pGB=1&amp;gicode=A065130&amp;cID=&amp;MenuYn=Y&amp;ReportGB=&amp;NewMenuID=108&amp;stkGb=701", "탑엔지니어링")</f>
        <v>0</v>
      </c>
      <c r="C68">
        <v>3</v>
      </c>
      <c r="D68">
        <v>10300</v>
      </c>
      <c r="E68">
        <v>0.13</v>
      </c>
      <c r="F68">
        <v>23946</v>
      </c>
      <c r="G68">
        <v>17637</v>
      </c>
      <c r="H68">
        <v>15838</v>
      </c>
      <c r="I68">
        <v>-132.48</v>
      </c>
      <c r="J68">
        <v>-71.23</v>
      </c>
      <c r="K68">
        <v>-53.77</v>
      </c>
      <c r="L68">
        <v>14.22</v>
      </c>
      <c r="M68" t="b">
        <v>1</v>
      </c>
      <c r="N68">
        <v>1646</v>
      </c>
      <c r="O68">
        <v>525483</v>
      </c>
      <c r="P68" t="s">
        <v>66</v>
      </c>
      <c r="Q68">
        <v>24.32</v>
      </c>
      <c r="R68" t="s">
        <v>382</v>
      </c>
      <c r="S68" t="s">
        <v>698</v>
      </c>
      <c r="T68">
        <v>13059</v>
      </c>
      <c r="U68">
        <v>706</v>
      </c>
      <c r="V68">
        <v>2259</v>
      </c>
      <c r="W68">
        <v>181464</v>
      </c>
      <c r="X68">
        <v>1</v>
      </c>
    </row>
    <row r="69" spans="1:24">
      <c r="A69" s="2">
        <f>HYPERLINK("https://finance.naver.com/item/coinfo.nhn?code=051360", "A051360")</f>
        <v>0</v>
      </c>
      <c r="B69">
        <f>HYPERLINK("http://comp.fnguide.com/SVO2/ASP/SVD_Consensus.asp?pGB=1&amp;gicode=A051360&amp;cID=&amp;MenuYn=Y&amp;ReportGB=&amp;NewMenuID=108&amp;stkGb=701", "토비스")</f>
        <v>0</v>
      </c>
      <c r="C69">
        <v>3</v>
      </c>
      <c r="D69">
        <v>7710</v>
      </c>
      <c r="E69">
        <v>-0.1</v>
      </c>
      <c r="F69">
        <v>18073</v>
      </c>
      <c r="G69">
        <v>15022</v>
      </c>
      <c r="H69">
        <v>14152</v>
      </c>
      <c r="I69">
        <v>-134.41</v>
      </c>
      <c r="J69">
        <v>-94.84</v>
      </c>
      <c r="K69">
        <v>-83.55</v>
      </c>
      <c r="L69">
        <v>11.1</v>
      </c>
      <c r="M69" t="b">
        <v>1</v>
      </c>
      <c r="N69">
        <v>1289</v>
      </c>
      <c r="O69">
        <v>437540</v>
      </c>
      <c r="P69" t="s">
        <v>67</v>
      </c>
      <c r="Q69">
        <v>14.3</v>
      </c>
      <c r="R69" t="s">
        <v>383</v>
      </c>
      <c r="S69" t="s">
        <v>699</v>
      </c>
      <c r="T69">
        <v>4189</v>
      </c>
      <c r="U69">
        <v>307</v>
      </c>
      <c r="V69">
        <v>1319</v>
      </c>
      <c r="W69">
        <v>1785732</v>
      </c>
      <c r="X69">
        <v>2.55</v>
      </c>
    </row>
    <row r="70" spans="1:24">
      <c r="A70" s="2">
        <f>HYPERLINK("https://finance.naver.com/item/coinfo.nhn?code=225590", "A225590")</f>
        <v>0</v>
      </c>
      <c r="B70">
        <f>HYPERLINK("http://comp.fnguide.com/SVO2/ASP/SVD_Consensus.asp?pGB=1&amp;gicode=A225590&amp;cID=&amp;MenuYn=Y&amp;ReportGB=&amp;NewMenuID=108&amp;stkGb=701", "패션플랫폼")</f>
        <v>0</v>
      </c>
      <c r="C70">
        <v>3</v>
      </c>
      <c r="D70">
        <v>1310</v>
      </c>
      <c r="E70">
        <v>-3.61</v>
      </c>
      <c r="F70">
        <v>2292</v>
      </c>
      <c r="G70">
        <v>1837</v>
      </c>
      <c r="H70">
        <v>1707</v>
      </c>
      <c r="I70">
        <v>-74.95</v>
      </c>
      <c r="J70">
        <v>-40.24</v>
      </c>
      <c r="K70">
        <v>-30.34</v>
      </c>
      <c r="L70">
        <v>11.92</v>
      </c>
      <c r="M70" t="b">
        <v>1</v>
      </c>
      <c r="N70">
        <v>349</v>
      </c>
      <c r="O70">
        <v>426183</v>
      </c>
      <c r="P70" t="s">
        <v>68</v>
      </c>
      <c r="Q70">
        <v>53.61</v>
      </c>
      <c r="R70" t="s">
        <v>384</v>
      </c>
      <c r="S70" t="s">
        <v>700</v>
      </c>
      <c r="T70">
        <v>794</v>
      </c>
      <c r="U70">
        <v>61</v>
      </c>
      <c r="V70">
        <v>156</v>
      </c>
      <c r="W70">
        <v>1029831</v>
      </c>
    </row>
    <row r="71" spans="1:24">
      <c r="A71" s="2">
        <f>HYPERLINK("https://finance.naver.com/item/coinfo.nhn?code=043370", "A043370")</f>
        <v>0</v>
      </c>
      <c r="B71">
        <f>HYPERLINK("http://comp.fnguide.com/SVO2/ASP/SVD_Consensus.asp?pGB=1&amp;gicode=A043370&amp;cID=&amp;MenuYn=Y&amp;ReportGB=&amp;NewMenuID=108&amp;stkGb=701", "평화정공")</f>
        <v>0</v>
      </c>
      <c r="C71">
        <v>3</v>
      </c>
      <c r="D71">
        <v>8350</v>
      </c>
      <c r="E71">
        <v>-0.47</v>
      </c>
      <c r="F71">
        <v>28781</v>
      </c>
      <c r="G71">
        <v>28355</v>
      </c>
      <c r="H71">
        <v>28234</v>
      </c>
      <c r="I71">
        <v>-244.69</v>
      </c>
      <c r="J71">
        <v>-239.58</v>
      </c>
      <c r="K71">
        <v>-238.13</v>
      </c>
      <c r="L71">
        <v>8.18</v>
      </c>
      <c r="M71" t="b">
        <v>1</v>
      </c>
      <c r="N71">
        <v>1754</v>
      </c>
      <c r="O71">
        <v>102840</v>
      </c>
      <c r="P71" t="s">
        <v>69</v>
      </c>
      <c r="Q71">
        <v>54.63</v>
      </c>
      <c r="R71" t="s">
        <v>385</v>
      </c>
      <c r="S71" t="s">
        <v>701</v>
      </c>
      <c r="T71">
        <v>10884</v>
      </c>
      <c r="U71">
        <v>156</v>
      </c>
      <c r="V71">
        <v>1506</v>
      </c>
      <c r="W71">
        <v>463438</v>
      </c>
      <c r="X71">
        <v>2.09</v>
      </c>
    </row>
    <row r="72" spans="1:24">
      <c r="A72" s="2">
        <f>HYPERLINK("https://finance.naver.com/item/coinfo.nhn?code=900310", "A900310")</f>
        <v>0</v>
      </c>
      <c r="B72">
        <f>HYPERLINK("http://comp.fnguide.com/SVO2/ASP/SVD_Consensus.asp?pGB=1&amp;gicode=A900310&amp;cID=&amp;MenuYn=Y&amp;ReportGB=&amp;NewMenuID=108&amp;stkGb=701", "컬러레이")</f>
        <v>0</v>
      </c>
      <c r="C72">
        <v>3</v>
      </c>
      <c r="D72">
        <v>2310</v>
      </c>
      <c r="E72">
        <v>-0.05</v>
      </c>
      <c r="F72">
        <v>7680</v>
      </c>
      <c r="G72">
        <v>4828</v>
      </c>
      <c r="H72">
        <v>4015</v>
      </c>
      <c r="I72">
        <v>-232.45</v>
      </c>
      <c r="J72">
        <v>-109.01</v>
      </c>
      <c r="K72">
        <v>-73.8</v>
      </c>
      <c r="L72">
        <v>20.91</v>
      </c>
      <c r="M72" t="b">
        <v>0</v>
      </c>
      <c r="N72">
        <v>1247</v>
      </c>
      <c r="O72">
        <v>416783</v>
      </c>
      <c r="P72" t="s">
        <v>70</v>
      </c>
      <c r="Q72">
        <v>54.03</v>
      </c>
      <c r="R72" t="s">
        <v>386</v>
      </c>
      <c r="S72" t="s">
        <v>702</v>
      </c>
      <c r="T72">
        <v>509</v>
      </c>
      <c r="U72">
        <v>276</v>
      </c>
      <c r="V72">
        <v>448</v>
      </c>
    </row>
    <row r="73" spans="1:24">
      <c r="A73" s="2">
        <f>HYPERLINK("https://finance.naver.com/item/coinfo.nhn?code=005670", "A005670")</f>
        <v>0</v>
      </c>
      <c r="B73">
        <f>HYPERLINK("http://comp.fnguide.com/SVO2/ASP/SVD_Consensus.asp?pGB=1&amp;gicode=A005670&amp;cID=&amp;MenuYn=Y&amp;ReportGB=&amp;NewMenuID=108&amp;stkGb=701", "푸드웰")</f>
        <v>0</v>
      </c>
      <c r="C73">
        <v>3</v>
      </c>
      <c r="D73">
        <v>5390</v>
      </c>
      <c r="E73">
        <v>0.05</v>
      </c>
      <c r="F73">
        <v>29246</v>
      </c>
      <c r="G73">
        <v>16452</v>
      </c>
      <c r="H73">
        <v>12803</v>
      </c>
      <c r="I73">
        <v>-442.59</v>
      </c>
      <c r="J73">
        <v>-205.23</v>
      </c>
      <c r="K73">
        <v>-137.54</v>
      </c>
      <c r="L73">
        <v>29.38</v>
      </c>
      <c r="M73" t="b">
        <v>1</v>
      </c>
      <c r="N73">
        <v>539</v>
      </c>
      <c r="O73">
        <v>46617</v>
      </c>
      <c r="P73" t="s">
        <v>71</v>
      </c>
      <c r="Q73">
        <v>45.81</v>
      </c>
      <c r="R73" t="s">
        <v>387</v>
      </c>
      <c r="S73" t="s">
        <v>703</v>
      </c>
      <c r="T73">
        <v>1439</v>
      </c>
      <c r="U73">
        <v>86</v>
      </c>
      <c r="V73">
        <v>3109</v>
      </c>
      <c r="W73">
        <v>330618</v>
      </c>
      <c r="X73">
        <v>1.64</v>
      </c>
    </row>
    <row r="74" spans="1:24">
      <c r="A74" s="2">
        <f>HYPERLINK("https://finance.naver.com/item/coinfo.nhn?code=007330", "A007330")</f>
        <v>0</v>
      </c>
      <c r="B74">
        <f>HYPERLINK("http://comp.fnguide.com/SVO2/ASP/SVD_Consensus.asp?pGB=1&amp;gicode=A007330&amp;cID=&amp;MenuYn=Y&amp;ReportGB=&amp;NewMenuID=108&amp;stkGb=701", "푸른저축은행")</f>
        <v>0</v>
      </c>
      <c r="C74">
        <v>3</v>
      </c>
      <c r="D74">
        <v>8950</v>
      </c>
      <c r="E74">
        <v>0</v>
      </c>
      <c r="F74">
        <v>27379</v>
      </c>
      <c r="G74">
        <v>24399</v>
      </c>
      <c r="H74">
        <v>23549</v>
      </c>
      <c r="I74">
        <v>-205.91</v>
      </c>
      <c r="J74">
        <v>-172.61</v>
      </c>
      <c r="K74">
        <v>-163.12</v>
      </c>
      <c r="L74">
        <v>9.75</v>
      </c>
      <c r="M74" t="b">
        <v>1</v>
      </c>
      <c r="N74">
        <v>1350</v>
      </c>
      <c r="O74">
        <v>32751</v>
      </c>
      <c r="P74" t="s">
        <v>72</v>
      </c>
      <c r="Q74">
        <v>62.3</v>
      </c>
      <c r="R74" t="s">
        <v>388</v>
      </c>
      <c r="S74" t="s">
        <v>704</v>
      </c>
      <c r="T74">
        <v>559</v>
      </c>
      <c r="U74">
        <v>321</v>
      </c>
      <c r="V74">
        <v>1631</v>
      </c>
      <c r="W74">
        <v>3243332</v>
      </c>
      <c r="X74">
        <v>7.02</v>
      </c>
    </row>
    <row r="75" spans="1:24">
      <c r="A75" s="2">
        <f>HYPERLINK("https://finance.naver.com/item/coinfo.nhn?code=039340", "A039340")</f>
        <v>0</v>
      </c>
      <c r="B75">
        <f>HYPERLINK("http://comp.fnguide.com/SVO2/ASP/SVD_Consensus.asp?pGB=1&amp;gicode=A039340&amp;cID=&amp;MenuYn=Y&amp;ReportGB=&amp;NewMenuID=108&amp;stkGb=701", "한국경제TV")</f>
        <v>0</v>
      </c>
      <c r="C75">
        <v>3</v>
      </c>
      <c r="D75">
        <v>5860</v>
      </c>
      <c r="E75">
        <v>0.51</v>
      </c>
      <c r="F75">
        <v>9361</v>
      </c>
      <c r="G75">
        <v>7057</v>
      </c>
      <c r="H75">
        <v>6400</v>
      </c>
      <c r="I75">
        <v>-59.74</v>
      </c>
      <c r="J75">
        <v>-20.43</v>
      </c>
      <c r="K75">
        <v>-9.220000000000001</v>
      </c>
      <c r="L75">
        <v>13.52</v>
      </c>
      <c r="M75" t="b">
        <v>1</v>
      </c>
      <c r="N75">
        <v>1348</v>
      </c>
      <c r="O75">
        <v>151743</v>
      </c>
      <c r="P75" t="s">
        <v>73</v>
      </c>
      <c r="Q75">
        <v>41.97</v>
      </c>
      <c r="R75" t="s">
        <v>389</v>
      </c>
      <c r="S75" t="s">
        <v>705</v>
      </c>
      <c r="T75">
        <v>778</v>
      </c>
      <c r="U75">
        <v>137</v>
      </c>
      <c r="V75">
        <v>653</v>
      </c>
      <c r="W75">
        <v>937408</v>
      </c>
      <c r="X75">
        <v>1.91</v>
      </c>
    </row>
    <row r="76" spans="1:24">
      <c r="A76" s="2">
        <f>HYPERLINK("https://finance.naver.com/item/coinfo.nhn?code=023890", "A023890")</f>
        <v>0</v>
      </c>
      <c r="B76">
        <f>HYPERLINK("http://comp.fnguide.com/SVO2/ASP/SVD_Consensus.asp?pGB=1&amp;gicode=A023890&amp;cID=&amp;MenuYn=Y&amp;ReportGB=&amp;NewMenuID=108&amp;stkGb=701", "한국아트라스비엑스")</f>
        <v>0</v>
      </c>
      <c r="C76">
        <v>3</v>
      </c>
      <c r="D76">
        <v>56600</v>
      </c>
      <c r="E76">
        <v>-2.38</v>
      </c>
      <c r="F76">
        <v>199678</v>
      </c>
      <c r="G76">
        <v>137734</v>
      </c>
      <c r="H76">
        <v>120067</v>
      </c>
      <c r="I76">
        <v>-252.79</v>
      </c>
      <c r="J76">
        <v>-143.35</v>
      </c>
      <c r="K76">
        <v>-112.13</v>
      </c>
      <c r="L76">
        <v>16.51</v>
      </c>
      <c r="M76" t="b">
        <v>1</v>
      </c>
      <c r="N76">
        <v>5179</v>
      </c>
      <c r="O76">
        <v>6118</v>
      </c>
      <c r="P76" t="s">
        <v>74</v>
      </c>
      <c r="Q76">
        <v>31.13</v>
      </c>
      <c r="R76" t="s">
        <v>390</v>
      </c>
      <c r="S76" t="s">
        <v>706</v>
      </c>
      <c r="T76">
        <v>6480</v>
      </c>
      <c r="U76">
        <v>646</v>
      </c>
      <c r="V76">
        <v>5806</v>
      </c>
      <c r="W76">
        <v>5346107</v>
      </c>
      <c r="X76">
        <v>0.78</v>
      </c>
    </row>
    <row r="77" spans="1:24">
      <c r="A77" s="2">
        <f>HYPERLINK("https://finance.naver.com/item/coinfo.nhn?code=017890", "A017890")</f>
        <v>0</v>
      </c>
      <c r="B77">
        <f>HYPERLINK("http://comp.fnguide.com/SVO2/ASP/SVD_Consensus.asp?pGB=1&amp;gicode=A017890&amp;cID=&amp;MenuYn=Y&amp;ReportGB=&amp;NewMenuID=108&amp;stkGb=701", "한국알콜")</f>
        <v>0</v>
      </c>
      <c r="C77">
        <v>3</v>
      </c>
      <c r="D77">
        <v>13250</v>
      </c>
      <c r="E77">
        <v>0.22</v>
      </c>
      <c r="F77">
        <v>19909</v>
      </c>
      <c r="G77">
        <v>17521</v>
      </c>
      <c r="H77">
        <v>16840</v>
      </c>
      <c r="I77">
        <v>-50.26</v>
      </c>
      <c r="J77">
        <v>-32.23</v>
      </c>
      <c r="K77">
        <v>-27.09</v>
      </c>
      <c r="L77">
        <v>9.970000000000001</v>
      </c>
      <c r="M77" t="b">
        <v>1</v>
      </c>
      <c r="N77">
        <v>2863</v>
      </c>
      <c r="O77">
        <v>213158</v>
      </c>
      <c r="P77" t="s">
        <v>75</v>
      </c>
      <c r="Q77">
        <v>40.49</v>
      </c>
      <c r="R77" t="s">
        <v>391</v>
      </c>
      <c r="S77" t="s">
        <v>707</v>
      </c>
      <c r="T77">
        <v>2914</v>
      </c>
      <c r="U77">
        <v>331</v>
      </c>
      <c r="V77">
        <v>1472</v>
      </c>
      <c r="W77">
        <v>1025167</v>
      </c>
      <c r="X77">
        <v>1.33</v>
      </c>
    </row>
    <row r="78" spans="1:24">
      <c r="A78" s="2">
        <f>HYPERLINK("https://finance.naver.com/item/coinfo.nhn?code=045100", "A045100")</f>
        <v>0</v>
      </c>
      <c r="B78">
        <f>HYPERLINK("http://comp.fnguide.com/SVO2/ASP/SVD_Consensus.asp?pGB=1&amp;gicode=A045100&amp;cID=&amp;MenuYn=Y&amp;ReportGB=&amp;NewMenuID=108&amp;stkGb=701", "한양이엔지")</f>
        <v>0</v>
      </c>
      <c r="C78">
        <v>3</v>
      </c>
      <c r="D78">
        <v>13500</v>
      </c>
      <c r="E78">
        <v>79.64</v>
      </c>
      <c r="F78">
        <v>38998</v>
      </c>
      <c r="G78">
        <v>26879</v>
      </c>
      <c r="H78">
        <v>23423</v>
      </c>
      <c r="I78">
        <v>-188.87</v>
      </c>
      <c r="J78">
        <v>-99.09999999999999</v>
      </c>
      <c r="K78">
        <v>-73.5</v>
      </c>
      <c r="L78">
        <v>16.54</v>
      </c>
      <c r="M78" t="b">
        <v>0</v>
      </c>
      <c r="N78">
        <v>2430</v>
      </c>
      <c r="O78">
        <v>152715</v>
      </c>
      <c r="P78" t="s">
        <v>76</v>
      </c>
      <c r="Q78">
        <v>45.6</v>
      </c>
      <c r="R78" t="s">
        <v>392</v>
      </c>
      <c r="S78" t="s">
        <v>708</v>
      </c>
      <c r="T78">
        <v>7721</v>
      </c>
      <c r="U78">
        <v>334</v>
      </c>
      <c r="V78">
        <v>1641</v>
      </c>
      <c r="W78">
        <v>602572</v>
      </c>
      <c r="X78">
        <v>3.66</v>
      </c>
    </row>
    <row r="79" spans="1:24">
      <c r="A79" s="2">
        <f>HYPERLINK("https://finance.naver.com/item/coinfo.nhn?code=046110", "A046110")</f>
        <v>0</v>
      </c>
      <c r="B79">
        <f>HYPERLINK("http://comp.fnguide.com/SVO2/ASP/SVD_Consensus.asp?pGB=1&amp;gicode=A046110&amp;cID=&amp;MenuYn=Y&amp;ReportGB=&amp;NewMenuID=108&amp;stkGb=701", "한일네트웍스")</f>
        <v>0</v>
      </c>
      <c r="C79">
        <v>3</v>
      </c>
      <c r="D79">
        <v>5000</v>
      </c>
      <c r="E79">
        <v>0.26</v>
      </c>
      <c r="F79">
        <v>9663</v>
      </c>
      <c r="G79">
        <v>7246</v>
      </c>
      <c r="H79">
        <v>6557</v>
      </c>
      <c r="I79">
        <v>-93.26000000000001</v>
      </c>
      <c r="J79">
        <v>-44.92</v>
      </c>
      <c r="K79">
        <v>-31.13</v>
      </c>
      <c r="L79">
        <v>13.68</v>
      </c>
      <c r="M79" t="b">
        <v>1</v>
      </c>
      <c r="N79">
        <v>598</v>
      </c>
      <c r="O79">
        <v>242133</v>
      </c>
      <c r="P79" t="s">
        <v>77</v>
      </c>
      <c r="Q79">
        <v>50.1</v>
      </c>
      <c r="R79" t="s">
        <v>393</v>
      </c>
      <c r="S79" t="s">
        <v>709</v>
      </c>
      <c r="T79">
        <v>1216</v>
      </c>
      <c r="U79">
        <v>87</v>
      </c>
      <c r="V79">
        <v>589</v>
      </c>
      <c r="X79">
        <v>5.19</v>
      </c>
    </row>
    <row r="80" spans="1:24">
      <c r="A80" s="2">
        <f>HYPERLINK("https://finance.naver.com/item/coinfo.nhn?code=054920", "A054920")</f>
        <v>0</v>
      </c>
      <c r="B80">
        <f>HYPERLINK("http://comp.fnguide.com/SVO2/ASP/SVD_Consensus.asp?pGB=1&amp;gicode=A054920&amp;cID=&amp;MenuYn=Y&amp;ReportGB=&amp;NewMenuID=108&amp;stkGb=701", "한컴위드")</f>
        <v>0</v>
      </c>
      <c r="C80">
        <v>3</v>
      </c>
      <c r="D80">
        <v>6240</v>
      </c>
      <c r="E80">
        <v>0</v>
      </c>
      <c r="F80">
        <v>11846</v>
      </c>
      <c r="G80">
        <v>7740</v>
      </c>
      <c r="H80">
        <v>6568</v>
      </c>
      <c r="I80">
        <v>-89.84</v>
      </c>
      <c r="J80">
        <v>-24.03</v>
      </c>
      <c r="K80">
        <v>-5.26</v>
      </c>
      <c r="L80">
        <v>18.88</v>
      </c>
      <c r="M80" t="b">
        <v>1</v>
      </c>
      <c r="N80">
        <v>1761</v>
      </c>
      <c r="O80">
        <v>967165</v>
      </c>
      <c r="P80" t="s">
        <v>78</v>
      </c>
      <c r="Q80">
        <v>31.37</v>
      </c>
      <c r="R80" t="s">
        <v>394</v>
      </c>
      <c r="S80" t="s">
        <v>710</v>
      </c>
      <c r="T80">
        <v>158</v>
      </c>
      <c r="U80">
        <v>-4</v>
      </c>
      <c r="V80">
        <v>1903</v>
      </c>
      <c r="W80">
        <v>3398468</v>
      </c>
    </row>
    <row r="81" spans="1:24">
      <c r="A81" s="2">
        <f>HYPERLINK("https://finance.naver.com/item/coinfo.nhn?code=900270", "A900270")</f>
        <v>0</v>
      </c>
      <c r="B81">
        <f>HYPERLINK("http://comp.fnguide.com/SVO2/ASP/SVD_Consensus.asp?pGB=1&amp;gicode=A900270&amp;cID=&amp;MenuYn=Y&amp;ReportGB=&amp;NewMenuID=108&amp;stkGb=701", "헝셩그룹")</f>
        <v>0</v>
      </c>
      <c r="C81">
        <v>3</v>
      </c>
      <c r="D81">
        <v>689</v>
      </c>
      <c r="E81">
        <v>-0.18</v>
      </c>
      <c r="F81">
        <v>5415</v>
      </c>
      <c r="G81">
        <v>4249</v>
      </c>
      <c r="H81">
        <v>3917</v>
      </c>
      <c r="I81">
        <v>-685.95</v>
      </c>
      <c r="J81">
        <v>-516.73</v>
      </c>
      <c r="K81">
        <v>-468.46</v>
      </c>
      <c r="L81">
        <v>12.44</v>
      </c>
      <c r="M81" t="b">
        <v>0</v>
      </c>
      <c r="N81">
        <v>551</v>
      </c>
      <c r="O81">
        <v>421526</v>
      </c>
      <c r="P81" t="s">
        <v>79</v>
      </c>
      <c r="Q81">
        <v>27.42</v>
      </c>
      <c r="R81" t="s">
        <v>395</v>
      </c>
      <c r="S81" t="s">
        <v>711</v>
      </c>
      <c r="T81">
        <v>2212</v>
      </c>
      <c r="U81">
        <v>439</v>
      </c>
      <c r="V81">
        <v>407</v>
      </c>
    </row>
    <row r="82" spans="1:24">
      <c r="A82" s="2">
        <f>HYPERLINK("https://finance.naver.com/item/coinfo.nhn?code=039010", "A039010")</f>
        <v>0</v>
      </c>
      <c r="B82">
        <f>HYPERLINK("http://comp.fnguide.com/SVO2/ASP/SVD_Consensus.asp?pGB=1&amp;gicode=A039010&amp;cID=&amp;MenuYn=Y&amp;ReportGB=&amp;NewMenuID=108&amp;stkGb=701", "현대통신")</f>
        <v>0</v>
      </c>
      <c r="C82">
        <v>3</v>
      </c>
      <c r="D82">
        <v>7560</v>
      </c>
      <c r="E82">
        <v>-6.44</v>
      </c>
      <c r="F82">
        <v>25441</v>
      </c>
      <c r="G82">
        <v>16251</v>
      </c>
      <c r="H82">
        <v>13631</v>
      </c>
      <c r="I82">
        <v>-236.52</v>
      </c>
      <c r="J82">
        <v>-114.97</v>
      </c>
      <c r="K82">
        <v>-80.3</v>
      </c>
      <c r="L82">
        <v>20.02</v>
      </c>
      <c r="M82" t="b">
        <v>1</v>
      </c>
      <c r="N82">
        <v>652</v>
      </c>
      <c r="O82">
        <v>41671</v>
      </c>
      <c r="P82" t="s">
        <v>80</v>
      </c>
      <c r="Q82">
        <v>38.47</v>
      </c>
      <c r="R82" t="s">
        <v>396</v>
      </c>
      <c r="S82" t="s">
        <v>712</v>
      </c>
      <c r="T82">
        <v>1046</v>
      </c>
      <c r="U82">
        <v>105</v>
      </c>
      <c r="V82">
        <v>1236</v>
      </c>
      <c r="W82">
        <v>586897</v>
      </c>
      <c r="X82">
        <v>3.74</v>
      </c>
    </row>
    <row r="83" spans="1:24">
      <c r="A83" s="2">
        <f>HYPERLINK("https://finance.naver.com/item/coinfo.nhn?code=065510", "A065510")</f>
        <v>0</v>
      </c>
      <c r="B83">
        <f>HYPERLINK("http://comp.fnguide.com/SVO2/ASP/SVD_Consensus.asp?pGB=1&amp;gicode=A065510&amp;cID=&amp;MenuYn=Y&amp;ReportGB=&amp;NewMenuID=108&amp;stkGb=701", "휴비츠")</f>
        <v>0</v>
      </c>
      <c r="C83">
        <v>3</v>
      </c>
      <c r="D83">
        <v>7200</v>
      </c>
      <c r="E83">
        <v>3.48</v>
      </c>
      <c r="F83">
        <v>8479</v>
      </c>
      <c r="G83">
        <v>8372</v>
      </c>
      <c r="H83">
        <v>8342</v>
      </c>
      <c r="I83">
        <v>-17.77</v>
      </c>
      <c r="J83">
        <v>-16.28</v>
      </c>
      <c r="K83">
        <v>-15.85</v>
      </c>
      <c r="L83">
        <v>8.15</v>
      </c>
      <c r="M83" t="b">
        <v>1</v>
      </c>
      <c r="N83">
        <v>856</v>
      </c>
      <c r="O83">
        <v>50230</v>
      </c>
      <c r="P83" t="s">
        <v>81</v>
      </c>
      <c r="Q83">
        <v>26.62</v>
      </c>
      <c r="R83" t="s">
        <v>397</v>
      </c>
      <c r="S83" t="s">
        <v>713</v>
      </c>
      <c r="T83">
        <v>880</v>
      </c>
      <c r="U83">
        <v>117</v>
      </c>
      <c r="V83">
        <v>663</v>
      </c>
      <c r="W83">
        <v>1281476</v>
      </c>
      <c r="X83">
        <v>1.8</v>
      </c>
    </row>
    <row r="84" spans="1:24">
      <c r="A84" s="2">
        <f>HYPERLINK("https://finance.naver.com/item/coinfo.nhn?code=221980", "A221980")</f>
        <v>0</v>
      </c>
      <c r="B84">
        <f>HYPERLINK("http://comp.fnguide.com/SVO2/ASP/SVD_Consensus.asp?pGB=1&amp;gicode=A221980&amp;cID=&amp;MenuYn=Y&amp;ReportGB=&amp;NewMenuID=108&amp;stkGb=701", "케이디켐")</f>
        <v>0</v>
      </c>
      <c r="C84">
        <v>3</v>
      </c>
      <c r="D84">
        <v>12850</v>
      </c>
      <c r="E84">
        <v>-0.77</v>
      </c>
      <c r="F84">
        <v>25222</v>
      </c>
      <c r="G84">
        <v>22223</v>
      </c>
      <c r="H84">
        <v>21368</v>
      </c>
      <c r="I84">
        <v>-96.28</v>
      </c>
      <c r="J84">
        <v>-72.94</v>
      </c>
      <c r="K84">
        <v>-66.29000000000001</v>
      </c>
      <c r="L84">
        <v>9.949999999999999</v>
      </c>
      <c r="M84" t="b">
        <v>1</v>
      </c>
      <c r="N84">
        <v>518</v>
      </c>
      <c r="O84">
        <v>1733</v>
      </c>
      <c r="P84" t="s">
        <v>82</v>
      </c>
      <c r="Q84">
        <v>71.06999999999999</v>
      </c>
      <c r="R84" t="s">
        <v>398</v>
      </c>
      <c r="S84" t="s">
        <v>714</v>
      </c>
      <c r="T84">
        <v>488</v>
      </c>
      <c r="U84">
        <v>64</v>
      </c>
      <c r="V84">
        <v>1857</v>
      </c>
      <c r="W84">
        <v>213443</v>
      </c>
      <c r="X84">
        <v>4.07</v>
      </c>
    </row>
    <row r="85" spans="1:24">
      <c r="A85" s="2">
        <f>HYPERLINK("https://finance.naver.com/item/coinfo.nhn?code=004650", "A004650")</f>
        <v>0</v>
      </c>
      <c r="B85">
        <f>HYPERLINK("http://comp.fnguide.com/SVO2/ASP/SVD_Consensus.asp?pGB=1&amp;gicode=A004650&amp;cID=&amp;MenuYn=Y&amp;ReportGB=&amp;NewMenuID=108&amp;stkGb=701", "창해에탄올")</f>
        <v>0</v>
      </c>
      <c r="C85">
        <v>3</v>
      </c>
      <c r="D85">
        <v>13550</v>
      </c>
      <c r="E85">
        <v>0.8100000000000001</v>
      </c>
      <c r="F85">
        <v>23015</v>
      </c>
      <c r="G85">
        <v>19040</v>
      </c>
      <c r="H85">
        <v>17906</v>
      </c>
      <c r="I85">
        <v>-69.84999999999999</v>
      </c>
      <c r="J85">
        <v>-40.51</v>
      </c>
      <c r="K85">
        <v>-32.15</v>
      </c>
      <c r="L85">
        <v>11.2</v>
      </c>
      <c r="M85" t="b">
        <v>1</v>
      </c>
      <c r="N85">
        <v>1245</v>
      </c>
      <c r="O85">
        <v>49086</v>
      </c>
      <c r="P85" t="s">
        <v>83</v>
      </c>
      <c r="Q85">
        <v>27.13</v>
      </c>
      <c r="R85" t="s">
        <v>399</v>
      </c>
      <c r="S85" t="s">
        <v>715</v>
      </c>
      <c r="T85">
        <v>1873</v>
      </c>
      <c r="U85">
        <v>89</v>
      </c>
      <c r="V85">
        <v>2328</v>
      </c>
      <c r="W85">
        <v>1603534</v>
      </c>
      <c r="X85">
        <v>4.78</v>
      </c>
    </row>
    <row r="86" spans="1:24">
      <c r="A86" s="2">
        <f>HYPERLINK("https://finance.naver.com/item/coinfo.nhn?code=020710", "A020710")</f>
        <v>0</v>
      </c>
      <c r="B86">
        <f>HYPERLINK("http://comp.fnguide.com/SVO2/ASP/SVD_Consensus.asp?pGB=1&amp;gicode=A020710&amp;cID=&amp;MenuYn=Y&amp;ReportGB=&amp;NewMenuID=108&amp;stkGb=701", "시공테크")</f>
        <v>0</v>
      </c>
      <c r="C86">
        <v>3</v>
      </c>
      <c r="D86">
        <v>4905</v>
      </c>
      <c r="E86">
        <v>-0.62</v>
      </c>
      <c r="F86">
        <v>8515</v>
      </c>
      <c r="G86">
        <v>6904</v>
      </c>
      <c r="H86">
        <v>6444</v>
      </c>
      <c r="I86">
        <v>-73.61</v>
      </c>
      <c r="J86">
        <v>-40.75</v>
      </c>
      <c r="K86">
        <v>-31.38</v>
      </c>
      <c r="L86">
        <v>11.65</v>
      </c>
      <c r="M86" t="b">
        <v>0</v>
      </c>
      <c r="N86">
        <v>983</v>
      </c>
      <c r="O86">
        <v>18396</v>
      </c>
      <c r="P86" t="s">
        <v>84</v>
      </c>
      <c r="Q86">
        <v>43.21</v>
      </c>
      <c r="R86" t="s">
        <v>400</v>
      </c>
      <c r="S86" t="s">
        <v>716</v>
      </c>
      <c r="T86">
        <v>1198</v>
      </c>
      <c r="U86">
        <v>80</v>
      </c>
      <c r="V86">
        <v>765</v>
      </c>
      <c r="W86">
        <v>1478045</v>
      </c>
      <c r="X86">
        <v>1.67</v>
      </c>
    </row>
    <row r="87" spans="1:24">
      <c r="A87" s="2">
        <f>HYPERLINK("https://finance.naver.com/item/coinfo.nhn?code=900300", "A900300")</f>
        <v>0</v>
      </c>
      <c r="B87">
        <f>HYPERLINK("http://comp.fnguide.com/SVO2/ASP/SVD_Consensus.asp?pGB=1&amp;gicode=A900300&amp;cID=&amp;MenuYn=Y&amp;ReportGB=&amp;NewMenuID=108&amp;stkGb=701", "오가닉티코스메틱")</f>
        <v>0</v>
      </c>
      <c r="C87">
        <v>3</v>
      </c>
      <c r="D87">
        <v>695</v>
      </c>
      <c r="E87">
        <v>-0.07000000000000001</v>
      </c>
      <c r="F87">
        <v>8767</v>
      </c>
      <c r="G87">
        <v>6081</v>
      </c>
      <c r="H87">
        <v>5315</v>
      </c>
      <c r="I87">
        <v>-1161.45</v>
      </c>
      <c r="J87">
        <v>-774.95</v>
      </c>
      <c r="K87">
        <v>-664.72</v>
      </c>
      <c r="L87">
        <v>16.29</v>
      </c>
      <c r="M87" t="b">
        <v>0</v>
      </c>
      <c r="N87">
        <v>448</v>
      </c>
      <c r="O87">
        <v>698788</v>
      </c>
      <c r="P87" t="s">
        <v>85</v>
      </c>
      <c r="Q87">
        <v>16.13</v>
      </c>
      <c r="R87" t="s">
        <v>401</v>
      </c>
      <c r="S87" t="s">
        <v>717</v>
      </c>
      <c r="T87">
        <v>2996</v>
      </c>
      <c r="U87">
        <v>459</v>
      </c>
      <c r="V87">
        <v>559</v>
      </c>
    </row>
    <row r="88" spans="1:24">
      <c r="A88" s="2">
        <f>HYPERLINK("https://finance.naver.com/item/coinfo.nhn?code=017000", "A017000")</f>
        <v>0</v>
      </c>
      <c r="B88">
        <f>HYPERLINK("http://comp.fnguide.com/SVO2/ASP/SVD_Consensus.asp?pGB=1&amp;gicode=A017000&amp;cID=&amp;MenuYn=Y&amp;ReportGB=&amp;NewMenuID=108&amp;stkGb=701", "신원종합개발")</f>
        <v>0</v>
      </c>
      <c r="C88">
        <v>3</v>
      </c>
      <c r="D88">
        <v>4540</v>
      </c>
      <c r="E88">
        <v>-0.16</v>
      </c>
      <c r="F88">
        <v>20463</v>
      </c>
      <c r="G88">
        <v>13625</v>
      </c>
      <c r="H88">
        <v>11675</v>
      </c>
      <c r="I88">
        <v>-350.74</v>
      </c>
      <c r="J88">
        <v>-200.12</v>
      </c>
      <c r="K88">
        <v>-157.16</v>
      </c>
      <c r="L88">
        <v>17.99</v>
      </c>
      <c r="M88" t="b">
        <v>1</v>
      </c>
      <c r="N88">
        <v>457</v>
      </c>
      <c r="O88">
        <v>354739</v>
      </c>
      <c r="P88" t="s">
        <v>86</v>
      </c>
      <c r="Q88">
        <v>18.74</v>
      </c>
      <c r="R88" t="s">
        <v>402</v>
      </c>
      <c r="S88" t="s">
        <v>718</v>
      </c>
      <c r="T88">
        <v>2565</v>
      </c>
      <c r="U88">
        <v>69</v>
      </c>
      <c r="V88">
        <v>1338</v>
      </c>
      <c r="W88">
        <v>472513</v>
      </c>
    </row>
    <row r="89" spans="1:24">
      <c r="A89" s="2">
        <f>HYPERLINK("https://finance.naver.com/item/coinfo.nhn?code=083930", "A083930")</f>
        <v>0</v>
      </c>
      <c r="B89">
        <f>HYPERLINK("http://comp.fnguide.com/SVO2/ASP/SVD_Consensus.asp?pGB=1&amp;gicode=A083930&amp;cID=&amp;MenuYn=Y&amp;ReportGB=&amp;NewMenuID=108&amp;stkGb=701", "아바코")</f>
        <v>0</v>
      </c>
      <c r="C89">
        <v>3</v>
      </c>
      <c r="D89">
        <v>9780</v>
      </c>
      <c r="E89">
        <v>2.23</v>
      </c>
      <c r="F89">
        <v>19385</v>
      </c>
      <c r="G89">
        <v>13766</v>
      </c>
      <c r="H89">
        <v>12163</v>
      </c>
      <c r="I89">
        <v>-98.20999999999999</v>
      </c>
      <c r="J89">
        <v>-40.75</v>
      </c>
      <c r="K89">
        <v>-24.36</v>
      </c>
      <c r="L89">
        <v>15.43</v>
      </c>
      <c r="M89" t="b">
        <v>1</v>
      </c>
      <c r="N89">
        <v>1507</v>
      </c>
      <c r="O89">
        <v>230569</v>
      </c>
      <c r="P89" t="s">
        <v>87</v>
      </c>
      <c r="Q89">
        <v>27.48</v>
      </c>
      <c r="R89" t="s">
        <v>403</v>
      </c>
      <c r="S89" t="s">
        <v>719</v>
      </c>
      <c r="T89">
        <v>2261</v>
      </c>
      <c r="U89">
        <v>233</v>
      </c>
      <c r="V89">
        <v>1225</v>
      </c>
      <c r="W89">
        <v>2408960</v>
      </c>
      <c r="X89">
        <v>4.83</v>
      </c>
    </row>
    <row r="90" spans="1:24">
      <c r="A90" s="2">
        <f>HYPERLINK("https://finance.naver.com/item/coinfo.nhn?code=290740", "A290740")</f>
        <v>0</v>
      </c>
      <c r="B90">
        <f>HYPERLINK("http://comp.fnguide.com/SVO2/ASP/SVD_Consensus.asp?pGB=1&amp;gicode=A290740&amp;cID=&amp;MenuYn=Y&amp;ReportGB=&amp;NewMenuID=108&amp;stkGb=701", "액트로")</f>
        <v>0</v>
      </c>
      <c r="C90">
        <v>3</v>
      </c>
      <c r="D90">
        <v>10950</v>
      </c>
      <c r="E90">
        <v>-1.72</v>
      </c>
      <c r="F90">
        <v>26706</v>
      </c>
      <c r="G90">
        <v>15272</v>
      </c>
      <c r="H90">
        <v>12011</v>
      </c>
      <c r="I90">
        <v>-143.89</v>
      </c>
      <c r="J90">
        <v>-39.47</v>
      </c>
      <c r="K90">
        <v>-9.69</v>
      </c>
      <c r="L90">
        <v>27.79</v>
      </c>
      <c r="M90" t="b">
        <v>1</v>
      </c>
      <c r="N90">
        <v>1102</v>
      </c>
      <c r="O90">
        <v>187269</v>
      </c>
      <c r="P90" t="s">
        <v>88</v>
      </c>
      <c r="Q90">
        <v>37.87</v>
      </c>
      <c r="R90" t="s">
        <v>404</v>
      </c>
      <c r="S90" t="s">
        <v>720</v>
      </c>
      <c r="T90">
        <v>1078</v>
      </c>
      <c r="U90">
        <v>130</v>
      </c>
      <c r="V90">
        <v>1461</v>
      </c>
      <c r="W90">
        <v>153257</v>
      </c>
      <c r="X90">
        <v>1.37</v>
      </c>
    </row>
    <row r="91" spans="1:24">
      <c r="A91" s="2">
        <f>HYPERLINK("https://finance.naver.com/item/coinfo.nhn?code=255440", "A255440")</f>
        <v>0</v>
      </c>
      <c r="B91">
        <f>HYPERLINK("http://comp.fnguide.com/SVO2/ASP/SVD_Consensus.asp?pGB=1&amp;gicode=A255440&amp;cID=&amp;MenuYn=Y&amp;ReportGB=&amp;NewMenuID=108&amp;stkGb=701", "야스")</f>
        <v>0</v>
      </c>
      <c r="C91">
        <v>3</v>
      </c>
      <c r="D91">
        <v>12800</v>
      </c>
      <c r="E91">
        <v>0.29</v>
      </c>
      <c r="F91">
        <v>27315</v>
      </c>
      <c r="G91">
        <v>17871</v>
      </c>
      <c r="H91">
        <v>15178</v>
      </c>
      <c r="I91">
        <v>-113.4</v>
      </c>
      <c r="J91">
        <v>-39.62</v>
      </c>
      <c r="K91">
        <v>-18.58</v>
      </c>
      <c r="L91">
        <v>18.81</v>
      </c>
      <c r="M91" t="b">
        <v>1</v>
      </c>
      <c r="N91">
        <v>1671</v>
      </c>
      <c r="O91">
        <v>33072</v>
      </c>
      <c r="P91" t="s">
        <v>89</v>
      </c>
      <c r="Q91">
        <v>46.59</v>
      </c>
      <c r="R91" t="s">
        <v>405</v>
      </c>
      <c r="S91" t="s">
        <v>721</v>
      </c>
      <c r="T91">
        <v>869</v>
      </c>
      <c r="U91">
        <v>125</v>
      </c>
      <c r="V91">
        <v>1250</v>
      </c>
      <c r="W91">
        <v>64180</v>
      </c>
      <c r="X91">
        <v>0.76</v>
      </c>
    </row>
    <row r="92" spans="1:24">
      <c r="A92" s="2">
        <f>HYPERLINK("https://finance.naver.com/item/coinfo.nhn?code=030960", "A030960")</f>
        <v>0</v>
      </c>
      <c r="B92">
        <f>HYPERLINK("http://comp.fnguide.com/SVO2/ASP/SVD_Consensus.asp?pGB=1&amp;gicode=A030960&amp;cID=&amp;MenuYn=Y&amp;ReportGB=&amp;NewMenuID=108&amp;stkGb=701", "양지사")</f>
        <v>0</v>
      </c>
      <c r="C92">
        <v>3</v>
      </c>
      <c r="D92">
        <v>10550</v>
      </c>
      <c r="E92">
        <v>0.01</v>
      </c>
      <c r="F92">
        <v>84055</v>
      </c>
      <c r="G92">
        <v>41834</v>
      </c>
      <c r="H92">
        <v>29793</v>
      </c>
      <c r="I92">
        <v>-696.73</v>
      </c>
      <c r="J92">
        <v>-296.53</v>
      </c>
      <c r="K92">
        <v>-182.39</v>
      </c>
      <c r="L92">
        <v>48.77</v>
      </c>
      <c r="M92" t="b">
        <v>1</v>
      </c>
      <c r="N92">
        <v>1686</v>
      </c>
      <c r="O92">
        <v>121982</v>
      </c>
      <c r="P92" t="s">
        <v>90</v>
      </c>
      <c r="Q92">
        <v>75.53</v>
      </c>
      <c r="R92" t="s">
        <v>406</v>
      </c>
      <c r="S92" t="s">
        <v>722</v>
      </c>
      <c r="T92">
        <v>489</v>
      </c>
      <c r="U92">
        <v>17</v>
      </c>
      <c r="V92">
        <v>7553</v>
      </c>
      <c r="W92">
        <v>2243930</v>
      </c>
      <c r="X92">
        <v>0.52</v>
      </c>
    </row>
    <row r="93" spans="1:24">
      <c r="A93" s="2">
        <f>HYPERLINK("https://finance.naver.com/item/coinfo.nhn?code=031330", "A031330")</f>
        <v>0</v>
      </c>
      <c r="B93">
        <f>HYPERLINK("http://comp.fnguide.com/SVO2/ASP/SVD_Consensus.asp?pGB=1&amp;gicode=A031330&amp;cID=&amp;MenuYn=Y&amp;ReportGB=&amp;NewMenuID=108&amp;stkGb=701", "에스에이엠티")</f>
        <v>0</v>
      </c>
      <c r="C93">
        <v>3</v>
      </c>
      <c r="D93">
        <v>2360</v>
      </c>
      <c r="E93">
        <v>-3.91</v>
      </c>
      <c r="F93">
        <v>4950</v>
      </c>
      <c r="G93">
        <v>3438</v>
      </c>
      <c r="H93">
        <v>3006</v>
      </c>
      <c r="I93">
        <v>-109.76</v>
      </c>
      <c r="J93">
        <v>-45.67</v>
      </c>
      <c r="K93">
        <v>-27.39</v>
      </c>
      <c r="L93">
        <v>16.25</v>
      </c>
      <c r="M93" t="b">
        <v>1</v>
      </c>
      <c r="N93">
        <v>2360</v>
      </c>
      <c r="O93">
        <v>406580</v>
      </c>
      <c r="P93" t="s">
        <v>91</v>
      </c>
      <c r="Q93">
        <v>50.02</v>
      </c>
      <c r="R93" t="s">
        <v>407</v>
      </c>
      <c r="S93" t="s">
        <v>723</v>
      </c>
      <c r="T93">
        <v>12138</v>
      </c>
      <c r="U93">
        <v>337</v>
      </c>
      <c r="V93">
        <v>376</v>
      </c>
      <c r="W93">
        <v>2000000</v>
      </c>
      <c r="X93">
        <v>6.38</v>
      </c>
    </row>
    <row r="94" spans="1:24">
      <c r="A94" s="2">
        <f>HYPERLINK("https://finance.naver.com/item/coinfo.nhn?code=060540", "A060540")</f>
        <v>0</v>
      </c>
      <c r="B94">
        <f>HYPERLINK("http://comp.fnguide.com/SVO2/ASP/SVD_Consensus.asp?pGB=1&amp;gicode=A060540&amp;cID=&amp;MenuYn=Y&amp;ReportGB=&amp;NewMenuID=108&amp;stkGb=701", "에스에이티")</f>
        <v>0</v>
      </c>
      <c r="C94">
        <v>3</v>
      </c>
      <c r="D94">
        <v>2565</v>
      </c>
      <c r="E94">
        <v>-0.61</v>
      </c>
      <c r="F94">
        <v>4145</v>
      </c>
      <c r="G94">
        <v>3595</v>
      </c>
      <c r="H94">
        <v>3438</v>
      </c>
      <c r="I94">
        <v>-61.6</v>
      </c>
      <c r="J94">
        <v>-40.17</v>
      </c>
      <c r="K94">
        <v>-34.05</v>
      </c>
      <c r="L94">
        <v>10.24</v>
      </c>
      <c r="M94" t="b">
        <v>1</v>
      </c>
      <c r="N94">
        <v>670</v>
      </c>
      <c r="O94">
        <v>289735</v>
      </c>
      <c r="P94" t="s">
        <v>92</v>
      </c>
      <c r="Q94">
        <v>40.82</v>
      </c>
      <c r="R94" t="s">
        <v>408</v>
      </c>
      <c r="S94" t="s">
        <v>724</v>
      </c>
      <c r="T94">
        <v>1402</v>
      </c>
      <c r="U94">
        <v>100</v>
      </c>
      <c r="V94">
        <v>355</v>
      </c>
      <c r="W94">
        <v>372</v>
      </c>
      <c r="X94">
        <v>2.25</v>
      </c>
    </row>
    <row r="95" spans="1:24">
      <c r="A95" s="2">
        <f>HYPERLINK("https://finance.naver.com/item/coinfo.nhn?code=069510", "A069510")</f>
        <v>0</v>
      </c>
      <c r="B95">
        <f>HYPERLINK("http://comp.fnguide.com/SVO2/ASP/SVD_Consensus.asp?pGB=1&amp;gicode=A069510&amp;cID=&amp;MenuYn=Y&amp;ReportGB=&amp;NewMenuID=108&amp;stkGb=701", "에스텍")</f>
        <v>0</v>
      </c>
      <c r="C95">
        <v>3</v>
      </c>
      <c r="D95">
        <v>10050</v>
      </c>
      <c r="E95">
        <v>-1.07</v>
      </c>
      <c r="F95">
        <v>28106</v>
      </c>
      <c r="G95">
        <v>22224</v>
      </c>
      <c r="H95">
        <v>20546</v>
      </c>
      <c r="I95">
        <v>-179.66</v>
      </c>
      <c r="J95">
        <v>-121.13</v>
      </c>
      <c r="K95">
        <v>-104.44</v>
      </c>
      <c r="L95">
        <v>12.25</v>
      </c>
      <c r="M95" t="b">
        <v>1</v>
      </c>
      <c r="N95">
        <v>1096</v>
      </c>
      <c r="O95">
        <v>15886</v>
      </c>
      <c r="P95" t="s">
        <v>93</v>
      </c>
      <c r="Q95">
        <v>49.55</v>
      </c>
      <c r="R95" t="s">
        <v>409</v>
      </c>
      <c r="S95" t="s">
        <v>725</v>
      </c>
      <c r="T95">
        <v>3380</v>
      </c>
      <c r="U95">
        <v>175</v>
      </c>
      <c r="V95">
        <v>1576</v>
      </c>
      <c r="W95">
        <v>2500000</v>
      </c>
      <c r="X95">
        <v>5.15</v>
      </c>
    </row>
    <row r="96" spans="1:24">
      <c r="A96" s="2">
        <f>HYPERLINK("https://finance.naver.com/item/coinfo.nhn?code=003800", "A003800")</f>
        <v>0</v>
      </c>
      <c r="B96">
        <f>HYPERLINK("http://comp.fnguide.com/SVO2/ASP/SVD_Consensus.asp?pGB=1&amp;gicode=A003800&amp;cID=&amp;MenuYn=Y&amp;ReportGB=&amp;NewMenuID=108&amp;stkGb=701", "에이스침대")</f>
        <v>0</v>
      </c>
      <c r="C96">
        <v>3</v>
      </c>
      <c r="D96">
        <v>40400</v>
      </c>
      <c r="E96">
        <v>1.46</v>
      </c>
      <c r="F96">
        <v>48791</v>
      </c>
      <c r="G96">
        <v>46934</v>
      </c>
      <c r="H96">
        <v>46404</v>
      </c>
      <c r="I96">
        <v>-20.77</v>
      </c>
      <c r="J96">
        <v>-16.17</v>
      </c>
      <c r="K96">
        <v>-14.86</v>
      </c>
      <c r="L96">
        <v>8.52</v>
      </c>
      <c r="M96" t="b">
        <v>1</v>
      </c>
      <c r="N96">
        <v>4480</v>
      </c>
      <c r="O96">
        <v>2153</v>
      </c>
      <c r="P96" t="s">
        <v>94</v>
      </c>
      <c r="Q96">
        <v>79.56</v>
      </c>
      <c r="R96" t="s">
        <v>410</v>
      </c>
      <c r="S96" t="s">
        <v>726</v>
      </c>
      <c r="T96">
        <v>2774</v>
      </c>
      <c r="U96">
        <v>499</v>
      </c>
      <c r="V96">
        <v>3987</v>
      </c>
      <c r="W96">
        <v>838055</v>
      </c>
      <c r="X96">
        <v>3.15</v>
      </c>
    </row>
    <row r="97" spans="1:24">
      <c r="A97" s="2">
        <f>HYPERLINK("https://finance.naver.com/item/coinfo.nhn?code=009780", "A009780")</f>
        <v>0</v>
      </c>
      <c r="B97">
        <f>HYPERLINK("http://comp.fnguide.com/SVO2/ASP/SVD_Consensus.asp?pGB=1&amp;gicode=A009780&amp;cID=&amp;MenuYn=Y&amp;ReportGB=&amp;NewMenuID=108&amp;stkGb=701", "엠에스씨")</f>
        <v>0</v>
      </c>
      <c r="C97">
        <v>3</v>
      </c>
      <c r="D97">
        <v>4810</v>
      </c>
      <c r="E97">
        <v>0.42</v>
      </c>
      <c r="F97">
        <v>9296</v>
      </c>
      <c r="G97">
        <v>6794</v>
      </c>
      <c r="H97">
        <v>6081</v>
      </c>
      <c r="I97">
        <v>-93.26000000000001</v>
      </c>
      <c r="J97">
        <v>-41.26</v>
      </c>
      <c r="K97">
        <v>-26.42</v>
      </c>
      <c r="L97">
        <v>14.46</v>
      </c>
      <c r="M97" t="b">
        <v>1</v>
      </c>
      <c r="N97">
        <v>847</v>
      </c>
      <c r="O97">
        <v>72489</v>
      </c>
      <c r="P97" t="s">
        <v>95</v>
      </c>
      <c r="Q97">
        <v>73.22</v>
      </c>
      <c r="R97" t="s">
        <v>411</v>
      </c>
      <c r="S97" t="s">
        <v>727</v>
      </c>
      <c r="T97">
        <v>1492</v>
      </c>
      <c r="U97">
        <v>147</v>
      </c>
      <c r="V97">
        <v>668</v>
      </c>
      <c r="X97">
        <v>1.27</v>
      </c>
    </row>
    <row r="98" spans="1:24">
      <c r="A98" s="2">
        <f>HYPERLINK("https://finance.naver.com/item/coinfo.nhn?code=007530", "A007530")</f>
        <v>0</v>
      </c>
      <c r="B98">
        <f>HYPERLINK("http://comp.fnguide.com/SVO2/ASP/SVD_Consensus.asp?pGB=1&amp;gicode=A007530&amp;cID=&amp;MenuYn=Y&amp;ReportGB=&amp;NewMenuID=108&amp;stkGb=701", "영신금속")</f>
        <v>0</v>
      </c>
      <c r="C98">
        <v>3</v>
      </c>
      <c r="D98">
        <v>3010</v>
      </c>
      <c r="E98">
        <v>1.87</v>
      </c>
      <c r="F98">
        <v>4272</v>
      </c>
      <c r="G98">
        <v>3690</v>
      </c>
      <c r="H98">
        <v>3525</v>
      </c>
      <c r="I98">
        <v>-41.92</v>
      </c>
      <c r="J98">
        <v>-22.6</v>
      </c>
      <c r="K98">
        <v>-17.09</v>
      </c>
      <c r="L98">
        <v>10.32</v>
      </c>
      <c r="M98" t="b">
        <v>1</v>
      </c>
      <c r="N98">
        <v>386</v>
      </c>
      <c r="O98">
        <v>271486</v>
      </c>
      <c r="P98" t="s">
        <v>96</v>
      </c>
      <c r="Q98">
        <v>29.19</v>
      </c>
      <c r="R98" t="s">
        <v>412</v>
      </c>
      <c r="S98" t="s">
        <v>728</v>
      </c>
      <c r="T98">
        <v>1198</v>
      </c>
      <c r="U98">
        <v>64</v>
      </c>
      <c r="V98">
        <v>450</v>
      </c>
      <c r="W98">
        <v>150000</v>
      </c>
    </row>
    <row r="99" spans="1:24">
      <c r="A99" s="2">
        <f>HYPERLINK("https://finance.naver.com/item/coinfo.nhn?code=045060", "A045060")</f>
        <v>0</v>
      </c>
      <c r="B99">
        <f>HYPERLINK("http://comp.fnguide.com/SVO2/ASP/SVD_Consensus.asp?pGB=1&amp;gicode=A045060&amp;cID=&amp;MenuYn=Y&amp;ReportGB=&amp;NewMenuID=108&amp;stkGb=701", "오공")</f>
        <v>0</v>
      </c>
      <c r="C99">
        <v>3</v>
      </c>
      <c r="D99">
        <v>4850</v>
      </c>
      <c r="E99">
        <v>0.35</v>
      </c>
      <c r="F99">
        <v>5844</v>
      </c>
      <c r="G99">
        <v>5171</v>
      </c>
      <c r="H99">
        <v>4979</v>
      </c>
      <c r="I99">
        <v>-20.5</v>
      </c>
      <c r="J99">
        <v>-6.61</v>
      </c>
      <c r="K99">
        <v>-2.65</v>
      </c>
      <c r="L99">
        <v>9.880000000000001</v>
      </c>
      <c r="M99" t="b">
        <v>1</v>
      </c>
      <c r="N99">
        <v>822</v>
      </c>
      <c r="O99">
        <v>295482</v>
      </c>
      <c r="P99" t="s">
        <v>97</v>
      </c>
      <c r="Q99">
        <v>30.96</v>
      </c>
      <c r="R99" t="s">
        <v>413</v>
      </c>
      <c r="S99" t="s">
        <v>729</v>
      </c>
      <c r="T99">
        <v>1519</v>
      </c>
      <c r="U99">
        <v>89</v>
      </c>
      <c r="V99">
        <v>442</v>
      </c>
      <c r="W99">
        <v>87473</v>
      </c>
      <c r="X99">
        <v>1.48</v>
      </c>
    </row>
    <row r="100" spans="1:24">
      <c r="A100" s="2">
        <f>HYPERLINK("https://finance.naver.com/item/coinfo.nhn?code=094970", "A094970")</f>
        <v>0</v>
      </c>
      <c r="B100">
        <f>HYPERLINK("http://comp.fnguide.com/SVO2/ASP/SVD_Consensus.asp?pGB=1&amp;gicode=A094970&amp;cID=&amp;MenuYn=Y&amp;ReportGB=&amp;NewMenuID=108&amp;stkGb=701", "제이엠티")</f>
        <v>0</v>
      </c>
      <c r="C100">
        <v>3</v>
      </c>
      <c r="D100">
        <v>2795</v>
      </c>
      <c r="E100">
        <v>-33.09</v>
      </c>
      <c r="F100">
        <v>4696</v>
      </c>
      <c r="G100">
        <v>3863</v>
      </c>
      <c r="H100">
        <v>3625</v>
      </c>
      <c r="I100">
        <v>-68.01000000000001</v>
      </c>
      <c r="J100">
        <v>-38.21</v>
      </c>
      <c r="K100">
        <v>-29.71</v>
      </c>
      <c r="L100">
        <v>11.33</v>
      </c>
      <c r="M100" t="b">
        <v>0</v>
      </c>
      <c r="N100">
        <v>468</v>
      </c>
      <c r="O100">
        <v>285403</v>
      </c>
      <c r="P100" t="s">
        <v>98</v>
      </c>
      <c r="Q100">
        <v>43.98</v>
      </c>
      <c r="R100" t="s">
        <v>414</v>
      </c>
      <c r="S100" t="s">
        <v>730</v>
      </c>
      <c r="T100">
        <v>833</v>
      </c>
      <c r="U100">
        <v>20</v>
      </c>
      <c r="V100">
        <v>57</v>
      </c>
      <c r="W100">
        <v>36106</v>
      </c>
      <c r="X100">
        <v>1.31</v>
      </c>
    </row>
    <row r="101" spans="1:24">
      <c r="A101" s="2">
        <f>HYPERLINK("https://finance.naver.com/item/coinfo.nhn?code=010470", "A010470")</f>
        <v>0</v>
      </c>
      <c r="B101">
        <f>HYPERLINK("http://comp.fnguide.com/SVO2/ASP/SVD_Consensus.asp?pGB=1&amp;gicode=A010470&amp;cID=&amp;MenuYn=Y&amp;ReportGB=&amp;NewMenuID=108&amp;stkGb=701", "오리콤")</f>
        <v>0</v>
      </c>
      <c r="C101">
        <v>3</v>
      </c>
      <c r="D101">
        <v>6020</v>
      </c>
      <c r="E101">
        <v>0.5</v>
      </c>
      <c r="F101">
        <v>7768</v>
      </c>
      <c r="G101">
        <v>7442</v>
      </c>
      <c r="H101">
        <v>7349</v>
      </c>
      <c r="I101">
        <v>-29.03</v>
      </c>
      <c r="J101">
        <v>-23.61</v>
      </c>
      <c r="K101">
        <v>-22.07</v>
      </c>
      <c r="L101">
        <v>8.58</v>
      </c>
      <c r="M101" t="b">
        <v>0</v>
      </c>
      <c r="N101">
        <v>705</v>
      </c>
      <c r="O101">
        <v>5289036</v>
      </c>
      <c r="P101" t="s">
        <v>99</v>
      </c>
      <c r="Q101">
        <v>62.87</v>
      </c>
      <c r="R101" t="s">
        <v>415</v>
      </c>
      <c r="S101" t="s">
        <v>731</v>
      </c>
      <c r="T101">
        <v>1985</v>
      </c>
      <c r="U101">
        <v>80</v>
      </c>
      <c r="V101">
        <v>515</v>
      </c>
      <c r="W101">
        <v>370315</v>
      </c>
      <c r="X101">
        <v>4.41</v>
      </c>
    </row>
    <row r="102" spans="1:24">
      <c r="A102" s="2">
        <f>HYPERLINK("https://finance.naver.com/item/coinfo.nhn?code=073560", "A073560")</f>
        <v>0</v>
      </c>
      <c r="B102">
        <f>HYPERLINK("http://comp.fnguide.com/SVO2/ASP/SVD_Consensus.asp?pGB=1&amp;gicode=A073560&amp;cID=&amp;MenuYn=Y&amp;ReportGB=&amp;NewMenuID=108&amp;stkGb=701", "우리손에프앤지")</f>
        <v>0</v>
      </c>
      <c r="C102">
        <v>3</v>
      </c>
      <c r="D102">
        <v>1990</v>
      </c>
      <c r="E102">
        <v>-1.19</v>
      </c>
      <c r="F102">
        <v>3138</v>
      </c>
      <c r="G102">
        <v>2842</v>
      </c>
      <c r="H102">
        <v>2757</v>
      </c>
      <c r="I102">
        <v>-57.68</v>
      </c>
      <c r="J102">
        <v>-42.79</v>
      </c>
      <c r="K102">
        <v>-38.55</v>
      </c>
      <c r="L102">
        <v>9.470000000000001</v>
      </c>
      <c r="M102" t="b">
        <v>1</v>
      </c>
      <c r="N102">
        <v>1378</v>
      </c>
      <c r="O102">
        <v>861749</v>
      </c>
      <c r="P102" t="s">
        <v>100</v>
      </c>
      <c r="Q102">
        <v>49.69</v>
      </c>
      <c r="R102" t="s">
        <v>416</v>
      </c>
      <c r="S102" t="s">
        <v>732</v>
      </c>
      <c r="T102">
        <v>2252</v>
      </c>
      <c r="U102">
        <v>102</v>
      </c>
      <c r="V102">
        <v>61</v>
      </c>
      <c r="X102">
        <v>1.24</v>
      </c>
    </row>
    <row r="103" spans="1:24">
      <c r="A103" s="2">
        <f>HYPERLINK("https://finance.naver.com/item/coinfo.nhn?code=900340", "A900340")</f>
        <v>0</v>
      </c>
      <c r="B103">
        <f>HYPERLINK("http://comp.fnguide.com/SVO2/ASP/SVD_Consensus.asp?pGB=1&amp;gicode=A900340&amp;cID=&amp;MenuYn=Y&amp;ReportGB=&amp;NewMenuID=108&amp;stkGb=701", "윙입푸드")</f>
        <v>0</v>
      </c>
      <c r="C103">
        <v>3</v>
      </c>
      <c r="D103">
        <v>1440</v>
      </c>
      <c r="E103">
        <v>-0.13</v>
      </c>
      <c r="F103">
        <v>6112</v>
      </c>
      <c r="G103">
        <v>3694</v>
      </c>
      <c r="H103">
        <v>3005</v>
      </c>
      <c r="I103">
        <v>-324.41</v>
      </c>
      <c r="J103">
        <v>-156.55</v>
      </c>
      <c r="K103">
        <v>-108.68</v>
      </c>
      <c r="L103">
        <v>23.37</v>
      </c>
      <c r="M103" t="b">
        <v>0</v>
      </c>
      <c r="N103">
        <v>691</v>
      </c>
      <c r="O103">
        <v>251640</v>
      </c>
      <c r="P103" t="s">
        <v>101</v>
      </c>
      <c r="Q103">
        <v>47.42</v>
      </c>
      <c r="R103" t="s">
        <v>417</v>
      </c>
      <c r="S103" t="s">
        <v>733</v>
      </c>
      <c r="T103">
        <v>1116</v>
      </c>
      <c r="U103">
        <v>190</v>
      </c>
      <c r="V103">
        <v>236</v>
      </c>
    </row>
    <row r="104" spans="1:24">
      <c r="A104" s="2">
        <f>HYPERLINK("https://finance.naver.com/item/coinfo.nhn?code=024800", "A024800")</f>
        <v>0</v>
      </c>
      <c r="B104">
        <f>HYPERLINK("http://comp.fnguide.com/SVO2/ASP/SVD_Consensus.asp?pGB=1&amp;gicode=A024800&amp;cID=&amp;MenuYn=Y&amp;ReportGB=&amp;NewMenuID=108&amp;stkGb=701", "유성티엔에스")</f>
        <v>0</v>
      </c>
      <c r="C104">
        <v>3</v>
      </c>
      <c r="D104">
        <v>2720</v>
      </c>
      <c r="E104">
        <v>0.1</v>
      </c>
      <c r="F104">
        <v>9701</v>
      </c>
      <c r="G104">
        <v>8815</v>
      </c>
      <c r="H104">
        <v>8562</v>
      </c>
      <c r="I104">
        <v>-256.66</v>
      </c>
      <c r="J104">
        <v>-224.08</v>
      </c>
      <c r="K104">
        <v>-214.79</v>
      </c>
      <c r="L104">
        <v>9.41</v>
      </c>
      <c r="M104" t="b">
        <v>1</v>
      </c>
      <c r="N104">
        <v>740</v>
      </c>
      <c r="O104">
        <v>217680</v>
      </c>
      <c r="P104" t="s">
        <v>102</v>
      </c>
      <c r="Q104">
        <v>48.23</v>
      </c>
      <c r="R104" t="s">
        <v>418</v>
      </c>
      <c r="S104" t="s">
        <v>734</v>
      </c>
      <c r="T104">
        <v>3581</v>
      </c>
      <c r="U104">
        <v>74</v>
      </c>
      <c r="V104">
        <v>780</v>
      </c>
      <c r="W104">
        <v>3652884</v>
      </c>
      <c r="X104">
        <v>0.53</v>
      </c>
    </row>
    <row r="105" spans="1:24">
      <c r="A105" s="2">
        <f>HYPERLINK("https://finance.naver.com/item/coinfo.nhn?code=078020", "A078020")</f>
        <v>0</v>
      </c>
      <c r="B105">
        <f>HYPERLINK("http://comp.fnguide.com/SVO2/ASP/SVD_Consensus.asp?pGB=1&amp;gicode=A078020&amp;cID=&amp;MenuYn=Y&amp;ReportGB=&amp;NewMenuID=108&amp;stkGb=701", "이베스트투자증권")</f>
        <v>0</v>
      </c>
      <c r="C105">
        <v>3</v>
      </c>
      <c r="D105">
        <v>7030</v>
      </c>
      <c r="E105">
        <v>0.54</v>
      </c>
      <c r="F105">
        <v>13000</v>
      </c>
      <c r="G105">
        <v>11317</v>
      </c>
      <c r="H105">
        <v>10837</v>
      </c>
      <c r="I105">
        <v>-84.92</v>
      </c>
      <c r="J105">
        <v>-60.98</v>
      </c>
      <c r="K105">
        <v>-54.15</v>
      </c>
      <c r="L105">
        <v>10.17</v>
      </c>
      <c r="M105" t="b">
        <v>1</v>
      </c>
      <c r="N105">
        <v>3900</v>
      </c>
      <c r="O105">
        <v>147656</v>
      </c>
      <c r="P105" t="s">
        <v>103</v>
      </c>
      <c r="Q105">
        <v>62.48</v>
      </c>
      <c r="R105" t="s">
        <v>419</v>
      </c>
      <c r="S105" t="s">
        <v>735</v>
      </c>
      <c r="T105">
        <v>1893</v>
      </c>
      <c r="U105">
        <v>705</v>
      </c>
      <c r="V105">
        <v>1020</v>
      </c>
      <c r="W105">
        <v>5075498</v>
      </c>
      <c r="X105">
        <v>6.16</v>
      </c>
    </row>
    <row r="106" spans="1:24">
      <c r="A106" s="2">
        <f>HYPERLINK("https://finance.naver.com/item/coinfo.nhn?code=080010", "A080010")</f>
        <v>0</v>
      </c>
      <c r="B106">
        <f>HYPERLINK("http://comp.fnguide.com/SVO2/ASP/SVD_Consensus.asp?pGB=1&amp;gicode=A080010&amp;cID=&amp;MenuYn=Y&amp;ReportGB=&amp;NewMenuID=108&amp;stkGb=701", "이상네트웍스")</f>
        <v>0</v>
      </c>
      <c r="C106">
        <v>3</v>
      </c>
      <c r="D106">
        <v>7380</v>
      </c>
      <c r="E106">
        <v>0.31</v>
      </c>
      <c r="F106">
        <v>12846</v>
      </c>
      <c r="G106">
        <v>11516</v>
      </c>
      <c r="H106">
        <v>11137</v>
      </c>
      <c r="I106">
        <v>-74.06</v>
      </c>
      <c r="J106">
        <v>-56.05</v>
      </c>
      <c r="K106">
        <v>-50.91</v>
      </c>
      <c r="L106">
        <v>9.640000000000001</v>
      </c>
      <c r="M106" t="b">
        <v>1</v>
      </c>
      <c r="N106">
        <v>665</v>
      </c>
      <c r="O106">
        <v>5644</v>
      </c>
      <c r="P106" t="s">
        <v>104</v>
      </c>
      <c r="Q106">
        <v>50.05</v>
      </c>
      <c r="R106" t="s">
        <v>420</v>
      </c>
      <c r="S106" t="s">
        <v>736</v>
      </c>
      <c r="T106">
        <v>582</v>
      </c>
      <c r="U106">
        <v>75</v>
      </c>
      <c r="V106">
        <v>1001</v>
      </c>
      <c r="W106">
        <v>98424</v>
      </c>
      <c r="X106">
        <v>1.4</v>
      </c>
    </row>
    <row r="107" spans="1:24">
      <c r="A107" s="2">
        <f>HYPERLINK("https://finance.naver.com/item/coinfo.nhn?code=063760", "A063760")</f>
        <v>0</v>
      </c>
      <c r="B107">
        <f>HYPERLINK("http://comp.fnguide.com/SVO2/ASP/SVD_Consensus.asp?pGB=1&amp;gicode=A063760&amp;cID=&amp;MenuYn=Y&amp;ReportGB=&amp;NewMenuID=108&amp;stkGb=701", "이엘피")</f>
        <v>0</v>
      </c>
      <c r="C107">
        <v>3</v>
      </c>
      <c r="D107">
        <v>9320</v>
      </c>
      <c r="E107">
        <v>0.7</v>
      </c>
      <c r="F107">
        <v>35632</v>
      </c>
      <c r="G107">
        <v>23742</v>
      </c>
      <c r="H107">
        <v>20351</v>
      </c>
      <c r="I107">
        <v>-282.32</v>
      </c>
      <c r="J107">
        <v>-154.74</v>
      </c>
      <c r="K107">
        <v>-118.36</v>
      </c>
      <c r="L107">
        <v>17.96</v>
      </c>
      <c r="M107" t="b">
        <v>1</v>
      </c>
      <c r="N107">
        <v>458</v>
      </c>
      <c r="O107">
        <v>27130</v>
      </c>
      <c r="P107" t="s">
        <v>105</v>
      </c>
      <c r="Q107">
        <v>22.33</v>
      </c>
      <c r="R107" t="s">
        <v>421</v>
      </c>
      <c r="S107" t="s">
        <v>737</v>
      </c>
      <c r="T107">
        <v>373</v>
      </c>
      <c r="U107">
        <v>31</v>
      </c>
      <c r="V107">
        <v>830</v>
      </c>
      <c r="W107">
        <v>495870</v>
      </c>
      <c r="X107">
        <v>1</v>
      </c>
    </row>
    <row r="108" spans="1:24">
      <c r="A108" s="2">
        <f>HYPERLINK("https://finance.naver.com/item/coinfo.nhn?code=016250", "A016250")</f>
        <v>0</v>
      </c>
      <c r="B108">
        <f>HYPERLINK("http://comp.fnguide.com/SVO2/ASP/SVD_Consensus.asp?pGB=1&amp;gicode=A016250&amp;cID=&amp;MenuYn=Y&amp;ReportGB=&amp;NewMenuID=108&amp;stkGb=701", "이테크건설")</f>
        <v>0</v>
      </c>
      <c r="C108">
        <v>3</v>
      </c>
      <c r="D108">
        <v>106100</v>
      </c>
      <c r="E108">
        <v>-1.51</v>
      </c>
      <c r="F108">
        <v>257394</v>
      </c>
      <c r="G108">
        <v>230313</v>
      </c>
      <c r="H108">
        <v>222589</v>
      </c>
      <c r="I108">
        <v>-142.6</v>
      </c>
      <c r="J108">
        <v>-117.07</v>
      </c>
      <c r="K108">
        <v>-109.79</v>
      </c>
      <c r="L108">
        <v>9.68</v>
      </c>
      <c r="M108" t="b">
        <v>1</v>
      </c>
      <c r="N108">
        <v>2971</v>
      </c>
      <c r="O108">
        <v>0</v>
      </c>
      <c r="P108" t="s">
        <v>106</v>
      </c>
      <c r="Q108">
        <v>48.95</v>
      </c>
      <c r="R108" t="s">
        <v>422</v>
      </c>
      <c r="S108" t="s">
        <v>738</v>
      </c>
      <c r="T108">
        <v>16985</v>
      </c>
      <c r="U108">
        <v>770</v>
      </c>
      <c r="V108">
        <v>6923</v>
      </c>
      <c r="W108">
        <v>182423</v>
      </c>
      <c r="X108">
        <v>2.05</v>
      </c>
    </row>
    <row r="109" spans="1:24">
      <c r="A109" s="2">
        <f>HYPERLINK("https://finance.naver.com/item/coinfo.nhn?code=115310", "A115310")</f>
        <v>0</v>
      </c>
      <c r="B109">
        <f>HYPERLINK("http://comp.fnguide.com/SVO2/ASP/SVD_Consensus.asp?pGB=1&amp;gicode=A115310&amp;cID=&amp;MenuYn=Y&amp;ReportGB=&amp;NewMenuID=108&amp;stkGb=701", "인포바인")</f>
        <v>0</v>
      </c>
      <c r="C109">
        <v>3</v>
      </c>
      <c r="D109">
        <v>19000</v>
      </c>
      <c r="E109">
        <v>-1.17</v>
      </c>
      <c r="F109">
        <v>60465</v>
      </c>
      <c r="G109">
        <v>47950</v>
      </c>
      <c r="H109">
        <v>44380</v>
      </c>
      <c r="I109">
        <v>-218.24</v>
      </c>
      <c r="J109">
        <v>-152.37</v>
      </c>
      <c r="K109">
        <v>-133.58</v>
      </c>
      <c r="L109">
        <v>12.18</v>
      </c>
      <c r="M109" t="b">
        <v>1</v>
      </c>
      <c r="N109">
        <v>607</v>
      </c>
      <c r="O109">
        <v>1452</v>
      </c>
      <c r="P109" t="s">
        <v>107</v>
      </c>
      <c r="Q109">
        <v>17.43</v>
      </c>
      <c r="R109" t="s">
        <v>423</v>
      </c>
      <c r="S109" t="s">
        <v>739</v>
      </c>
      <c r="T109">
        <v>193</v>
      </c>
      <c r="U109">
        <v>95</v>
      </c>
      <c r="V109">
        <v>2817</v>
      </c>
      <c r="W109">
        <v>1050332</v>
      </c>
      <c r="X109">
        <v>4.2</v>
      </c>
    </row>
    <row r="110" spans="1:24">
      <c r="A110" s="2">
        <f>HYPERLINK("https://finance.naver.com/item/coinfo.nhn?code=094820", "A094820")</f>
        <v>0</v>
      </c>
      <c r="B110">
        <f>HYPERLINK("http://comp.fnguide.com/SVO2/ASP/SVD_Consensus.asp?pGB=1&amp;gicode=A094820&amp;cID=&amp;MenuYn=Y&amp;ReportGB=&amp;NewMenuID=108&amp;stkGb=701", "일진파워")</f>
        <v>0</v>
      </c>
      <c r="C110">
        <v>3</v>
      </c>
      <c r="D110">
        <v>5550</v>
      </c>
      <c r="E110">
        <v>0.19</v>
      </c>
      <c r="F110">
        <v>13125</v>
      </c>
      <c r="G110">
        <v>9160</v>
      </c>
      <c r="H110">
        <v>8030</v>
      </c>
      <c r="I110">
        <v>-136.49</v>
      </c>
      <c r="J110">
        <v>-65.05</v>
      </c>
      <c r="K110">
        <v>-44.68</v>
      </c>
      <c r="L110">
        <v>16.06</v>
      </c>
      <c r="M110" t="b">
        <v>1</v>
      </c>
      <c r="N110">
        <v>837</v>
      </c>
      <c r="O110">
        <v>106826</v>
      </c>
      <c r="P110" t="s">
        <v>108</v>
      </c>
      <c r="Q110">
        <v>38.44</v>
      </c>
      <c r="R110" t="s">
        <v>424</v>
      </c>
      <c r="S110" t="s">
        <v>740</v>
      </c>
      <c r="T110">
        <v>1828</v>
      </c>
      <c r="U110">
        <v>144</v>
      </c>
      <c r="V110">
        <v>781</v>
      </c>
      <c r="W110">
        <v>361965</v>
      </c>
      <c r="X110">
        <v>5.54</v>
      </c>
    </row>
    <row r="111" spans="1:24">
      <c r="A111" s="2">
        <f>HYPERLINK("https://finance.naver.com/item/coinfo.nhn?code=090470", "A090470")</f>
        <v>0</v>
      </c>
      <c r="B111">
        <f>HYPERLINK("http://comp.fnguide.com/SVO2/ASP/SVD_Consensus.asp?pGB=1&amp;gicode=A090470&amp;cID=&amp;MenuYn=Y&amp;ReportGB=&amp;NewMenuID=108&amp;stkGb=701", "제이스텍")</f>
        <v>0</v>
      </c>
      <c r="C111">
        <v>3</v>
      </c>
      <c r="D111">
        <v>7490</v>
      </c>
      <c r="E111">
        <v>-5.44</v>
      </c>
      <c r="F111">
        <v>18021</v>
      </c>
      <c r="G111">
        <v>12593</v>
      </c>
      <c r="H111">
        <v>11045</v>
      </c>
      <c r="I111">
        <v>-140.6</v>
      </c>
      <c r="J111">
        <v>-68.13</v>
      </c>
      <c r="K111">
        <v>-47.47</v>
      </c>
      <c r="L111">
        <v>16.01</v>
      </c>
      <c r="M111" t="b">
        <v>0</v>
      </c>
      <c r="N111">
        <v>1093</v>
      </c>
      <c r="O111">
        <v>46348</v>
      </c>
      <c r="P111" t="s">
        <v>109</v>
      </c>
      <c r="Q111">
        <v>44.24</v>
      </c>
      <c r="R111" t="s">
        <v>425</v>
      </c>
      <c r="S111" t="s">
        <v>741</v>
      </c>
      <c r="T111">
        <v>1269</v>
      </c>
      <c r="U111">
        <v>4</v>
      </c>
      <c r="V111">
        <v>107</v>
      </c>
      <c r="W111">
        <v>126393</v>
      </c>
      <c r="X111">
        <v>0.36</v>
      </c>
    </row>
    <row r="112" spans="1:24">
      <c r="A112" s="2">
        <f>HYPERLINK("https://finance.naver.com/item/coinfo.nhn?code=123890", "A123890")</f>
        <v>0</v>
      </c>
      <c r="B112">
        <f>HYPERLINK("http://comp.fnguide.com/SVO2/ASP/SVD_Consensus.asp?pGB=1&amp;gicode=A123890&amp;cID=&amp;MenuYn=Y&amp;ReportGB=&amp;NewMenuID=108&amp;stkGb=701", "한국자산신탁")</f>
        <v>0</v>
      </c>
      <c r="C112">
        <v>3</v>
      </c>
      <c r="D112">
        <v>4040</v>
      </c>
      <c r="E112">
        <v>0</v>
      </c>
      <c r="F112">
        <v>12090</v>
      </c>
      <c r="G112">
        <v>8078</v>
      </c>
      <c r="H112">
        <v>6934</v>
      </c>
      <c r="I112">
        <v>-199.26</v>
      </c>
      <c r="J112">
        <v>-99.95999999999999</v>
      </c>
      <c r="K112">
        <v>-71.64</v>
      </c>
      <c r="L112">
        <v>17.83</v>
      </c>
      <c r="M112" t="b">
        <v>1</v>
      </c>
      <c r="N112">
        <v>5009</v>
      </c>
      <c r="O112">
        <v>453413</v>
      </c>
      <c r="P112" t="s">
        <v>110</v>
      </c>
      <c r="Q112">
        <v>53.62</v>
      </c>
      <c r="R112" t="s">
        <v>426</v>
      </c>
      <c r="S112" t="s">
        <v>742</v>
      </c>
      <c r="T112">
        <v>2233</v>
      </c>
      <c r="U112">
        <v>1141</v>
      </c>
      <c r="V112">
        <v>723</v>
      </c>
      <c r="W112">
        <v>1610697</v>
      </c>
      <c r="X112">
        <v>5.4</v>
      </c>
    </row>
    <row r="113" spans="1:24">
      <c r="A113" s="2">
        <f>HYPERLINK("https://finance.naver.com/item/coinfo.nhn?code=010240", "A010240")</f>
        <v>0</v>
      </c>
      <c r="B113">
        <f>HYPERLINK("http://comp.fnguide.com/SVO2/ASP/SVD_Consensus.asp?pGB=1&amp;gicode=A010240&amp;cID=&amp;MenuYn=Y&amp;ReportGB=&amp;NewMenuID=108&amp;stkGb=701", "흥국")</f>
        <v>0</v>
      </c>
      <c r="C113">
        <v>3</v>
      </c>
      <c r="D113">
        <v>5810</v>
      </c>
      <c r="E113">
        <v>0.15</v>
      </c>
      <c r="F113">
        <v>9060</v>
      </c>
      <c r="G113">
        <v>7129</v>
      </c>
      <c r="H113">
        <v>6578</v>
      </c>
      <c r="I113">
        <v>-55.95</v>
      </c>
      <c r="J113">
        <v>-22.7</v>
      </c>
      <c r="K113">
        <v>-13.22</v>
      </c>
      <c r="L113">
        <v>12.37</v>
      </c>
      <c r="M113" t="b">
        <v>1</v>
      </c>
      <c r="N113">
        <v>716</v>
      </c>
      <c r="O113">
        <v>41549</v>
      </c>
      <c r="P113" t="s">
        <v>111</v>
      </c>
      <c r="Q113">
        <v>51.18</v>
      </c>
      <c r="R113" t="s">
        <v>427</v>
      </c>
      <c r="S113" t="s">
        <v>743</v>
      </c>
      <c r="T113">
        <v>1045</v>
      </c>
      <c r="U113">
        <v>89</v>
      </c>
      <c r="V113">
        <v>568</v>
      </c>
      <c r="W113">
        <v>772811</v>
      </c>
      <c r="X113">
        <v>3.39</v>
      </c>
    </row>
    <row r="114" spans="1:24">
      <c r="A114" s="2">
        <f>HYPERLINK("https://finance.naver.com/item/coinfo.nhn?code=004430", "A004430")</f>
        <v>0</v>
      </c>
      <c r="B114">
        <f>HYPERLINK("http://comp.fnguide.com/SVO2/ASP/SVD_Consensus.asp?pGB=1&amp;gicode=A004430&amp;cID=&amp;MenuYn=Y&amp;ReportGB=&amp;NewMenuID=108&amp;stkGb=701", "송원산업")</f>
        <v>0</v>
      </c>
      <c r="C114">
        <v>3</v>
      </c>
      <c r="D114">
        <v>14650</v>
      </c>
      <c r="E114">
        <v>-466.19</v>
      </c>
      <c r="F114">
        <v>20109</v>
      </c>
      <c r="G114">
        <v>18832</v>
      </c>
      <c r="H114">
        <v>18468</v>
      </c>
      <c r="I114">
        <v>-37.26</v>
      </c>
      <c r="J114">
        <v>-28.55</v>
      </c>
      <c r="K114">
        <v>-26.06</v>
      </c>
      <c r="L114">
        <v>8.92</v>
      </c>
      <c r="M114" t="b">
        <v>1</v>
      </c>
      <c r="N114">
        <v>3516</v>
      </c>
      <c r="O114">
        <v>341405</v>
      </c>
      <c r="P114" t="s">
        <v>112</v>
      </c>
      <c r="Q114">
        <v>35.64</v>
      </c>
      <c r="R114" t="s">
        <v>428</v>
      </c>
      <c r="S114" t="s">
        <v>744</v>
      </c>
      <c r="T114">
        <v>8143</v>
      </c>
      <c r="U114">
        <v>593</v>
      </c>
      <c r="V114">
        <v>1448</v>
      </c>
      <c r="X114">
        <v>0.96</v>
      </c>
    </row>
    <row r="115" spans="1:24">
      <c r="A115" s="2">
        <f>HYPERLINK("https://finance.naver.com/item/coinfo.nhn?code=008060", "A008060")</f>
        <v>0</v>
      </c>
      <c r="B115">
        <f>HYPERLINK("http://comp.fnguide.com/SVO2/ASP/SVD_Consensus.asp?pGB=1&amp;gicode=A008060&amp;cID=&amp;MenuYn=Y&amp;ReportGB=&amp;NewMenuID=108&amp;stkGb=701", "대덕")</f>
        <v>0</v>
      </c>
      <c r="C115">
        <v>3</v>
      </c>
      <c r="D115">
        <v>6480</v>
      </c>
      <c r="E115">
        <v>0.32</v>
      </c>
      <c r="F115">
        <v>61998</v>
      </c>
      <c r="G115">
        <v>43189</v>
      </c>
      <c r="H115">
        <v>37824</v>
      </c>
      <c r="I115">
        <v>-856.76</v>
      </c>
      <c r="J115">
        <v>-566.49</v>
      </c>
      <c r="K115">
        <v>-483.71</v>
      </c>
      <c r="L115">
        <v>16.13</v>
      </c>
      <c r="M115" t="b">
        <v>1</v>
      </c>
      <c r="N115">
        <v>2196</v>
      </c>
      <c r="O115">
        <v>155024</v>
      </c>
      <c r="P115" t="s">
        <v>113</v>
      </c>
      <c r="Q115">
        <v>43.32</v>
      </c>
      <c r="R115" t="s">
        <v>429</v>
      </c>
      <c r="S115" t="s">
        <v>745</v>
      </c>
      <c r="T115">
        <v>10722</v>
      </c>
      <c r="U115">
        <v>464</v>
      </c>
      <c r="V115">
        <v>794</v>
      </c>
      <c r="X115">
        <v>2.86</v>
      </c>
    </row>
    <row r="116" spans="1:24">
      <c r="A116" s="2">
        <f>HYPERLINK("https://finance.naver.com/item/coinfo.nhn?code=006090", "A006090")</f>
        <v>0</v>
      </c>
      <c r="B116">
        <f>HYPERLINK("http://comp.fnguide.com/SVO2/ASP/SVD_Consensus.asp?pGB=1&amp;gicode=A006090&amp;cID=&amp;MenuYn=Y&amp;ReportGB=&amp;NewMenuID=108&amp;stkGb=701", "사조오양")</f>
        <v>0</v>
      </c>
      <c r="C116">
        <v>3</v>
      </c>
      <c r="D116">
        <v>9900</v>
      </c>
      <c r="E116">
        <v>0.4</v>
      </c>
      <c r="F116">
        <v>19436</v>
      </c>
      <c r="G116">
        <v>18446</v>
      </c>
      <c r="H116">
        <v>18163</v>
      </c>
      <c r="I116">
        <v>-96.31999999999999</v>
      </c>
      <c r="J116">
        <v>-86.31999999999999</v>
      </c>
      <c r="K116">
        <v>-83.47</v>
      </c>
      <c r="L116">
        <v>8.720000000000001</v>
      </c>
      <c r="M116" t="b">
        <v>1</v>
      </c>
      <c r="N116">
        <v>933</v>
      </c>
      <c r="O116">
        <v>99307</v>
      </c>
      <c r="P116" t="s">
        <v>114</v>
      </c>
      <c r="Q116">
        <v>60.53</v>
      </c>
      <c r="R116" t="s">
        <v>430</v>
      </c>
      <c r="S116" t="s">
        <v>746</v>
      </c>
      <c r="T116">
        <v>3136</v>
      </c>
      <c r="U116">
        <v>226</v>
      </c>
      <c r="V116">
        <v>1402</v>
      </c>
      <c r="W116">
        <v>3</v>
      </c>
      <c r="X116">
        <v>1.32</v>
      </c>
    </row>
    <row r="117" spans="1:24">
      <c r="A117" s="2">
        <f>HYPERLINK("https://finance.naver.com/item/coinfo.nhn?code=049770", "A049770")</f>
        <v>0</v>
      </c>
      <c r="B117">
        <f>HYPERLINK("http://comp.fnguide.com/SVO2/ASP/SVD_Consensus.asp?pGB=1&amp;gicode=A049770&amp;cID=&amp;MenuYn=Y&amp;ReportGB=&amp;NewMenuID=108&amp;stkGb=701", "동원F&amp;B")</f>
        <v>0</v>
      </c>
      <c r="C117">
        <v>3</v>
      </c>
      <c r="D117">
        <v>176500</v>
      </c>
      <c r="E117">
        <v>2.67</v>
      </c>
      <c r="F117">
        <v>211982</v>
      </c>
      <c r="G117">
        <v>190683</v>
      </c>
      <c r="H117">
        <v>184609</v>
      </c>
      <c r="I117">
        <v>-20.1</v>
      </c>
      <c r="J117">
        <v>-8.039999999999999</v>
      </c>
      <c r="K117">
        <v>-4.59</v>
      </c>
      <c r="L117">
        <v>9.58</v>
      </c>
      <c r="M117" t="b">
        <v>1</v>
      </c>
      <c r="N117">
        <v>6811</v>
      </c>
      <c r="O117">
        <v>7771</v>
      </c>
      <c r="P117" t="s">
        <v>115</v>
      </c>
      <c r="Q117">
        <v>71.27</v>
      </c>
      <c r="R117" t="s">
        <v>431</v>
      </c>
      <c r="S117" t="s">
        <v>747</v>
      </c>
      <c r="T117">
        <v>30303</v>
      </c>
      <c r="U117">
        <v>1014</v>
      </c>
      <c r="V117">
        <v>17015</v>
      </c>
      <c r="X117">
        <v>1.33</v>
      </c>
    </row>
    <row r="118" spans="1:24">
      <c r="A118" s="2">
        <f>HYPERLINK("https://finance.naver.com/item/coinfo.nhn?code=014530", "A014530")</f>
        <v>0</v>
      </c>
      <c r="B118">
        <f>HYPERLINK("http://comp.fnguide.com/SVO2/ASP/SVD_Consensus.asp?pGB=1&amp;gicode=A014530&amp;cID=&amp;MenuYn=Y&amp;ReportGB=&amp;NewMenuID=108&amp;stkGb=701", "극동유화")</f>
        <v>0</v>
      </c>
      <c r="C118">
        <v>3</v>
      </c>
      <c r="D118">
        <v>3460</v>
      </c>
      <c r="E118">
        <v>-1.91</v>
      </c>
      <c r="F118">
        <v>6038</v>
      </c>
      <c r="G118">
        <v>5412</v>
      </c>
      <c r="H118">
        <v>5233</v>
      </c>
      <c r="I118">
        <v>-74.51000000000001</v>
      </c>
      <c r="J118">
        <v>-56.42</v>
      </c>
      <c r="K118">
        <v>-51.26</v>
      </c>
      <c r="L118">
        <v>9.65</v>
      </c>
      <c r="M118" t="b">
        <v>1</v>
      </c>
      <c r="N118">
        <v>1206</v>
      </c>
      <c r="O118">
        <v>131434</v>
      </c>
      <c r="P118" t="s">
        <v>116</v>
      </c>
      <c r="Q118">
        <v>43.36</v>
      </c>
      <c r="R118" t="s">
        <v>432</v>
      </c>
      <c r="S118" t="s">
        <v>748</v>
      </c>
      <c r="T118">
        <v>7956</v>
      </c>
      <c r="U118">
        <v>167</v>
      </c>
      <c r="V118">
        <v>412</v>
      </c>
      <c r="W118">
        <v>1200000</v>
      </c>
      <c r="X118">
        <v>4.64</v>
      </c>
    </row>
    <row r="119" spans="1:24">
      <c r="A119" s="2">
        <f>HYPERLINK("https://finance.naver.com/item/coinfo.nhn?code=008260", "A008260")</f>
        <v>0</v>
      </c>
      <c r="B119">
        <f>HYPERLINK("http://comp.fnguide.com/SVO2/ASP/SVD_Consensus.asp?pGB=1&amp;gicode=A008260&amp;cID=&amp;MenuYn=Y&amp;ReportGB=&amp;NewMenuID=108&amp;stkGb=701", "NI스틸")</f>
        <v>0</v>
      </c>
      <c r="C119">
        <v>3</v>
      </c>
      <c r="D119">
        <v>2635</v>
      </c>
      <c r="E119">
        <v>7.09</v>
      </c>
      <c r="F119">
        <v>4014</v>
      </c>
      <c r="G119">
        <v>3932</v>
      </c>
      <c r="H119">
        <v>3909</v>
      </c>
      <c r="I119">
        <v>-52.32</v>
      </c>
      <c r="J119">
        <v>-49.22</v>
      </c>
      <c r="K119">
        <v>-48.34</v>
      </c>
      <c r="L119">
        <v>8.26</v>
      </c>
      <c r="M119" t="b">
        <v>1</v>
      </c>
      <c r="N119">
        <v>754</v>
      </c>
      <c r="O119">
        <v>2202653</v>
      </c>
      <c r="P119" t="s">
        <v>117</v>
      </c>
      <c r="Q119">
        <v>59.16</v>
      </c>
      <c r="R119" t="s">
        <v>433</v>
      </c>
      <c r="S119" t="s">
        <v>749</v>
      </c>
      <c r="T119">
        <v>1482</v>
      </c>
      <c r="U119">
        <v>121</v>
      </c>
      <c r="V119">
        <v>224</v>
      </c>
      <c r="X119">
        <v>2.26</v>
      </c>
    </row>
    <row r="120" spans="1:24">
      <c r="A120" s="2">
        <f>HYPERLINK("https://finance.naver.com/item/coinfo.nhn?code=092780", "A092780")</f>
        <v>0</v>
      </c>
      <c r="B120">
        <f>HYPERLINK("http://comp.fnguide.com/SVO2/ASP/SVD_Consensus.asp?pGB=1&amp;gicode=A092780&amp;cID=&amp;MenuYn=Y&amp;ReportGB=&amp;NewMenuID=108&amp;stkGb=701", "동양피스톤")</f>
        <v>0</v>
      </c>
      <c r="C120">
        <v>3</v>
      </c>
      <c r="D120">
        <v>5700</v>
      </c>
      <c r="E120">
        <v>2.83</v>
      </c>
      <c r="F120">
        <v>11963</v>
      </c>
      <c r="G120">
        <v>9868</v>
      </c>
      <c r="H120">
        <v>9270</v>
      </c>
      <c r="I120">
        <v>-109.89</v>
      </c>
      <c r="J120">
        <v>-73.12</v>
      </c>
      <c r="K120">
        <v>-62.63</v>
      </c>
      <c r="L120">
        <v>11.27</v>
      </c>
      <c r="M120" t="b">
        <v>1</v>
      </c>
      <c r="N120">
        <v>751</v>
      </c>
      <c r="O120">
        <v>62591</v>
      </c>
      <c r="P120" t="s">
        <v>118</v>
      </c>
      <c r="Q120">
        <v>55.79</v>
      </c>
      <c r="R120" t="s">
        <v>434</v>
      </c>
      <c r="S120" t="s">
        <v>750</v>
      </c>
      <c r="T120">
        <v>3648</v>
      </c>
      <c r="U120">
        <v>185</v>
      </c>
      <c r="V120">
        <v>738</v>
      </c>
      <c r="W120">
        <v>647132</v>
      </c>
      <c r="X120">
        <v>2.49</v>
      </c>
    </row>
    <row r="121" spans="1:24">
      <c r="A121" s="2">
        <f>HYPERLINK("https://finance.naver.com/item/coinfo.nhn?code=084670", "A084670")</f>
        <v>0</v>
      </c>
      <c r="B121">
        <f>HYPERLINK("http://comp.fnguide.com/SVO2/ASP/SVD_Consensus.asp?pGB=1&amp;gicode=A084670&amp;cID=&amp;MenuYn=Y&amp;ReportGB=&amp;NewMenuID=108&amp;stkGb=701", "동양고속")</f>
        <v>0</v>
      </c>
      <c r="C121">
        <v>3</v>
      </c>
      <c r="D121">
        <v>26400</v>
      </c>
      <c r="E121">
        <v>0.01</v>
      </c>
      <c r="F121">
        <v>87071</v>
      </c>
      <c r="G121">
        <v>64985</v>
      </c>
      <c r="H121">
        <v>58686</v>
      </c>
      <c r="I121">
        <v>-229.82</v>
      </c>
      <c r="J121">
        <v>-146.16</v>
      </c>
      <c r="K121">
        <v>-122.3</v>
      </c>
      <c r="L121">
        <v>13.82</v>
      </c>
      <c r="M121" t="b">
        <v>0</v>
      </c>
      <c r="N121">
        <v>764</v>
      </c>
      <c r="O121">
        <v>22205</v>
      </c>
      <c r="P121" t="s">
        <v>119</v>
      </c>
      <c r="Q121">
        <v>47.52</v>
      </c>
      <c r="R121" t="s">
        <v>435</v>
      </c>
      <c r="S121" t="s">
        <v>751</v>
      </c>
      <c r="T121">
        <v>1405</v>
      </c>
      <c r="U121">
        <v>100</v>
      </c>
      <c r="V121">
        <v>11314</v>
      </c>
      <c r="W121">
        <v>275048</v>
      </c>
      <c r="X121">
        <v>17.25</v>
      </c>
    </row>
    <row r="122" spans="1:24">
      <c r="A122" s="2">
        <f>HYPERLINK("https://finance.naver.com/item/coinfo.nhn?code=002170", "A002170")</f>
        <v>0</v>
      </c>
      <c r="B122">
        <f>HYPERLINK("http://comp.fnguide.com/SVO2/ASP/SVD_Consensus.asp?pGB=1&amp;gicode=A002170&amp;cID=&amp;MenuYn=Y&amp;ReportGB=&amp;NewMenuID=108&amp;stkGb=701", "삼양통상")</f>
        <v>0</v>
      </c>
      <c r="C122">
        <v>3</v>
      </c>
      <c r="D122">
        <v>63500</v>
      </c>
      <c r="E122">
        <v>0.12</v>
      </c>
      <c r="F122">
        <v>168987</v>
      </c>
      <c r="G122">
        <v>136779</v>
      </c>
      <c r="H122">
        <v>127593</v>
      </c>
      <c r="I122">
        <v>-166.12</v>
      </c>
      <c r="J122">
        <v>-115.4</v>
      </c>
      <c r="K122">
        <v>-100.93</v>
      </c>
      <c r="L122">
        <v>11.69</v>
      </c>
      <c r="M122" t="b">
        <v>1</v>
      </c>
      <c r="N122">
        <v>1905</v>
      </c>
      <c r="O122">
        <v>8329</v>
      </c>
      <c r="P122" t="s">
        <v>120</v>
      </c>
      <c r="Q122">
        <v>54.39</v>
      </c>
      <c r="R122" t="s">
        <v>436</v>
      </c>
      <c r="S122" t="s">
        <v>752</v>
      </c>
      <c r="T122">
        <v>1921</v>
      </c>
      <c r="U122">
        <v>494</v>
      </c>
      <c r="V122">
        <v>14733</v>
      </c>
      <c r="W122">
        <v>150575</v>
      </c>
      <c r="X122">
        <v>1.67</v>
      </c>
    </row>
    <row r="123" spans="1:24">
      <c r="A123" s="2">
        <f>HYPERLINK("https://finance.naver.com/item/coinfo.nhn?code=272550", "A272550")</f>
        <v>0</v>
      </c>
      <c r="B123">
        <f>HYPERLINK("http://comp.fnguide.com/SVO2/ASP/SVD_Consensus.asp?pGB=1&amp;gicode=A272550&amp;cID=&amp;MenuYn=Y&amp;ReportGB=&amp;NewMenuID=108&amp;stkGb=701", "삼양패키징")</f>
        <v>0</v>
      </c>
      <c r="C123">
        <v>3</v>
      </c>
      <c r="D123">
        <v>20850</v>
      </c>
      <c r="E123">
        <v>0.26</v>
      </c>
      <c r="F123">
        <v>25105</v>
      </c>
      <c r="G123">
        <v>22124</v>
      </c>
      <c r="H123">
        <v>21274</v>
      </c>
      <c r="I123">
        <v>-20.41</v>
      </c>
      <c r="J123">
        <v>-6.11</v>
      </c>
      <c r="K123">
        <v>-2.03</v>
      </c>
      <c r="L123">
        <v>9.949999999999999</v>
      </c>
      <c r="M123" t="b">
        <v>1</v>
      </c>
      <c r="N123">
        <v>2963</v>
      </c>
      <c r="O123">
        <v>36159</v>
      </c>
      <c r="P123" t="s">
        <v>121</v>
      </c>
      <c r="Q123">
        <v>71.01000000000001</v>
      </c>
      <c r="R123" t="s">
        <v>437</v>
      </c>
      <c r="S123" t="s">
        <v>753</v>
      </c>
      <c r="T123">
        <v>3754</v>
      </c>
      <c r="U123">
        <v>416</v>
      </c>
      <c r="V123">
        <v>1998</v>
      </c>
      <c r="X123">
        <v>4.76</v>
      </c>
    </row>
    <row r="124" spans="1:24">
      <c r="A124" s="2">
        <f>HYPERLINK("https://finance.naver.com/item/coinfo.nhn?code=005940", "A005940")</f>
        <v>0</v>
      </c>
      <c r="B124">
        <f>HYPERLINK("http://comp.fnguide.com/SVO2/ASP/SVD_Consensus.asp?pGB=1&amp;gicode=A005940&amp;cID=&amp;MenuYn=Y&amp;ReportGB=&amp;NewMenuID=108&amp;stkGb=701", "NH투자증권")</f>
        <v>0</v>
      </c>
      <c r="C124">
        <v>3</v>
      </c>
      <c r="D124">
        <v>11150</v>
      </c>
      <c r="E124">
        <v>0.98</v>
      </c>
      <c r="F124">
        <v>19780</v>
      </c>
      <c r="G124">
        <v>19421</v>
      </c>
      <c r="H124">
        <v>19319</v>
      </c>
      <c r="I124">
        <v>-77.40000000000001</v>
      </c>
      <c r="J124">
        <v>-74.18000000000001</v>
      </c>
      <c r="K124">
        <v>-73.26000000000001</v>
      </c>
      <c r="L124">
        <v>8.23</v>
      </c>
      <c r="M124" t="b">
        <v>0</v>
      </c>
      <c r="N124">
        <v>31377</v>
      </c>
      <c r="O124">
        <v>1184623</v>
      </c>
      <c r="P124" t="s">
        <v>122</v>
      </c>
      <c r="Q124">
        <v>49.12</v>
      </c>
      <c r="R124" t="s">
        <v>438</v>
      </c>
      <c r="S124" t="s">
        <v>754</v>
      </c>
      <c r="T124">
        <v>13873</v>
      </c>
      <c r="U124">
        <v>5754</v>
      </c>
      <c r="V124">
        <v>1584</v>
      </c>
      <c r="W124">
        <v>683671</v>
      </c>
      <c r="X124">
        <v>3.94</v>
      </c>
    </row>
    <row r="125" spans="1:24">
      <c r="A125" s="2">
        <f>HYPERLINK("https://finance.naver.com/item/coinfo.nhn?code=002810", "A002810")</f>
        <v>0</v>
      </c>
      <c r="B125">
        <f>HYPERLINK("http://comp.fnguide.com/SVO2/ASP/SVD_Consensus.asp?pGB=1&amp;gicode=A002810&amp;cID=&amp;MenuYn=Y&amp;ReportGB=&amp;NewMenuID=108&amp;stkGb=701", "삼영무역")</f>
        <v>0</v>
      </c>
      <c r="C125">
        <v>3</v>
      </c>
      <c r="D125">
        <v>13950</v>
      </c>
      <c r="E125">
        <v>0.79</v>
      </c>
      <c r="F125">
        <v>25442</v>
      </c>
      <c r="G125">
        <v>22664</v>
      </c>
      <c r="H125">
        <v>21871</v>
      </c>
      <c r="I125">
        <v>-82.38</v>
      </c>
      <c r="J125">
        <v>-62.46</v>
      </c>
      <c r="K125">
        <v>-56.78</v>
      </c>
      <c r="L125">
        <v>9.75</v>
      </c>
      <c r="M125" t="b">
        <v>1</v>
      </c>
      <c r="N125">
        <v>2576</v>
      </c>
      <c r="O125">
        <v>40504</v>
      </c>
      <c r="P125" t="s">
        <v>123</v>
      </c>
      <c r="Q125">
        <v>42.92</v>
      </c>
      <c r="R125" t="s">
        <v>439</v>
      </c>
      <c r="S125" t="s">
        <v>755</v>
      </c>
      <c r="T125">
        <v>2742</v>
      </c>
      <c r="U125">
        <v>92</v>
      </c>
      <c r="V125">
        <v>1941</v>
      </c>
      <c r="W125">
        <v>1138844</v>
      </c>
      <c r="X125">
        <v>2.1</v>
      </c>
    </row>
    <row r="126" spans="1:24">
      <c r="A126" s="2">
        <f>HYPERLINK("https://finance.naver.com/item/coinfo.nhn?code=010960", "A010960")</f>
        <v>0</v>
      </c>
      <c r="B126">
        <f>HYPERLINK("http://comp.fnguide.com/SVO2/ASP/SVD_Consensus.asp?pGB=1&amp;gicode=A010960&amp;cID=&amp;MenuYn=Y&amp;ReportGB=&amp;NewMenuID=108&amp;stkGb=701", "삼호개발")</f>
        <v>0</v>
      </c>
      <c r="C126">
        <v>3</v>
      </c>
      <c r="D126">
        <v>4155</v>
      </c>
      <c r="E126">
        <v>0.41</v>
      </c>
      <c r="F126">
        <v>12617</v>
      </c>
      <c r="G126">
        <v>10017</v>
      </c>
      <c r="H126">
        <v>9275</v>
      </c>
      <c r="I126">
        <v>-203.67</v>
      </c>
      <c r="J126">
        <v>-141.08</v>
      </c>
      <c r="K126">
        <v>-123.22</v>
      </c>
      <c r="L126">
        <v>12.15</v>
      </c>
      <c r="M126" t="b">
        <v>1</v>
      </c>
      <c r="N126">
        <v>1039</v>
      </c>
      <c r="O126">
        <v>51615</v>
      </c>
      <c r="P126" t="s">
        <v>124</v>
      </c>
      <c r="Q126">
        <v>32.44</v>
      </c>
      <c r="R126" t="s">
        <v>440</v>
      </c>
      <c r="S126" t="s">
        <v>756</v>
      </c>
      <c r="T126">
        <v>3646</v>
      </c>
      <c r="U126">
        <v>236</v>
      </c>
      <c r="V126">
        <v>863</v>
      </c>
      <c r="W126">
        <v>2000000</v>
      </c>
      <c r="X126">
        <v>4.27</v>
      </c>
    </row>
    <row r="127" spans="1:24">
      <c r="A127" s="2">
        <f>HYPERLINK("https://finance.naver.com/item/coinfo.nhn?code=003550", "A003550")</f>
        <v>0</v>
      </c>
      <c r="B127">
        <f>HYPERLINK("http://comp.fnguide.com/SVO2/ASP/SVD_Consensus.asp?pGB=1&amp;gicode=A003550&amp;cID=&amp;MenuYn=Y&amp;ReportGB=&amp;NewMenuID=108&amp;stkGb=701", "LG")</f>
        <v>0</v>
      </c>
      <c r="C127">
        <v>3</v>
      </c>
      <c r="D127">
        <v>73300</v>
      </c>
      <c r="E127">
        <v>2.31</v>
      </c>
      <c r="F127">
        <v>126698</v>
      </c>
      <c r="G127">
        <v>116169</v>
      </c>
      <c r="H127">
        <v>113166</v>
      </c>
      <c r="I127">
        <v>-72.84999999999999</v>
      </c>
      <c r="J127">
        <v>-58.48</v>
      </c>
      <c r="K127">
        <v>-54.39</v>
      </c>
      <c r="L127">
        <v>9.26</v>
      </c>
      <c r="M127" t="b">
        <v>0</v>
      </c>
      <c r="N127">
        <v>126484</v>
      </c>
      <c r="O127">
        <v>496930</v>
      </c>
      <c r="P127" t="s">
        <v>125</v>
      </c>
      <c r="Q127">
        <v>46.07</v>
      </c>
      <c r="R127" t="s">
        <v>441</v>
      </c>
      <c r="S127" t="s">
        <v>757</v>
      </c>
      <c r="T127">
        <v>65753</v>
      </c>
      <c r="U127">
        <v>10241</v>
      </c>
      <c r="V127">
        <v>6141</v>
      </c>
      <c r="W127">
        <v>93789</v>
      </c>
      <c r="X127">
        <v>2.98</v>
      </c>
    </row>
    <row r="128" spans="1:24">
      <c r="A128" s="2">
        <f>HYPERLINK("https://finance.naver.com/item/coinfo.nhn?code=028100", "A028100")</f>
        <v>0</v>
      </c>
      <c r="B128">
        <f>HYPERLINK("http://comp.fnguide.com/SVO2/ASP/SVD_Consensus.asp?pGB=1&amp;gicode=A028100&amp;cID=&amp;MenuYn=Y&amp;ReportGB=&amp;NewMenuID=108&amp;stkGb=701", "동아지질")</f>
        <v>0</v>
      </c>
      <c r="C128">
        <v>3</v>
      </c>
      <c r="D128">
        <v>16350</v>
      </c>
      <c r="E128">
        <v>7.45</v>
      </c>
      <c r="F128">
        <v>23230</v>
      </c>
      <c r="G128">
        <v>19584</v>
      </c>
      <c r="H128">
        <v>18544</v>
      </c>
      <c r="I128">
        <v>-42.08</v>
      </c>
      <c r="J128">
        <v>-19.78</v>
      </c>
      <c r="K128">
        <v>-13.42</v>
      </c>
      <c r="L128">
        <v>10.8</v>
      </c>
      <c r="M128" t="b">
        <v>0</v>
      </c>
      <c r="N128">
        <v>1880</v>
      </c>
      <c r="O128">
        <v>92759</v>
      </c>
      <c r="P128" t="s">
        <v>126</v>
      </c>
      <c r="Q128">
        <v>43.35</v>
      </c>
      <c r="R128" t="s">
        <v>442</v>
      </c>
      <c r="S128" t="s">
        <v>758</v>
      </c>
      <c r="T128">
        <v>3809</v>
      </c>
      <c r="U128">
        <v>229</v>
      </c>
      <c r="V128">
        <v>1656</v>
      </c>
      <c r="W128">
        <v>200000</v>
      </c>
      <c r="X128">
        <v>1.04</v>
      </c>
    </row>
    <row r="129" spans="1:24">
      <c r="A129" s="2">
        <f>HYPERLINK("https://finance.naver.com/item/coinfo.nhn?code=030210", "A030210")</f>
        <v>0</v>
      </c>
      <c r="B129">
        <f>HYPERLINK("http://comp.fnguide.com/SVO2/ASP/SVD_Consensus.asp?pGB=1&amp;gicode=A030210&amp;cID=&amp;MenuYn=Y&amp;ReportGB=&amp;NewMenuID=108&amp;stkGb=701", "KTB투자증권")</f>
        <v>0</v>
      </c>
      <c r="C129">
        <v>3</v>
      </c>
      <c r="D129">
        <v>3220</v>
      </c>
      <c r="E129">
        <v>0.48</v>
      </c>
      <c r="F129">
        <v>9807</v>
      </c>
      <c r="G129">
        <v>9713</v>
      </c>
      <c r="H129">
        <v>9686</v>
      </c>
      <c r="I129">
        <v>-204.57</v>
      </c>
      <c r="J129">
        <v>-201.64</v>
      </c>
      <c r="K129">
        <v>-200.8</v>
      </c>
      <c r="L129">
        <v>8.109999999999999</v>
      </c>
      <c r="M129" t="b">
        <v>1</v>
      </c>
      <c r="N129">
        <v>1942</v>
      </c>
      <c r="O129">
        <v>208261</v>
      </c>
      <c r="P129" t="s">
        <v>127</v>
      </c>
      <c r="Q129">
        <v>23.85</v>
      </c>
      <c r="R129" t="s">
        <v>443</v>
      </c>
      <c r="S129" t="s">
        <v>759</v>
      </c>
      <c r="T129">
        <v>2336</v>
      </c>
      <c r="U129">
        <v>375</v>
      </c>
      <c r="V129">
        <v>710</v>
      </c>
      <c r="W129">
        <v>1069813</v>
      </c>
      <c r="X129">
        <v>6.4</v>
      </c>
    </row>
    <row r="130" spans="1:24">
      <c r="A130" s="2">
        <f>HYPERLINK("https://finance.naver.com/item/coinfo.nhn?code=005190", "A005190")</f>
        <v>0</v>
      </c>
      <c r="B130">
        <f>HYPERLINK("http://comp.fnguide.com/SVO2/ASP/SVD_Consensus.asp?pGB=1&amp;gicode=A005190&amp;cID=&amp;MenuYn=Y&amp;ReportGB=&amp;NewMenuID=108&amp;stkGb=701", "동성화학")</f>
        <v>0</v>
      </c>
      <c r="C130">
        <v>3</v>
      </c>
      <c r="D130">
        <v>16000</v>
      </c>
      <c r="E130">
        <v>0.95</v>
      </c>
      <c r="F130">
        <v>24785</v>
      </c>
      <c r="G130">
        <v>23569</v>
      </c>
      <c r="H130">
        <v>23222</v>
      </c>
      <c r="I130">
        <v>-54.91</v>
      </c>
      <c r="J130">
        <v>-47.31</v>
      </c>
      <c r="K130">
        <v>-45.14</v>
      </c>
      <c r="L130">
        <v>8.69</v>
      </c>
      <c r="M130" t="b">
        <v>1</v>
      </c>
      <c r="N130">
        <v>854</v>
      </c>
      <c r="O130">
        <v>40077</v>
      </c>
      <c r="P130" t="s">
        <v>128</v>
      </c>
      <c r="Q130">
        <v>51.23</v>
      </c>
      <c r="R130" t="s">
        <v>444</v>
      </c>
      <c r="S130" t="s">
        <v>760</v>
      </c>
      <c r="T130">
        <v>2010</v>
      </c>
      <c r="U130">
        <v>253</v>
      </c>
      <c r="V130">
        <v>2492</v>
      </c>
      <c r="W130">
        <v>186177</v>
      </c>
      <c r="X130">
        <v>3.3</v>
      </c>
    </row>
    <row r="131" spans="1:24">
      <c r="A131" s="2">
        <f>HYPERLINK("https://finance.naver.com/item/coinfo.nhn?code=004490", "A004490")</f>
        <v>0</v>
      </c>
      <c r="B131">
        <f>HYPERLINK("http://comp.fnguide.com/SVO2/ASP/SVD_Consensus.asp?pGB=1&amp;gicode=A004490&amp;cID=&amp;MenuYn=Y&amp;ReportGB=&amp;NewMenuID=108&amp;stkGb=701", "세방전지")</f>
        <v>0</v>
      </c>
      <c r="C131">
        <v>3</v>
      </c>
      <c r="D131">
        <v>41750</v>
      </c>
      <c r="E131">
        <v>-4.66</v>
      </c>
      <c r="F131">
        <v>84716</v>
      </c>
      <c r="G131">
        <v>81140</v>
      </c>
      <c r="H131">
        <v>80120</v>
      </c>
      <c r="I131">
        <v>-102.91</v>
      </c>
      <c r="J131">
        <v>-94.34999999999999</v>
      </c>
      <c r="K131">
        <v>-91.90000000000001</v>
      </c>
      <c r="L131">
        <v>8.58</v>
      </c>
      <c r="M131" t="b">
        <v>1</v>
      </c>
      <c r="N131">
        <v>5845</v>
      </c>
      <c r="O131">
        <v>126291</v>
      </c>
      <c r="P131" t="s">
        <v>129</v>
      </c>
      <c r="Q131">
        <v>41.48</v>
      </c>
      <c r="R131" t="s">
        <v>445</v>
      </c>
      <c r="S131" t="s">
        <v>761</v>
      </c>
      <c r="T131">
        <v>11390</v>
      </c>
      <c r="U131">
        <v>1057</v>
      </c>
      <c r="V131">
        <v>5597</v>
      </c>
      <c r="W131">
        <v>615220</v>
      </c>
      <c r="X131">
        <v>1.34</v>
      </c>
    </row>
    <row r="132" spans="1:24">
      <c r="A132" s="2">
        <f>HYPERLINK("https://finance.naver.com/item/coinfo.nhn?code=044450", "A044450")</f>
        <v>0</v>
      </c>
      <c r="B132">
        <f>HYPERLINK("http://comp.fnguide.com/SVO2/ASP/SVD_Consensus.asp?pGB=1&amp;gicode=A044450&amp;cID=&amp;MenuYn=Y&amp;ReportGB=&amp;NewMenuID=108&amp;stkGb=701", "KSS해운")</f>
        <v>0</v>
      </c>
      <c r="C132">
        <v>3</v>
      </c>
      <c r="D132">
        <v>10250</v>
      </c>
      <c r="E132">
        <v>1.24</v>
      </c>
      <c r="F132">
        <v>14239</v>
      </c>
      <c r="G132">
        <v>13143</v>
      </c>
      <c r="H132">
        <v>12830</v>
      </c>
      <c r="I132">
        <v>-38.92</v>
      </c>
      <c r="J132">
        <v>-28.22</v>
      </c>
      <c r="K132">
        <v>-25.17</v>
      </c>
      <c r="L132">
        <v>9.15</v>
      </c>
      <c r="M132" t="b">
        <v>0</v>
      </c>
      <c r="N132">
        <v>2377</v>
      </c>
      <c r="O132">
        <v>113564</v>
      </c>
      <c r="P132" t="s">
        <v>130</v>
      </c>
      <c r="Q132">
        <v>30.26</v>
      </c>
      <c r="R132" t="s">
        <v>446</v>
      </c>
      <c r="S132" t="s">
        <v>762</v>
      </c>
      <c r="T132">
        <v>2312</v>
      </c>
      <c r="U132">
        <v>529</v>
      </c>
      <c r="V132">
        <v>1001</v>
      </c>
      <c r="W132">
        <v>726754</v>
      </c>
      <c r="X132">
        <v>3.49</v>
      </c>
    </row>
    <row r="133" spans="1:24">
      <c r="A133" s="2">
        <f>HYPERLINK("https://finance.naver.com/item/coinfo.nhn?code=024090", "A024090")</f>
        <v>0</v>
      </c>
      <c r="B133">
        <f>HYPERLINK("http://comp.fnguide.com/SVO2/ASP/SVD_Consensus.asp?pGB=1&amp;gicode=A024090&amp;cID=&amp;MenuYn=Y&amp;ReportGB=&amp;NewMenuID=108&amp;stkGb=701", "디씨엠")</f>
        <v>0</v>
      </c>
      <c r="C133">
        <v>3</v>
      </c>
      <c r="D133">
        <v>11850</v>
      </c>
      <c r="E133">
        <v>0.16</v>
      </c>
      <c r="F133">
        <v>23703</v>
      </c>
      <c r="G133">
        <v>20880</v>
      </c>
      <c r="H133">
        <v>20076</v>
      </c>
      <c r="I133">
        <v>-100.02</v>
      </c>
      <c r="J133">
        <v>-76.20999999999999</v>
      </c>
      <c r="K133">
        <v>-69.41</v>
      </c>
      <c r="L133">
        <v>9.949999999999999</v>
      </c>
      <c r="M133" t="b">
        <v>1</v>
      </c>
      <c r="N133">
        <v>1386</v>
      </c>
      <c r="O133">
        <v>9372</v>
      </c>
      <c r="P133" t="s">
        <v>131</v>
      </c>
      <c r="Q133">
        <v>44.57</v>
      </c>
      <c r="R133" t="s">
        <v>447</v>
      </c>
      <c r="S133" t="s">
        <v>763</v>
      </c>
      <c r="T133">
        <v>1453</v>
      </c>
      <c r="U133">
        <v>175</v>
      </c>
      <c r="V133">
        <v>2005</v>
      </c>
      <c r="W133">
        <v>2506909</v>
      </c>
      <c r="X133">
        <v>4.12</v>
      </c>
    </row>
    <row r="134" spans="1:24">
      <c r="A134" s="2">
        <f>HYPERLINK("https://finance.naver.com/item/coinfo.nhn?code=053210", "A053210")</f>
        <v>0</v>
      </c>
      <c r="B134">
        <f>HYPERLINK("http://comp.fnguide.com/SVO2/ASP/SVD_Consensus.asp?pGB=1&amp;gicode=A053210&amp;cID=&amp;MenuYn=Y&amp;ReportGB=&amp;NewMenuID=108&amp;stkGb=701", "스카이라이프")</f>
        <v>0</v>
      </c>
      <c r="C134">
        <v>3</v>
      </c>
      <c r="D134">
        <v>9030</v>
      </c>
      <c r="E134">
        <v>-4.67</v>
      </c>
      <c r="F134">
        <v>15647</v>
      </c>
      <c r="G134">
        <v>15077</v>
      </c>
      <c r="H134">
        <v>14915</v>
      </c>
      <c r="I134">
        <v>-73.28</v>
      </c>
      <c r="J134">
        <v>-66.97</v>
      </c>
      <c r="K134">
        <v>-65.17</v>
      </c>
      <c r="L134">
        <v>8.49</v>
      </c>
      <c r="M134" t="b">
        <v>1</v>
      </c>
      <c r="N134">
        <v>4318</v>
      </c>
      <c r="O134">
        <v>73248</v>
      </c>
      <c r="P134" t="s">
        <v>132</v>
      </c>
      <c r="Q134">
        <v>50</v>
      </c>
      <c r="R134" t="s">
        <v>448</v>
      </c>
      <c r="S134" t="s">
        <v>764</v>
      </c>
      <c r="T134">
        <v>6946</v>
      </c>
      <c r="U134">
        <v>694</v>
      </c>
      <c r="V134">
        <v>1141</v>
      </c>
      <c r="W134">
        <v>258613</v>
      </c>
      <c r="X134">
        <v>4.01</v>
      </c>
    </row>
    <row r="135" spans="1:24">
      <c r="A135" s="2">
        <f>HYPERLINK("https://finance.naver.com/item/coinfo.nhn?code=030720", "A030720")</f>
        <v>0</v>
      </c>
      <c r="B135">
        <f>HYPERLINK("http://comp.fnguide.com/SVO2/ASP/SVD_Consensus.asp?pGB=1&amp;gicode=A030720&amp;cID=&amp;MenuYn=Y&amp;ReportGB=&amp;NewMenuID=108&amp;stkGb=701", "동원수산")</f>
        <v>0</v>
      </c>
      <c r="C135">
        <v>3</v>
      </c>
      <c r="D135">
        <v>9230</v>
      </c>
      <c r="E135">
        <v>0.37</v>
      </c>
      <c r="F135">
        <v>13923</v>
      </c>
      <c r="G135">
        <v>12130</v>
      </c>
      <c r="H135">
        <v>11618</v>
      </c>
      <c r="I135">
        <v>-50.84</v>
      </c>
      <c r="J135">
        <v>-31.42</v>
      </c>
      <c r="K135">
        <v>-25.88</v>
      </c>
      <c r="L135">
        <v>10.16</v>
      </c>
      <c r="M135" t="b">
        <v>0</v>
      </c>
      <c r="N135">
        <v>430</v>
      </c>
      <c r="O135">
        <v>75937</v>
      </c>
      <c r="P135" t="s">
        <v>133</v>
      </c>
      <c r="Q135">
        <v>18.9</v>
      </c>
      <c r="R135" t="s">
        <v>449</v>
      </c>
      <c r="S135" t="s">
        <v>765</v>
      </c>
      <c r="T135">
        <v>1640</v>
      </c>
      <c r="U135">
        <v>151</v>
      </c>
      <c r="V135">
        <v>1305</v>
      </c>
    </row>
    <row r="136" spans="1:24">
      <c r="A136" s="2">
        <f>HYPERLINK("https://finance.naver.com/item/coinfo.nhn?code=042670", "A042670")</f>
        <v>0</v>
      </c>
      <c r="B136">
        <f>HYPERLINK("http://comp.fnguide.com/SVO2/ASP/SVD_Consensus.asp?pGB=1&amp;gicode=A042670&amp;cID=&amp;MenuYn=Y&amp;ReportGB=&amp;NewMenuID=108&amp;stkGb=701", "두산인프라코어")</f>
        <v>0</v>
      </c>
      <c r="C136">
        <v>3</v>
      </c>
      <c r="D136">
        <v>8200</v>
      </c>
      <c r="E136">
        <v>0.19</v>
      </c>
      <c r="F136">
        <v>15260</v>
      </c>
      <c r="G136">
        <v>12278</v>
      </c>
      <c r="H136">
        <v>11427</v>
      </c>
      <c r="I136">
        <v>-86.09999999999999</v>
      </c>
      <c r="J136">
        <v>-49.73</v>
      </c>
      <c r="K136">
        <v>-39.36</v>
      </c>
      <c r="L136">
        <v>11.83</v>
      </c>
      <c r="M136" t="b">
        <v>1</v>
      </c>
      <c r="N136">
        <v>17705</v>
      </c>
      <c r="O136">
        <v>1960073</v>
      </c>
      <c r="P136" t="s">
        <v>134</v>
      </c>
      <c r="Q136">
        <v>35</v>
      </c>
      <c r="R136" t="s">
        <v>450</v>
      </c>
      <c r="S136" t="s">
        <v>766</v>
      </c>
      <c r="T136">
        <v>81858</v>
      </c>
      <c r="U136">
        <v>8404</v>
      </c>
      <c r="V136">
        <v>1153</v>
      </c>
      <c r="W136">
        <v>505</v>
      </c>
    </row>
    <row r="137" spans="1:24">
      <c r="A137" s="2">
        <f>HYPERLINK("https://finance.naver.com/item/coinfo.nhn?code=004170", "A004170")</f>
        <v>0</v>
      </c>
      <c r="B137">
        <f>HYPERLINK("http://comp.fnguide.com/SVO2/ASP/SVD_Consensus.asp?pGB=1&amp;gicode=A004170&amp;cID=&amp;MenuYn=Y&amp;ReportGB=&amp;NewMenuID=108&amp;stkGb=701", "신세계")</f>
        <v>0</v>
      </c>
      <c r="C137">
        <v>3</v>
      </c>
      <c r="D137">
        <v>235000</v>
      </c>
      <c r="E137">
        <v>0.78</v>
      </c>
      <c r="F137">
        <v>517567</v>
      </c>
      <c r="G137">
        <v>446469</v>
      </c>
      <c r="H137">
        <v>426192</v>
      </c>
      <c r="I137">
        <v>-120.24</v>
      </c>
      <c r="J137">
        <v>-89.98999999999999</v>
      </c>
      <c r="K137">
        <v>-81.36</v>
      </c>
      <c r="L137">
        <v>10.35</v>
      </c>
      <c r="M137" t="b">
        <v>1</v>
      </c>
      <c r="N137">
        <v>23136</v>
      </c>
      <c r="O137">
        <v>126722</v>
      </c>
      <c r="P137" t="s">
        <v>135</v>
      </c>
      <c r="Q137">
        <v>28.57</v>
      </c>
      <c r="R137" t="s">
        <v>451</v>
      </c>
      <c r="S137" t="s">
        <v>767</v>
      </c>
      <c r="T137">
        <v>63942</v>
      </c>
      <c r="U137">
        <v>4678</v>
      </c>
      <c r="V137">
        <v>53472</v>
      </c>
      <c r="W137">
        <v>8774</v>
      </c>
      <c r="X137">
        <v>0.6899999999999999</v>
      </c>
    </row>
    <row r="138" spans="1:24">
      <c r="A138" s="2">
        <f>HYPERLINK("https://finance.naver.com/item/coinfo.nhn?code=009160", "A009160")</f>
        <v>0</v>
      </c>
      <c r="B138">
        <f>HYPERLINK("http://comp.fnguide.com/SVO2/ASP/SVD_Consensus.asp?pGB=1&amp;gicode=A009160&amp;cID=&amp;MenuYn=Y&amp;ReportGB=&amp;NewMenuID=108&amp;stkGb=701", "SIMPAC")</f>
        <v>0</v>
      </c>
      <c r="C138">
        <v>3</v>
      </c>
      <c r="D138">
        <v>2455</v>
      </c>
      <c r="E138">
        <v>-0.62</v>
      </c>
      <c r="F138">
        <v>8468</v>
      </c>
      <c r="G138">
        <v>7992</v>
      </c>
      <c r="H138">
        <v>7856</v>
      </c>
      <c r="I138">
        <v>-244.94</v>
      </c>
      <c r="J138">
        <v>-225.53</v>
      </c>
      <c r="K138">
        <v>-220</v>
      </c>
      <c r="L138">
        <v>8.800000000000001</v>
      </c>
      <c r="M138" t="b">
        <v>1</v>
      </c>
      <c r="N138">
        <v>1606</v>
      </c>
      <c r="O138">
        <v>27228</v>
      </c>
      <c r="P138" t="s">
        <v>136</v>
      </c>
      <c r="Q138">
        <v>60.01</v>
      </c>
      <c r="R138" t="s">
        <v>452</v>
      </c>
      <c r="S138" t="s">
        <v>768</v>
      </c>
      <c r="T138">
        <v>4301</v>
      </c>
      <c r="U138">
        <v>111</v>
      </c>
      <c r="V138">
        <v>145</v>
      </c>
      <c r="W138">
        <v>7943224</v>
      </c>
      <c r="X138">
        <v>2.04</v>
      </c>
    </row>
    <row r="139" spans="1:24">
      <c r="A139" s="2">
        <f>HYPERLINK("https://finance.naver.com/item/coinfo.nhn?code=030610", "A030610")</f>
        <v>0</v>
      </c>
      <c r="B139">
        <f>HYPERLINK("http://comp.fnguide.com/SVO2/ASP/SVD_Consensus.asp?pGB=1&amp;gicode=A030610&amp;cID=&amp;MenuYn=Y&amp;ReportGB=&amp;NewMenuID=108&amp;stkGb=701", "교보증권")</f>
        <v>0</v>
      </c>
      <c r="C139">
        <v>3</v>
      </c>
      <c r="D139">
        <v>7980</v>
      </c>
      <c r="E139">
        <v>0.45</v>
      </c>
      <c r="F139">
        <v>17300</v>
      </c>
      <c r="G139">
        <v>15990</v>
      </c>
      <c r="H139">
        <v>15616</v>
      </c>
      <c r="I139">
        <v>-116.79</v>
      </c>
      <c r="J139">
        <v>-100.37</v>
      </c>
      <c r="K139">
        <v>-95.69</v>
      </c>
      <c r="L139">
        <v>9.130000000000001</v>
      </c>
      <c r="M139" t="b">
        <v>1</v>
      </c>
      <c r="N139">
        <v>5159</v>
      </c>
      <c r="O139">
        <v>123173</v>
      </c>
      <c r="P139" t="s">
        <v>137</v>
      </c>
      <c r="Q139">
        <v>73.16</v>
      </c>
      <c r="R139" t="s">
        <v>453</v>
      </c>
      <c r="S139" t="s">
        <v>769</v>
      </c>
      <c r="T139">
        <v>3064</v>
      </c>
      <c r="U139">
        <v>1104</v>
      </c>
      <c r="V139">
        <v>2319</v>
      </c>
      <c r="W139">
        <v>1093598</v>
      </c>
      <c r="X139">
        <v>4.34</v>
      </c>
    </row>
    <row r="140" spans="1:24">
      <c r="A140" s="2">
        <f>HYPERLINK("https://finance.naver.com/item/coinfo.nhn?code=010130", "A010130")</f>
        <v>0</v>
      </c>
      <c r="B140">
        <f>HYPERLINK("http://comp.fnguide.com/SVO2/ASP/SVD_Consensus.asp?pGB=1&amp;gicode=A010130&amp;cID=&amp;MenuYn=Y&amp;ReportGB=&amp;NewMenuID=108&amp;stkGb=701", "고려아연")</f>
        <v>0</v>
      </c>
      <c r="C140">
        <v>3</v>
      </c>
      <c r="D140">
        <v>392500</v>
      </c>
      <c r="E140">
        <v>10.91</v>
      </c>
      <c r="F140">
        <v>456453</v>
      </c>
      <c r="G140">
        <v>410511</v>
      </c>
      <c r="H140">
        <v>397408</v>
      </c>
      <c r="I140">
        <v>-16.29</v>
      </c>
      <c r="J140">
        <v>-4.59</v>
      </c>
      <c r="K140">
        <v>-1.25</v>
      </c>
      <c r="L140">
        <v>9.59</v>
      </c>
      <c r="M140" t="b">
        <v>1</v>
      </c>
      <c r="N140">
        <v>74065</v>
      </c>
      <c r="O140">
        <v>49462</v>
      </c>
      <c r="P140" t="s">
        <v>138</v>
      </c>
      <c r="Q140">
        <v>48.37</v>
      </c>
      <c r="R140" t="s">
        <v>454</v>
      </c>
      <c r="S140" t="s">
        <v>770</v>
      </c>
      <c r="T140">
        <v>66948</v>
      </c>
      <c r="U140">
        <v>8053</v>
      </c>
      <c r="V140">
        <v>33541</v>
      </c>
      <c r="W140">
        <v>1195760</v>
      </c>
      <c r="X140">
        <v>3.29</v>
      </c>
    </row>
    <row r="141" spans="1:24">
      <c r="A141" s="2">
        <f>HYPERLINK("https://finance.naver.com/item/coinfo.nhn?code=007340", "A007340")</f>
        <v>0</v>
      </c>
      <c r="B141">
        <f>HYPERLINK("http://comp.fnguide.com/SVO2/ASP/SVD_Consensus.asp?pGB=1&amp;gicode=A007340&amp;cID=&amp;MenuYn=Y&amp;ReportGB=&amp;NewMenuID=108&amp;stkGb=701", "디티알오토모티브")</f>
        <v>0</v>
      </c>
      <c r="C141">
        <v>3</v>
      </c>
      <c r="D141">
        <v>24350</v>
      </c>
      <c r="E141">
        <v>0.48</v>
      </c>
      <c r="F141">
        <v>93064</v>
      </c>
      <c r="G141">
        <v>79124</v>
      </c>
      <c r="H141">
        <v>75149</v>
      </c>
      <c r="I141">
        <v>-282.19</v>
      </c>
      <c r="J141">
        <v>-224.95</v>
      </c>
      <c r="K141">
        <v>-208.62</v>
      </c>
      <c r="L141">
        <v>10.63</v>
      </c>
      <c r="M141" t="b">
        <v>1</v>
      </c>
      <c r="N141">
        <v>2434</v>
      </c>
      <c r="O141">
        <v>30067</v>
      </c>
      <c r="P141" t="s">
        <v>139</v>
      </c>
      <c r="Q141">
        <v>51.25</v>
      </c>
      <c r="R141" t="s">
        <v>455</v>
      </c>
      <c r="S141" t="s">
        <v>771</v>
      </c>
      <c r="T141">
        <v>9298</v>
      </c>
      <c r="U141">
        <v>802</v>
      </c>
      <c r="V141">
        <v>6584</v>
      </c>
      <c r="W141">
        <v>1375880</v>
      </c>
      <c r="X141">
        <v>5.11</v>
      </c>
    </row>
    <row r="142" spans="1:24">
      <c r="A142" s="2">
        <f>HYPERLINK("https://finance.naver.com/item/coinfo.nhn?code=086790", "A086790")</f>
        <v>0</v>
      </c>
      <c r="B142">
        <f>HYPERLINK("http://comp.fnguide.com/SVO2/ASP/SVD_Consensus.asp?pGB=1&amp;gicode=A086790&amp;cID=&amp;MenuYn=Y&amp;ReportGB=&amp;NewMenuID=108&amp;stkGb=701", "하나금융지주")</f>
        <v>0</v>
      </c>
      <c r="C142">
        <v>3</v>
      </c>
      <c r="D142">
        <v>35450</v>
      </c>
      <c r="E142">
        <v>2.25</v>
      </c>
      <c r="F142">
        <v>106494</v>
      </c>
      <c r="G142">
        <v>100469</v>
      </c>
      <c r="H142">
        <v>98750</v>
      </c>
      <c r="I142">
        <v>-200.41</v>
      </c>
      <c r="J142">
        <v>-183.41</v>
      </c>
      <c r="K142">
        <v>-178.56</v>
      </c>
      <c r="L142">
        <v>8.81</v>
      </c>
      <c r="M142" t="b">
        <v>1</v>
      </c>
      <c r="N142">
        <v>106436</v>
      </c>
      <c r="O142">
        <v>1630665</v>
      </c>
      <c r="P142" t="s">
        <v>140</v>
      </c>
      <c r="Q142">
        <v>9.94</v>
      </c>
      <c r="R142" t="s">
        <v>456</v>
      </c>
      <c r="S142" t="s">
        <v>772</v>
      </c>
      <c r="T142">
        <v>111182</v>
      </c>
      <c r="U142">
        <v>32587</v>
      </c>
      <c r="V142">
        <v>7966</v>
      </c>
      <c r="W142">
        <v>8678586</v>
      </c>
      <c r="X142">
        <v>5.69</v>
      </c>
    </row>
    <row r="143" spans="1:24">
      <c r="A143" s="2">
        <f>HYPERLINK("https://finance.naver.com/item/coinfo.nhn?code=004000", "A004000")</f>
        <v>0</v>
      </c>
      <c r="B143">
        <f>HYPERLINK("http://comp.fnguide.com/SVO2/ASP/SVD_Consensus.asp?pGB=1&amp;gicode=A004000&amp;cID=&amp;MenuYn=Y&amp;ReportGB=&amp;NewMenuID=108&amp;stkGb=701", "롯데정밀화학")</f>
        <v>0</v>
      </c>
      <c r="C143">
        <v>3</v>
      </c>
      <c r="D143">
        <v>57900</v>
      </c>
      <c r="E143">
        <v>0.28</v>
      </c>
      <c r="F143">
        <v>93504</v>
      </c>
      <c r="G143">
        <v>72555</v>
      </c>
      <c r="H143">
        <v>66581</v>
      </c>
      <c r="I143">
        <v>-61.49</v>
      </c>
      <c r="J143">
        <v>-25.31</v>
      </c>
      <c r="K143">
        <v>-14.99</v>
      </c>
      <c r="L143">
        <v>12.73</v>
      </c>
      <c r="M143" t="b">
        <v>1</v>
      </c>
      <c r="N143">
        <v>14938</v>
      </c>
      <c r="O143">
        <v>233458</v>
      </c>
      <c r="P143" t="s">
        <v>141</v>
      </c>
      <c r="Q143">
        <v>31.13</v>
      </c>
      <c r="R143" t="s">
        <v>457</v>
      </c>
      <c r="S143" t="s">
        <v>773</v>
      </c>
      <c r="T143">
        <v>13113</v>
      </c>
      <c r="U143">
        <v>1897</v>
      </c>
      <c r="V143">
        <v>6526</v>
      </c>
      <c r="W143">
        <v>330000</v>
      </c>
      <c r="X143">
        <v>3.77</v>
      </c>
    </row>
    <row r="144" spans="1:24">
      <c r="A144" s="2">
        <f>HYPERLINK("https://finance.naver.com/item/coinfo.nhn?code=011170", "A011170")</f>
        <v>0</v>
      </c>
      <c r="B144">
        <f>HYPERLINK("http://comp.fnguide.com/SVO2/ASP/SVD_Consensus.asp?pGB=1&amp;gicode=A011170&amp;cID=&amp;MenuYn=Y&amp;ReportGB=&amp;NewMenuID=108&amp;stkGb=701", "롯데케미칼")</f>
        <v>0</v>
      </c>
      <c r="C144">
        <v>3</v>
      </c>
      <c r="D144">
        <v>287500</v>
      </c>
      <c r="E144">
        <v>-0.28</v>
      </c>
      <c r="F144">
        <v>515992</v>
      </c>
      <c r="G144">
        <v>437471</v>
      </c>
      <c r="H144">
        <v>415076</v>
      </c>
      <c r="I144">
        <v>-79.48</v>
      </c>
      <c r="J144">
        <v>-52.16</v>
      </c>
      <c r="K144">
        <v>-44.37</v>
      </c>
      <c r="L144">
        <v>10.69</v>
      </c>
      <c r="M144" t="b">
        <v>1</v>
      </c>
      <c r="N144">
        <v>98542</v>
      </c>
      <c r="O144">
        <v>189814</v>
      </c>
      <c r="P144" t="s">
        <v>142</v>
      </c>
      <c r="Q144">
        <v>54.92</v>
      </c>
      <c r="R144" t="s">
        <v>458</v>
      </c>
      <c r="S144" t="s">
        <v>774</v>
      </c>
      <c r="T144">
        <v>151235</v>
      </c>
      <c r="U144">
        <v>11073</v>
      </c>
      <c r="V144">
        <v>20860</v>
      </c>
      <c r="X144">
        <v>2.99</v>
      </c>
    </row>
    <row r="145" spans="1:24">
      <c r="A145" s="2">
        <f>HYPERLINK("https://finance.naver.com/item/coinfo.nhn?code=013580", "A013580")</f>
        <v>0</v>
      </c>
      <c r="B145">
        <f>HYPERLINK("http://comp.fnguide.com/SVO2/ASP/SVD_Consensus.asp?pGB=1&amp;gicode=A013580&amp;cID=&amp;MenuYn=Y&amp;ReportGB=&amp;NewMenuID=108&amp;stkGb=701", "계룡건설")</f>
        <v>0</v>
      </c>
      <c r="C145">
        <v>3</v>
      </c>
      <c r="D145">
        <v>25000</v>
      </c>
      <c r="E145">
        <v>0.06</v>
      </c>
      <c r="F145">
        <v>124481</v>
      </c>
      <c r="G145">
        <v>80464</v>
      </c>
      <c r="H145">
        <v>67910</v>
      </c>
      <c r="I145">
        <v>-397.92</v>
      </c>
      <c r="J145">
        <v>-221.85</v>
      </c>
      <c r="K145">
        <v>-171.64</v>
      </c>
      <c r="L145">
        <v>19.41</v>
      </c>
      <c r="M145" t="b">
        <v>1</v>
      </c>
      <c r="N145">
        <v>2233</v>
      </c>
      <c r="O145">
        <v>113710</v>
      </c>
      <c r="P145" t="s">
        <v>143</v>
      </c>
      <c r="Q145">
        <v>41.68</v>
      </c>
      <c r="R145" t="s">
        <v>459</v>
      </c>
      <c r="S145" t="s">
        <v>775</v>
      </c>
      <c r="T145">
        <v>22757</v>
      </c>
      <c r="U145">
        <v>1359</v>
      </c>
      <c r="V145">
        <v>8013</v>
      </c>
      <c r="W145">
        <v>73110</v>
      </c>
      <c r="X145">
        <v>2.96</v>
      </c>
    </row>
    <row r="146" spans="1:24">
      <c r="A146" s="2">
        <f>HYPERLINK("https://finance.naver.com/item/coinfo.nhn?code=138040", "A138040")</f>
        <v>0</v>
      </c>
      <c r="B146">
        <f>HYPERLINK("http://comp.fnguide.com/SVO2/ASP/SVD_Consensus.asp?pGB=1&amp;gicode=A138040&amp;cID=&amp;MenuYn=Y&amp;ReportGB=&amp;NewMenuID=108&amp;stkGb=701", "메리츠금융지주")</f>
        <v>0</v>
      </c>
      <c r="C146">
        <v>3</v>
      </c>
      <c r="D146">
        <v>10050</v>
      </c>
      <c r="E146">
        <v>0.91</v>
      </c>
      <c r="F146">
        <v>40524</v>
      </c>
      <c r="G146">
        <v>28727</v>
      </c>
      <c r="H146">
        <v>25363</v>
      </c>
      <c r="I146">
        <v>-303.22</v>
      </c>
      <c r="J146">
        <v>-185.84</v>
      </c>
      <c r="K146">
        <v>-152.37</v>
      </c>
      <c r="L146">
        <v>15.49</v>
      </c>
      <c r="M146" t="b">
        <v>1</v>
      </c>
      <c r="N146">
        <v>13468</v>
      </c>
      <c r="O146">
        <v>230092</v>
      </c>
      <c r="P146" t="s">
        <v>144</v>
      </c>
      <c r="Q146">
        <v>72.25</v>
      </c>
      <c r="R146" t="s">
        <v>460</v>
      </c>
      <c r="S146" t="s">
        <v>776</v>
      </c>
      <c r="T146">
        <v>18316</v>
      </c>
      <c r="U146">
        <v>9623</v>
      </c>
      <c r="V146">
        <v>2841</v>
      </c>
      <c r="W146">
        <v>2385670</v>
      </c>
      <c r="X146">
        <v>4.66</v>
      </c>
    </row>
    <row r="147" spans="1:24">
      <c r="A147" s="2">
        <f>HYPERLINK("https://finance.naver.com/item/coinfo.nhn?code=008560", "A008560")</f>
        <v>0</v>
      </c>
      <c r="B147">
        <f>HYPERLINK("http://comp.fnguide.com/SVO2/ASP/SVD_Consensus.asp?pGB=1&amp;gicode=A008560&amp;cID=&amp;MenuYn=Y&amp;ReportGB=&amp;NewMenuID=108&amp;stkGb=701", "메리츠증권")</f>
        <v>0</v>
      </c>
      <c r="C147">
        <v>3</v>
      </c>
      <c r="D147">
        <v>3745</v>
      </c>
      <c r="E147">
        <v>0.35</v>
      </c>
      <c r="F147">
        <v>10992</v>
      </c>
      <c r="G147">
        <v>8110</v>
      </c>
      <c r="H147">
        <v>7288</v>
      </c>
      <c r="I147">
        <v>-193.5</v>
      </c>
      <c r="J147">
        <v>-116.56</v>
      </c>
      <c r="K147">
        <v>-94.62</v>
      </c>
      <c r="L147">
        <v>14.16</v>
      </c>
      <c r="M147" t="b">
        <v>1</v>
      </c>
      <c r="N147">
        <v>25315</v>
      </c>
      <c r="O147">
        <v>1998432</v>
      </c>
      <c r="P147" t="s">
        <v>145</v>
      </c>
      <c r="Q147">
        <v>49.59</v>
      </c>
      <c r="R147" t="s">
        <v>461</v>
      </c>
      <c r="S147" t="s">
        <v>777</v>
      </c>
      <c r="T147">
        <v>11587</v>
      </c>
      <c r="U147">
        <v>6799</v>
      </c>
      <c r="V147">
        <v>789</v>
      </c>
      <c r="W147">
        <v>43138182</v>
      </c>
      <c r="X147">
        <v>5.28</v>
      </c>
    </row>
    <row r="148" spans="1:24">
      <c r="A148" s="2">
        <f>HYPERLINK("https://finance.naver.com/item/coinfo.nhn?code=000060", "A000060")</f>
        <v>0</v>
      </c>
      <c r="B148">
        <f>HYPERLINK("http://comp.fnguide.com/SVO2/ASP/SVD_Consensus.asp?pGB=1&amp;gicode=A000060&amp;cID=&amp;MenuYn=Y&amp;ReportGB=&amp;NewMenuID=108&amp;stkGb=701", "메리츠화재")</f>
        <v>0</v>
      </c>
      <c r="C148">
        <v>3</v>
      </c>
      <c r="D148">
        <v>15050</v>
      </c>
      <c r="E148">
        <v>0.43</v>
      </c>
      <c r="F148">
        <v>36122</v>
      </c>
      <c r="G148">
        <v>26806</v>
      </c>
      <c r="H148">
        <v>24149</v>
      </c>
      <c r="I148">
        <v>-140.02</v>
      </c>
      <c r="J148">
        <v>-78.11</v>
      </c>
      <c r="K148">
        <v>-60.46</v>
      </c>
      <c r="L148">
        <v>13.99</v>
      </c>
      <c r="M148" t="b">
        <v>1</v>
      </c>
      <c r="N148">
        <v>18154</v>
      </c>
      <c r="O148">
        <v>387582</v>
      </c>
      <c r="P148" t="s">
        <v>146</v>
      </c>
      <c r="Q148">
        <v>56.32</v>
      </c>
      <c r="R148" t="s">
        <v>462</v>
      </c>
      <c r="S148" t="s">
        <v>778</v>
      </c>
      <c r="T148">
        <v>80830</v>
      </c>
      <c r="U148">
        <v>3528</v>
      </c>
      <c r="V148">
        <v>2643</v>
      </c>
      <c r="W148">
        <v>2600822</v>
      </c>
      <c r="X148">
        <v>4.76</v>
      </c>
    </row>
    <row r="149" spans="1:24">
      <c r="A149" s="2">
        <f>HYPERLINK("https://finance.naver.com/item/coinfo.nhn?code=007120", "A007120")</f>
        <v>0</v>
      </c>
      <c r="B149">
        <f>HYPERLINK("http://comp.fnguide.com/SVO2/ASP/SVD_Consensus.asp?pGB=1&amp;gicode=A007120&amp;cID=&amp;MenuYn=Y&amp;ReportGB=&amp;NewMenuID=108&amp;stkGb=701", "미래아이앤지")</f>
        <v>0</v>
      </c>
      <c r="C149">
        <v>3</v>
      </c>
      <c r="D149">
        <v>348</v>
      </c>
      <c r="E149">
        <v>0</v>
      </c>
      <c r="F149">
        <v>762</v>
      </c>
      <c r="G149">
        <v>629</v>
      </c>
      <c r="H149">
        <v>591</v>
      </c>
      <c r="I149">
        <v>-118.89</v>
      </c>
      <c r="J149">
        <v>-80.64</v>
      </c>
      <c r="K149">
        <v>-69.73</v>
      </c>
      <c r="L149">
        <v>11.26</v>
      </c>
      <c r="M149" t="b">
        <v>1</v>
      </c>
      <c r="N149">
        <v>451</v>
      </c>
      <c r="O149">
        <v>625059</v>
      </c>
      <c r="P149" t="s">
        <v>147</v>
      </c>
      <c r="Q149">
        <v>24.76</v>
      </c>
      <c r="R149" t="s">
        <v>463</v>
      </c>
      <c r="S149" t="s">
        <v>779</v>
      </c>
      <c r="T149">
        <v>75</v>
      </c>
      <c r="U149">
        <v>1</v>
      </c>
      <c r="V149">
        <v>108</v>
      </c>
      <c r="W149">
        <v>799813</v>
      </c>
    </row>
    <row r="150" spans="1:24">
      <c r="A150" s="2">
        <f>HYPERLINK("https://finance.naver.com/item/coinfo.nhn?code=077970", "A077970")</f>
        <v>0</v>
      </c>
      <c r="B150">
        <f>HYPERLINK("http://comp.fnguide.com/SVO2/ASP/SVD_Consensus.asp?pGB=1&amp;gicode=A077970&amp;cID=&amp;MenuYn=Y&amp;ReportGB=&amp;NewMenuID=108&amp;stkGb=701", "STX엔진")</f>
        <v>0</v>
      </c>
      <c r="C150">
        <v>3</v>
      </c>
      <c r="D150">
        <v>7140</v>
      </c>
      <c r="E150">
        <v>-0.34</v>
      </c>
      <c r="F150">
        <v>13262</v>
      </c>
      <c r="G150">
        <v>11499</v>
      </c>
      <c r="H150">
        <v>10996</v>
      </c>
      <c r="I150">
        <v>-85.73999999999999</v>
      </c>
      <c r="J150">
        <v>-61.05</v>
      </c>
      <c r="K150">
        <v>-54.01</v>
      </c>
      <c r="L150">
        <v>10.25</v>
      </c>
      <c r="M150" t="b">
        <v>1</v>
      </c>
      <c r="N150">
        <v>1643</v>
      </c>
      <c r="O150">
        <v>62853</v>
      </c>
      <c r="P150" t="s">
        <v>148</v>
      </c>
      <c r="Q150">
        <v>84.42</v>
      </c>
      <c r="R150" t="s">
        <v>464</v>
      </c>
      <c r="S150" t="s">
        <v>780</v>
      </c>
      <c r="T150">
        <v>6106</v>
      </c>
      <c r="U150">
        <v>300</v>
      </c>
      <c r="V150">
        <v>737</v>
      </c>
      <c r="W150">
        <v>9297</v>
      </c>
    </row>
    <row r="151" spans="1:24">
      <c r="A151" s="2">
        <f>HYPERLINK("https://finance.naver.com/item/coinfo.nhn?code=016740", "A016740")</f>
        <v>0</v>
      </c>
      <c r="B151">
        <f>HYPERLINK("http://comp.fnguide.com/SVO2/ASP/SVD_Consensus.asp?pGB=1&amp;gicode=A016740&amp;cID=&amp;MenuYn=Y&amp;ReportGB=&amp;NewMenuID=108&amp;stkGb=701", "두올")</f>
        <v>0</v>
      </c>
      <c r="C151">
        <v>3</v>
      </c>
      <c r="D151">
        <v>3440</v>
      </c>
      <c r="E151">
        <v>-0.29</v>
      </c>
      <c r="F151">
        <v>6804</v>
      </c>
      <c r="G151">
        <v>6636</v>
      </c>
      <c r="H151">
        <v>6588</v>
      </c>
      <c r="I151">
        <v>-97.78</v>
      </c>
      <c r="J151">
        <v>-92.91</v>
      </c>
      <c r="K151">
        <v>-91.52</v>
      </c>
      <c r="L151">
        <v>8.32</v>
      </c>
      <c r="M151" t="b">
        <v>1</v>
      </c>
      <c r="N151">
        <v>931</v>
      </c>
      <c r="O151">
        <v>224179</v>
      </c>
      <c r="P151" t="s">
        <v>149</v>
      </c>
      <c r="Q151">
        <v>49.34</v>
      </c>
      <c r="R151" t="s">
        <v>465</v>
      </c>
      <c r="S151" t="s">
        <v>781</v>
      </c>
      <c r="T151">
        <v>4659</v>
      </c>
      <c r="U151">
        <v>276</v>
      </c>
      <c r="V151">
        <v>366</v>
      </c>
      <c r="W151">
        <v>596916</v>
      </c>
      <c r="X151">
        <v>2.55</v>
      </c>
    </row>
    <row r="152" spans="1:24">
      <c r="A152" s="2">
        <f>HYPERLINK("https://finance.naver.com/item/coinfo.nhn?code=007690", "A007690")</f>
        <v>0</v>
      </c>
      <c r="B152">
        <f>HYPERLINK("http://comp.fnguide.com/SVO2/ASP/SVD_Consensus.asp?pGB=1&amp;gicode=A007690&amp;cID=&amp;MenuYn=Y&amp;ReportGB=&amp;NewMenuID=108&amp;stkGb=701", "국도화학")</f>
        <v>0</v>
      </c>
      <c r="C152">
        <v>3</v>
      </c>
      <c r="D152">
        <v>55200</v>
      </c>
      <c r="E152">
        <v>-0.71</v>
      </c>
      <c r="F152">
        <v>96775</v>
      </c>
      <c r="G152">
        <v>95620</v>
      </c>
      <c r="H152">
        <v>95291</v>
      </c>
      <c r="I152">
        <v>-75.31999999999999</v>
      </c>
      <c r="J152">
        <v>-73.23</v>
      </c>
      <c r="K152">
        <v>-72.63</v>
      </c>
      <c r="L152">
        <v>8.140000000000001</v>
      </c>
      <c r="M152" t="b">
        <v>1</v>
      </c>
      <c r="N152">
        <v>3207</v>
      </c>
      <c r="O152">
        <v>168284</v>
      </c>
      <c r="P152" t="s">
        <v>150</v>
      </c>
      <c r="Q152">
        <v>24.58</v>
      </c>
      <c r="R152" t="s">
        <v>466</v>
      </c>
      <c r="S152" t="s">
        <v>782</v>
      </c>
      <c r="T152">
        <v>11214</v>
      </c>
      <c r="U152">
        <v>421</v>
      </c>
      <c r="V152">
        <v>5958</v>
      </c>
      <c r="W152">
        <v>364289</v>
      </c>
      <c r="X152">
        <v>3.19</v>
      </c>
    </row>
    <row r="153" spans="1:24">
      <c r="A153" s="2">
        <f>HYPERLINK("https://finance.naver.com/item/coinfo.nhn?code=001340", "A001340")</f>
        <v>0</v>
      </c>
      <c r="B153">
        <f>HYPERLINK("http://comp.fnguide.com/SVO2/ASP/SVD_Consensus.asp?pGB=1&amp;gicode=A001340&amp;cID=&amp;MenuYn=Y&amp;ReportGB=&amp;NewMenuID=108&amp;stkGb=701", "백광산업")</f>
        <v>0</v>
      </c>
      <c r="C153">
        <v>3</v>
      </c>
      <c r="D153">
        <v>3520</v>
      </c>
      <c r="E153">
        <v>0.18</v>
      </c>
      <c r="F153">
        <v>5257</v>
      </c>
      <c r="G153">
        <v>4376</v>
      </c>
      <c r="H153">
        <v>4124</v>
      </c>
      <c r="I153">
        <v>-49.34</v>
      </c>
      <c r="J153">
        <v>-24.31</v>
      </c>
      <c r="K153">
        <v>-17.17</v>
      </c>
      <c r="L153">
        <v>11.07</v>
      </c>
      <c r="M153" t="b">
        <v>1</v>
      </c>
      <c r="N153">
        <v>1581</v>
      </c>
      <c r="O153">
        <v>1251799</v>
      </c>
      <c r="P153" t="s">
        <v>151</v>
      </c>
      <c r="Q153">
        <v>43.98</v>
      </c>
      <c r="R153" t="s">
        <v>467</v>
      </c>
      <c r="S153" t="s">
        <v>783</v>
      </c>
      <c r="T153">
        <v>1684</v>
      </c>
      <c r="U153">
        <v>212</v>
      </c>
      <c r="V153">
        <v>357</v>
      </c>
      <c r="W153">
        <v>769300</v>
      </c>
      <c r="X153">
        <v>3.05</v>
      </c>
    </row>
    <row r="154" spans="1:24">
      <c r="A154" s="2">
        <f>HYPERLINK("https://finance.naver.com/item/coinfo.nhn?code=017670", "A017670")</f>
        <v>0</v>
      </c>
      <c r="B154">
        <f>HYPERLINK("http://comp.fnguide.com/SVO2/ASP/SVD_Consensus.asp?pGB=1&amp;gicode=A017670&amp;cID=&amp;MenuYn=Y&amp;ReportGB=&amp;NewMenuID=108&amp;stkGb=701", "SK텔레콤")</f>
        <v>0</v>
      </c>
      <c r="C154">
        <v>3</v>
      </c>
      <c r="D154">
        <v>239000</v>
      </c>
      <c r="E154">
        <v>-3.35</v>
      </c>
      <c r="F154">
        <v>389669</v>
      </c>
      <c r="G154">
        <v>348239</v>
      </c>
      <c r="H154">
        <v>336423</v>
      </c>
      <c r="I154">
        <v>-63.04</v>
      </c>
      <c r="J154">
        <v>-45.71</v>
      </c>
      <c r="K154">
        <v>-40.76</v>
      </c>
      <c r="L154">
        <v>9.699999999999999</v>
      </c>
      <c r="M154" t="b">
        <v>0</v>
      </c>
      <c r="N154">
        <v>192982</v>
      </c>
      <c r="O154">
        <v>392434</v>
      </c>
      <c r="P154" t="s">
        <v>152</v>
      </c>
      <c r="Q154">
        <v>26.78</v>
      </c>
      <c r="R154" t="s">
        <v>468</v>
      </c>
      <c r="S154" t="s">
        <v>784</v>
      </c>
      <c r="T154">
        <v>177437</v>
      </c>
      <c r="U154">
        <v>11100</v>
      </c>
      <c r="V154">
        <v>11021</v>
      </c>
      <c r="W154">
        <v>9158558</v>
      </c>
      <c r="X154">
        <v>4.2</v>
      </c>
    </row>
    <row r="155" spans="1:24">
      <c r="A155" s="2">
        <f>HYPERLINK("https://finance.naver.com/item/coinfo.nhn?code=003960", "A003960")</f>
        <v>0</v>
      </c>
      <c r="B155">
        <f>HYPERLINK("http://comp.fnguide.com/SVO2/ASP/SVD_Consensus.asp?pGB=1&amp;gicode=A003960&amp;cID=&amp;MenuYn=Y&amp;ReportGB=&amp;NewMenuID=108&amp;stkGb=701", "사조대림")</f>
        <v>0</v>
      </c>
      <c r="C155">
        <v>3</v>
      </c>
      <c r="D155">
        <v>16200</v>
      </c>
      <c r="E155">
        <v>0.23</v>
      </c>
      <c r="F155">
        <v>104106</v>
      </c>
      <c r="G155">
        <v>67534</v>
      </c>
      <c r="H155">
        <v>57104</v>
      </c>
      <c r="I155">
        <v>-542.63</v>
      </c>
      <c r="J155">
        <v>-316.88</v>
      </c>
      <c r="K155">
        <v>-252.49</v>
      </c>
      <c r="L155">
        <v>19.23</v>
      </c>
      <c r="M155" t="b">
        <v>1</v>
      </c>
      <c r="N155">
        <v>1485</v>
      </c>
      <c r="O155">
        <v>37511</v>
      </c>
      <c r="P155" t="s">
        <v>153</v>
      </c>
      <c r="Q155">
        <v>47.43</v>
      </c>
      <c r="R155" t="s">
        <v>469</v>
      </c>
      <c r="S155" t="s">
        <v>785</v>
      </c>
      <c r="T155">
        <v>13297</v>
      </c>
      <c r="U155">
        <v>496</v>
      </c>
      <c r="V155">
        <v>10553</v>
      </c>
      <c r="W155">
        <v>1814170</v>
      </c>
      <c r="X155">
        <v>0.9399999999999999</v>
      </c>
    </row>
    <row r="156" spans="1:24">
      <c r="A156" s="2">
        <f>HYPERLINK("https://finance.naver.com/item/coinfo.nhn?code=006120", "A006120")</f>
        <v>0</v>
      </c>
      <c r="B156">
        <f>HYPERLINK("http://comp.fnguide.com/SVO2/ASP/SVD_Consensus.asp?pGB=1&amp;gicode=A006120&amp;cID=&amp;MenuYn=Y&amp;ReportGB=&amp;NewMenuID=108&amp;stkGb=701", "SK디스커버리")</f>
        <v>0</v>
      </c>
      <c r="C156">
        <v>3</v>
      </c>
      <c r="D156">
        <v>66700</v>
      </c>
      <c r="E156">
        <v>0.06</v>
      </c>
      <c r="F156">
        <v>183241</v>
      </c>
      <c r="G156">
        <v>126310</v>
      </c>
      <c r="H156">
        <v>110073</v>
      </c>
      <c r="I156">
        <v>-174.72</v>
      </c>
      <c r="J156">
        <v>-89.37</v>
      </c>
      <c r="K156">
        <v>-65.03</v>
      </c>
      <c r="L156">
        <v>16.53</v>
      </c>
      <c r="M156" t="b">
        <v>1</v>
      </c>
      <c r="N156">
        <v>12698</v>
      </c>
      <c r="O156">
        <v>101264</v>
      </c>
      <c r="P156" t="s">
        <v>154</v>
      </c>
      <c r="Q156">
        <v>45.11</v>
      </c>
      <c r="R156" t="s">
        <v>470</v>
      </c>
      <c r="S156" t="s">
        <v>786</v>
      </c>
      <c r="T156">
        <v>50211</v>
      </c>
      <c r="U156">
        <v>1739</v>
      </c>
      <c r="V156">
        <v>8844</v>
      </c>
      <c r="W156">
        <v>12137</v>
      </c>
      <c r="X156">
        <v>2.68</v>
      </c>
    </row>
    <row r="157" spans="1:24">
      <c r="A157" s="2">
        <f>HYPERLINK("https://finance.naver.com/item/coinfo.nhn?code=034730", "A034730")</f>
        <v>0</v>
      </c>
      <c r="B157">
        <f>HYPERLINK("http://comp.fnguide.com/SVO2/ASP/SVD_Consensus.asp?pGB=1&amp;gicode=A034730&amp;cID=&amp;MenuYn=Y&amp;ReportGB=&amp;NewMenuID=108&amp;stkGb=701", "SK")</f>
        <v>0</v>
      </c>
      <c r="C157">
        <v>3</v>
      </c>
      <c r="D157">
        <v>237000</v>
      </c>
      <c r="E157">
        <v>-0.53</v>
      </c>
      <c r="F157">
        <v>367918</v>
      </c>
      <c r="G157">
        <v>338548</v>
      </c>
      <c r="H157">
        <v>330172</v>
      </c>
      <c r="I157">
        <v>-55.24</v>
      </c>
      <c r="J157">
        <v>-42.85</v>
      </c>
      <c r="K157">
        <v>-39.31</v>
      </c>
      <c r="L157">
        <v>9.199999999999999</v>
      </c>
      <c r="M157" t="b">
        <v>0</v>
      </c>
      <c r="N157">
        <v>166754</v>
      </c>
      <c r="O157">
        <v>1065538</v>
      </c>
      <c r="P157" t="s">
        <v>155</v>
      </c>
      <c r="Q157">
        <v>29.55</v>
      </c>
      <c r="R157" t="s">
        <v>471</v>
      </c>
      <c r="S157" t="s">
        <v>787</v>
      </c>
      <c r="T157">
        <v>992646</v>
      </c>
      <c r="U157">
        <v>39499</v>
      </c>
      <c r="V157">
        <v>10113</v>
      </c>
      <c r="W157">
        <v>18055950</v>
      </c>
      <c r="X157">
        <v>1.91</v>
      </c>
    </row>
    <row r="158" spans="1:24">
      <c r="A158" s="2">
        <f>HYPERLINK("https://finance.naver.com/item/coinfo.nhn?code=016590", "A016590")</f>
        <v>0</v>
      </c>
      <c r="B158">
        <f>HYPERLINK("http://comp.fnguide.com/SVO2/ASP/SVD_Consensus.asp?pGB=1&amp;gicode=A016590&amp;cID=&amp;MenuYn=Y&amp;ReportGB=&amp;NewMenuID=108&amp;stkGb=701", "신대양제지")</f>
        <v>0</v>
      </c>
      <c r="C158">
        <v>3</v>
      </c>
      <c r="D158">
        <v>64800</v>
      </c>
      <c r="E158">
        <v>0.14</v>
      </c>
      <c r="F158">
        <v>234494</v>
      </c>
      <c r="G158">
        <v>159303</v>
      </c>
      <c r="H158">
        <v>137858</v>
      </c>
      <c r="I158">
        <v>-261.87</v>
      </c>
      <c r="J158">
        <v>-145.84</v>
      </c>
      <c r="K158">
        <v>-112.74</v>
      </c>
      <c r="L158">
        <v>17.12</v>
      </c>
      <c r="M158" t="b">
        <v>1</v>
      </c>
      <c r="N158">
        <v>2611</v>
      </c>
      <c r="O158">
        <v>48361</v>
      </c>
      <c r="P158" t="s">
        <v>156</v>
      </c>
      <c r="Q158">
        <v>53.49</v>
      </c>
      <c r="R158" t="s">
        <v>472</v>
      </c>
      <c r="S158" t="s">
        <v>788</v>
      </c>
      <c r="T158">
        <v>6468</v>
      </c>
      <c r="U158">
        <v>947</v>
      </c>
      <c r="V158">
        <v>13849</v>
      </c>
      <c r="W158">
        <v>201500</v>
      </c>
      <c r="X158">
        <v>1.05</v>
      </c>
    </row>
    <row r="159" spans="1:24">
      <c r="A159" s="2">
        <f>HYPERLINK("https://finance.naver.com/item/coinfo.nhn?code=210540", "A210540")</f>
        <v>0</v>
      </c>
      <c r="B159">
        <f>HYPERLINK("http://comp.fnguide.com/SVO2/ASP/SVD_Consensus.asp?pGB=1&amp;gicode=A210540&amp;cID=&amp;MenuYn=Y&amp;ReportGB=&amp;NewMenuID=108&amp;stkGb=701", "디와이파워")</f>
        <v>0</v>
      </c>
      <c r="C159">
        <v>3</v>
      </c>
      <c r="D159">
        <v>12000</v>
      </c>
      <c r="E159">
        <v>0.1</v>
      </c>
      <c r="F159">
        <v>31434</v>
      </c>
      <c r="G159">
        <v>21644</v>
      </c>
      <c r="H159">
        <v>18852</v>
      </c>
      <c r="I159">
        <v>-161.95</v>
      </c>
      <c r="J159">
        <v>-80.37</v>
      </c>
      <c r="K159">
        <v>-57.1</v>
      </c>
      <c r="L159">
        <v>16.58</v>
      </c>
      <c r="M159" t="b">
        <v>1</v>
      </c>
      <c r="N159">
        <v>1325</v>
      </c>
      <c r="O159">
        <v>171114</v>
      </c>
      <c r="P159" t="s">
        <v>157</v>
      </c>
      <c r="Q159">
        <v>38.46</v>
      </c>
      <c r="R159" t="s">
        <v>473</v>
      </c>
      <c r="S159" t="s">
        <v>789</v>
      </c>
      <c r="T159">
        <v>3435</v>
      </c>
      <c r="U159">
        <v>259</v>
      </c>
      <c r="V159">
        <v>1728</v>
      </c>
      <c r="W159">
        <v>5857</v>
      </c>
      <c r="X159">
        <v>1.98</v>
      </c>
    </row>
    <row r="160" spans="1:24">
      <c r="A160" s="2">
        <f>HYPERLINK("https://finance.naver.com/item/coinfo.nhn?code=011330", "A011330")</f>
        <v>0</v>
      </c>
      <c r="B160">
        <f>HYPERLINK("http://comp.fnguide.com/SVO2/ASP/SVD_Consensus.asp?pGB=1&amp;gicode=A011330&amp;cID=&amp;MenuYn=Y&amp;ReportGB=&amp;NewMenuID=108&amp;stkGb=701", "유니켐")</f>
        <v>0</v>
      </c>
      <c r="C160">
        <v>3</v>
      </c>
      <c r="D160">
        <v>1390</v>
      </c>
      <c r="E160">
        <v>0.2</v>
      </c>
      <c r="F160">
        <v>3286</v>
      </c>
      <c r="G160">
        <v>2050</v>
      </c>
      <c r="H160">
        <v>1698</v>
      </c>
      <c r="I160">
        <v>-136.42</v>
      </c>
      <c r="J160">
        <v>-47.52</v>
      </c>
      <c r="K160">
        <v>-22.16</v>
      </c>
      <c r="L160">
        <v>21.34</v>
      </c>
      <c r="M160" t="b">
        <v>1</v>
      </c>
      <c r="N160">
        <v>955</v>
      </c>
      <c r="O160">
        <v>706730</v>
      </c>
      <c r="P160" t="s">
        <v>158</v>
      </c>
      <c r="Q160">
        <v>18.61</v>
      </c>
      <c r="R160" t="s">
        <v>474</v>
      </c>
      <c r="S160" t="s">
        <v>790</v>
      </c>
      <c r="T160">
        <v>1088</v>
      </c>
      <c r="U160">
        <v>179</v>
      </c>
      <c r="V160">
        <v>223</v>
      </c>
      <c r="W160">
        <v>907818</v>
      </c>
    </row>
    <row r="161" spans="1:24">
      <c r="A161" s="2">
        <f>HYPERLINK("https://finance.naver.com/item/coinfo.nhn?code=152330", "A152330")</f>
        <v>0</v>
      </c>
      <c r="B161">
        <f>HYPERLINK("http://comp.fnguide.com/SVO2/ASP/SVD_Consensus.asp?pGB=1&amp;gicode=A152330&amp;cID=&amp;MenuYn=Y&amp;ReportGB=&amp;NewMenuID=108&amp;stkGb=701", "코리아오토글라스")</f>
        <v>0</v>
      </c>
      <c r="C161">
        <v>3</v>
      </c>
      <c r="D161">
        <v>16550</v>
      </c>
      <c r="E161">
        <v>-54.09</v>
      </c>
      <c r="F161">
        <v>26080</v>
      </c>
      <c r="G161">
        <v>21255</v>
      </c>
      <c r="H161">
        <v>19878</v>
      </c>
      <c r="I161">
        <v>-57.58</v>
      </c>
      <c r="J161">
        <v>-28.43</v>
      </c>
      <c r="K161">
        <v>-20.11</v>
      </c>
      <c r="L161">
        <v>11.53</v>
      </c>
      <c r="M161" t="b">
        <v>1</v>
      </c>
      <c r="N161">
        <v>3310</v>
      </c>
      <c r="O161">
        <v>0</v>
      </c>
      <c r="P161" t="s">
        <v>159</v>
      </c>
      <c r="Q161">
        <v>50.05</v>
      </c>
      <c r="R161" t="s">
        <v>475</v>
      </c>
      <c r="S161" t="s">
        <v>791</v>
      </c>
      <c r="T161">
        <v>4560</v>
      </c>
      <c r="U161">
        <v>575</v>
      </c>
      <c r="V161">
        <v>1651</v>
      </c>
      <c r="X161">
        <v>5.57</v>
      </c>
    </row>
    <row r="162" spans="1:24">
      <c r="A162" s="2">
        <f>HYPERLINK("https://finance.naver.com/item/coinfo.nhn?code=006740", "A006740")</f>
        <v>0</v>
      </c>
      <c r="B162">
        <f>HYPERLINK("http://comp.fnguide.com/SVO2/ASP/SVD_Consensus.asp?pGB=1&amp;gicode=A006740&amp;cID=&amp;MenuYn=Y&amp;ReportGB=&amp;NewMenuID=108&amp;stkGb=701", "영풍제지")</f>
        <v>0</v>
      </c>
      <c r="C162">
        <v>3</v>
      </c>
      <c r="D162">
        <v>5910</v>
      </c>
      <c r="E162">
        <v>0.59</v>
      </c>
      <c r="F162">
        <v>7901</v>
      </c>
      <c r="G162">
        <v>7240</v>
      </c>
      <c r="H162">
        <v>7052</v>
      </c>
      <c r="I162">
        <v>-33.69</v>
      </c>
      <c r="J162">
        <v>-22.51</v>
      </c>
      <c r="K162">
        <v>-19.32</v>
      </c>
      <c r="L162">
        <v>9.27</v>
      </c>
      <c r="M162" t="b">
        <v>1</v>
      </c>
      <c r="N162">
        <v>1312</v>
      </c>
      <c r="O162">
        <v>287659</v>
      </c>
      <c r="P162" t="s">
        <v>160</v>
      </c>
      <c r="Q162">
        <v>54.44</v>
      </c>
      <c r="R162" t="s">
        <v>476</v>
      </c>
      <c r="S162" t="s">
        <v>792</v>
      </c>
      <c r="T162">
        <v>997</v>
      </c>
      <c r="U162">
        <v>109</v>
      </c>
      <c r="V162">
        <v>418</v>
      </c>
      <c r="W162">
        <v>4627676</v>
      </c>
      <c r="X162">
        <v>1.28</v>
      </c>
    </row>
    <row r="163" spans="1:24">
      <c r="A163" s="2">
        <f>HYPERLINK("https://finance.naver.com/item/coinfo.nhn?code=001800", "A001800")</f>
        <v>0</v>
      </c>
      <c r="B163">
        <f>HYPERLINK("http://comp.fnguide.com/SVO2/ASP/SVD_Consensus.asp?pGB=1&amp;gicode=A001800&amp;cID=&amp;MenuYn=Y&amp;ReportGB=&amp;NewMenuID=108&amp;stkGb=701", "오리온홀딩스")</f>
        <v>0</v>
      </c>
      <c r="C163">
        <v>3</v>
      </c>
      <c r="D163">
        <v>13350</v>
      </c>
      <c r="E163">
        <v>-1.5</v>
      </c>
      <c r="F163">
        <v>66577</v>
      </c>
      <c r="G163">
        <v>45823</v>
      </c>
      <c r="H163">
        <v>39903</v>
      </c>
      <c r="I163">
        <v>-398.71</v>
      </c>
      <c r="J163">
        <v>-243.24</v>
      </c>
      <c r="K163">
        <v>-198.9</v>
      </c>
      <c r="L163">
        <v>16.59</v>
      </c>
      <c r="M163" t="b">
        <v>0</v>
      </c>
      <c r="N163">
        <v>8363</v>
      </c>
      <c r="O163">
        <v>182357</v>
      </c>
      <c r="P163" t="s">
        <v>161</v>
      </c>
      <c r="Q163">
        <v>63.85</v>
      </c>
      <c r="R163" t="s">
        <v>477</v>
      </c>
      <c r="S163" t="s">
        <v>793</v>
      </c>
      <c r="T163">
        <v>21036</v>
      </c>
      <c r="U163">
        <v>2667</v>
      </c>
      <c r="V163">
        <v>772</v>
      </c>
      <c r="W163">
        <v>2488769</v>
      </c>
      <c r="X163">
        <v>3.65</v>
      </c>
    </row>
    <row r="164" spans="1:24">
      <c r="A164" s="2">
        <f>HYPERLINK("https://finance.naver.com/item/coinfo.nhn?code=264900", "A264900")</f>
        <v>0</v>
      </c>
      <c r="B164">
        <f>HYPERLINK("http://comp.fnguide.com/SVO2/ASP/SVD_Consensus.asp?pGB=1&amp;gicode=A264900&amp;cID=&amp;MenuYn=Y&amp;ReportGB=&amp;NewMenuID=108&amp;stkGb=701", "크라운제과")</f>
        <v>0</v>
      </c>
      <c r="C164">
        <v>3</v>
      </c>
      <c r="D164">
        <v>8780</v>
      </c>
      <c r="E164">
        <v>0.67</v>
      </c>
      <c r="F164">
        <v>15806</v>
      </c>
      <c r="G164">
        <v>13411</v>
      </c>
      <c r="H164">
        <v>12727</v>
      </c>
      <c r="I164">
        <v>-80.02</v>
      </c>
      <c r="J164">
        <v>-52.74</v>
      </c>
      <c r="K164">
        <v>-44.96</v>
      </c>
      <c r="L164">
        <v>10.67</v>
      </c>
      <c r="M164" t="b">
        <v>1</v>
      </c>
      <c r="N164">
        <v>1100</v>
      </c>
      <c r="O164">
        <v>6547</v>
      </c>
      <c r="P164" t="s">
        <v>162</v>
      </c>
      <c r="Q164">
        <v>61.68</v>
      </c>
      <c r="R164" t="s">
        <v>478</v>
      </c>
      <c r="S164" t="s">
        <v>794</v>
      </c>
      <c r="T164">
        <v>3866</v>
      </c>
      <c r="U164">
        <v>265</v>
      </c>
      <c r="V164">
        <v>1424</v>
      </c>
      <c r="W164">
        <v>507681</v>
      </c>
      <c r="X164">
        <v>2.88</v>
      </c>
    </row>
    <row r="165" spans="1:24">
      <c r="A165" s="2">
        <f>HYPERLINK("https://finance.naver.com/item/coinfo.nhn?code=006360", "A006360")</f>
        <v>0</v>
      </c>
      <c r="B165">
        <f>HYPERLINK("http://comp.fnguide.com/SVO2/ASP/SVD_Consensus.asp?pGB=1&amp;gicode=A006360&amp;cID=&amp;MenuYn=Y&amp;ReportGB=&amp;NewMenuID=108&amp;stkGb=701", "GS건설")</f>
        <v>0</v>
      </c>
      <c r="C165">
        <v>3</v>
      </c>
      <c r="D165">
        <v>31800</v>
      </c>
      <c r="E165">
        <v>-0.2</v>
      </c>
      <c r="F165">
        <v>73233</v>
      </c>
      <c r="G165">
        <v>59314</v>
      </c>
      <c r="H165">
        <v>55344</v>
      </c>
      <c r="I165">
        <v>-130.29</v>
      </c>
      <c r="J165">
        <v>-86.52</v>
      </c>
      <c r="K165">
        <v>-74.04000000000001</v>
      </c>
      <c r="L165">
        <v>11.67</v>
      </c>
      <c r="M165" t="b">
        <v>1</v>
      </c>
      <c r="N165">
        <v>25471</v>
      </c>
      <c r="O165">
        <v>466071</v>
      </c>
      <c r="P165" t="s">
        <v>163</v>
      </c>
      <c r="Q165">
        <v>25.69</v>
      </c>
      <c r="R165" t="s">
        <v>479</v>
      </c>
      <c r="S165" t="s">
        <v>795</v>
      </c>
      <c r="T165">
        <v>104166</v>
      </c>
      <c r="U165">
        <v>7673</v>
      </c>
      <c r="V165">
        <v>5535</v>
      </c>
      <c r="W165">
        <v>692595</v>
      </c>
      <c r="X165">
        <v>3.22</v>
      </c>
    </row>
    <row r="166" spans="1:24">
      <c r="A166" s="2">
        <f>HYPERLINK("https://finance.naver.com/item/coinfo.nhn?code=192400", "A192400")</f>
        <v>0</v>
      </c>
      <c r="B166">
        <f>HYPERLINK("http://comp.fnguide.com/SVO2/ASP/SVD_Consensus.asp?pGB=1&amp;gicode=A192400&amp;cID=&amp;MenuYn=Y&amp;ReportGB=&amp;NewMenuID=108&amp;stkGb=701", "쿠쿠홀딩스")</f>
        <v>0</v>
      </c>
      <c r="C166">
        <v>3</v>
      </c>
      <c r="D166">
        <v>96800</v>
      </c>
      <c r="E166">
        <v>0.62</v>
      </c>
      <c r="F166">
        <v>382751</v>
      </c>
      <c r="G166">
        <v>217980</v>
      </c>
      <c r="H166">
        <v>170987</v>
      </c>
      <c r="I166">
        <v>-295.4</v>
      </c>
      <c r="J166">
        <v>-125.19</v>
      </c>
      <c r="K166">
        <v>-76.64</v>
      </c>
      <c r="L166">
        <v>28.18</v>
      </c>
      <c r="M166" t="b">
        <v>0</v>
      </c>
      <c r="N166">
        <v>6885</v>
      </c>
      <c r="O166">
        <v>9160</v>
      </c>
      <c r="P166" t="s">
        <v>164</v>
      </c>
      <c r="Q166">
        <v>69.06999999999999</v>
      </c>
      <c r="R166" t="s">
        <v>480</v>
      </c>
      <c r="S166" t="s">
        <v>796</v>
      </c>
      <c r="T166">
        <v>5283</v>
      </c>
      <c r="U166">
        <v>745</v>
      </c>
      <c r="V166">
        <v>11168</v>
      </c>
      <c r="W166">
        <v>896760</v>
      </c>
      <c r="X166">
        <v>2.86</v>
      </c>
    </row>
    <row r="167" spans="1:24">
      <c r="A167" s="2">
        <f>HYPERLINK("https://finance.naver.com/item/coinfo.nhn?code=015020", "A015020")</f>
        <v>0</v>
      </c>
      <c r="B167">
        <f>HYPERLINK("http://comp.fnguide.com/SVO2/ASP/SVD_Consensus.asp?pGB=1&amp;gicode=A015020&amp;cID=&amp;MenuYn=Y&amp;ReportGB=&amp;NewMenuID=108&amp;stkGb=701", "이스타코")</f>
        <v>0</v>
      </c>
      <c r="C167">
        <v>3</v>
      </c>
      <c r="D167">
        <v>615</v>
      </c>
      <c r="E167">
        <v>-0.03</v>
      </c>
      <c r="F167">
        <v>2011</v>
      </c>
      <c r="G167">
        <v>1558</v>
      </c>
      <c r="H167">
        <v>1429</v>
      </c>
      <c r="I167">
        <v>-226.91</v>
      </c>
      <c r="J167">
        <v>-153.37</v>
      </c>
      <c r="K167">
        <v>-132.39</v>
      </c>
      <c r="L167">
        <v>12.76</v>
      </c>
      <c r="M167" t="b">
        <v>1</v>
      </c>
      <c r="N167">
        <v>264</v>
      </c>
      <c r="O167">
        <v>336928</v>
      </c>
      <c r="P167" t="s">
        <v>165</v>
      </c>
      <c r="Q167">
        <v>39.42</v>
      </c>
      <c r="R167" t="s">
        <v>481</v>
      </c>
      <c r="S167" t="s">
        <v>797</v>
      </c>
      <c r="T167">
        <v>238</v>
      </c>
      <c r="U167">
        <v>39</v>
      </c>
      <c r="V167">
        <v>256</v>
      </c>
      <c r="W167">
        <v>3960641</v>
      </c>
    </row>
    <row r="168" spans="1:24">
      <c r="A168" s="2">
        <f>HYPERLINK("https://finance.naver.com/item/coinfo.nhn?code=006650", "A006650")</f>
        <v>0</v>
      </c>
      <c r="B168">
        <f>HYPERLINK("http://comp.fnguide.com/SVO2/ASP/SVD_Consensus.asp?pGB=1&amp;gicode=A006650&amp;cID=&amp;MenuYn=Y&amp;ReportGB=&amp;NewMenuID=108&amp;stkGb=701", "대한유화")</f>
        <v>0</v>
      </c>
      <c r="C168">
        <v>3</v>
      </c>
      <c r="D168">
        <v>250000</v>
      </c>
      <c r="E168">
        <v>-0.46</v>
      </c>
      <c r="F168">
        <v>398771</v>
      </c>
      <c r="G168">
        <v>332235</v>
      </c>
      <c r="H168">
        <v>313259</v>
      </c>
      <c r="I168">
        <v>-59.51</v>
      </c>
      <c r="J168">
        <v>-32.89</v>
      </c>
      <c r="K168">
        <v>-25.3</v>
      </c>
      <c r="L168">
        <v>11.05</v>
      </c>
      <c r="M168" t="b">
        <v>1</v>
      </c>
      <c r="N168">
        <v>16250</v>
      </c>
      <c r="O168">
        <v>75993</v>
      </c>
      <c r="P168" t="s">
        <v>166</v>
      </c>
      <c r="Q168">
        <v>39.87</v>
      </c>
      <c r="R168" t="s">
        <v>482</v>
      </c>
      <c r="S168" t="s">
        <v>798</v>
      </c>
      <c r="T168">
        <v>20743</v>
      </c>
      <c r="U168">
        <v>1138</v>
      </c>
      <c r="V168">
        <v>16360</v>
      </c>
      <c r="W168">
        <v>323900</v>
      </c>
      <c r="X168">
        <v>2.13</v>
      </c>
    </row>
    <row r="169" spans="1:24">
      <c r="A169" s="2">
        <f>HYPERLINK("https://finance.naver.com/item/coinfo.nhn?code=078930", "A078930")</f>
        <v>0</v>
      </c>
      <c r="B169">
        <f>HYPERLINK("http://comp.fnguide.com/SVO2/ASP/SVD_Consensus.asp?pGB=1&amp;gicode=A078930&amp;cID=&amp;MenuYn=Y&amp;ReportGB=&amp;NewMenuID=108&amp;stkGb=701", "GS")</f>
        <v>0</v>
      </c>
      <c r="C169">
        <v>3</v>
      </c>
      <c r="D169">
        <v>37050</v>
      </c>
      <c r="E169">
        <v>3.56</v>
      </c>
      <c r="F169">
        <v>108741</v>
      </c>
      <c r="G169">
        <v>100830</v>
      </c>
      <c r="H169">
        <v>98573</v>
      </c>
      <c r="I169">
        <v>-193.5</v>
      </c>
      <c r="J169">
        <v>-172.14</v>
      </c>
      <c r="K169">
        <v>-166.05</v>
      </c>
      <c r="L169">
        <v>9.08</v>
      </c>
      <c r="M169" t="b">
        <v>0</v>
      </c>
      <c r="N169">
        <v>34425</v>
      </c>
      <c r="O169">
        <v>402973</v>
      </c>
      <c r="P169" t="s">
        <v>167</v>
      </c>
      <c r="Q169">
        <v>52.12</v>
      </c>
      <c r="R169" t="s">
        <v>483</v>
      </c>
      <c r="S169" t="s">
        <v>799</v>
      </c>
      <c r="T169">
        <v>177861</v>
      </c>
      <c r="U169">
        <v>20331</v>
      </c>
      <c r="V169">
        <v>5744</v>
      </c>
      <c r="W169">
        <v>19883</v>
      </c>
      <c r="X169">
        <v>3.68</v>
      </c>
    </row>
    <row r="170" spans="1:24">
      <c r="A170" s="2">
        <f>HYPERLINK("https://finance.naver.com/item/coinfo.nhn?code=120030", "A120030")</f>
        <v>0</v>
      </c>
      <c r="B170">
        <f>HYPERLINK("http://comp.fnguide.com/SVO2/ASP/SVD_Consensus.asp?pGB=1&amp;gicode=A120030&amp;cID=&amp;MenuYn=Y&amp;ReportGB=&amp;NewMenuID=108&amp;stkGb=701", "조선선재")</f>
        <v>0</v>
      </c>
      <c r="C170">
        <v>3</v>
      </c>
      <c r="D170">
        <v>108000</v>
      </c>
      <c r="E170">
        <v>-1.57</v>
      </c>
      <c r="F170">
        <v>168325</v>
      </c>
      <c r="G170">
        <v>130805</v>
      </c>
      <c r="H170">
        <v>120104</v>
      </c>
      <c r="I170">
        <v>-55.86</v>
      </c>
      <c r="J170">
        <v>-21.12</v>
      </c>
      <c r="K170">
        <v>-11.21</v>
      </c>
      <c r="L170">
        <v>12.69</v>
      </c>
      <c r="M170" t="b">
        <v>1</v>
      </c>
      <c r="N170">
        <v>1358</v>
      </c>
      <c r="O170">
        <v>10894</v>
      </c>
      <c r="P170" t="s">
        <v>168</v>
      </c>
      <c r="Q170">
        <v>51.84</v>
      </c>
      <c r="R170" t="s">
        <v>484</v>
      </c>
      <c r="S170" t="s">
        <v>800</v>
      </c>
      <c r="T170">
        <v>640</v>
      </c>
      <c r="U170">
        <v>141</v>
      </c>
      <c r="V170">
        <v>10187</v>
      </c>
      <c r="W170">
        <v>213717</v>
      </c>
      <c r="X170">
        <v>1.82</v>
      </c>
    </row>
    <row r="171" spans="1:24">
      <c r="A171" s="2">
        <f>HYPERLINK("https://finance.naver.com/item/coinfo.nhn?code=002350", "A002350")</f>
        <v>0</v>
      </c>
      <c r="B171">
        <f>HYPERLINK("http://comp.fnguide.com/SVO2/ASP/SVD_Consensus.asp?pGB=1&amp;gicode=A002350&amp;cID=&amp;MenuYn=Y&amp;ReportGB=&amp;NewMenuID=108&amp;stkGb=701", "넥센타이어")</f>
        <v>0</v>
      </c>
      <c r="C171">
        <v>3</v>
      </c>
      <c r="D171">
        <v>6080</v>
      </c>
      <c r="E171">
        <v>-4.66</v>
      </c>
      <c r="F171">
        <v>16440</v>
      </c>
      <c r="G171">
        <v>16274</v>
      </c>
      <c r="H171">
        <v>16226</v>
      </c>
      <c r="I171">
        <v>-170.39</v>
      </c>
      <c r="J171">
        <v>-167.66</v>
      </c>
      <c r="K171">
        <v>-166.88</v>
      </c>
      <c r="L171">
        <v>8.119999999999999</v>
      </c>
      <c r="M171" t="b">
        <v>1</v>
      </c>
      <c r="N171">
        <v>5938</v>
      </c>
      <c r="O171">
        <v>1251405</v>
      </c>
      <c r="P171" t="s">
        <v>169</v>
      </c>
      <c r="Q171">
        <v>65.97</v>
      </c>
      <c r="R171" t="s">
        <v>485</v>
      </c>
      <c r="S171" t="s">
        <v>801</v>
      </c>
      <c r="T171">
        <v>20223</v>
      </c>
      <c r="U171">
        <v>2074</v>
      </c>
      <c r="V171">
        <v>1135</v>
      </c>
      <c r="W171">
        <v>1504451</v>
      </c>
      <c r="X171">
        <v>1.15</v>
      </c>
    </row>
    <row r="172" spans="1:24">
      <c r="A172" s="2">
        <f>HYPERLINK("https://finance.naver.com/item/coinfo.nhn?code=139130", "A139130")</f>
        <v>0</v>
      </c>
      <c r="B172">
        <f>HYPERLINK("http://comp.fnguide.com/SVO2/ASP/SVD_Consensus.asp?pGB=1&amp;gicode=A139130&amp;cID=&amp;MenuYn=Y&amp;ReportGB=&amp;NewMenuID=108&amp;stkGb=701", "DGB금융지주")</f>
        <v>0</v>
      </c>
      <c r="C172">
        <v>3</v>
      </c>
      <c r="D172">
        <v>7460</v>
      </c>
      <c r="E172">
        <v>1.26</v>
      </c>
      <c r="F172">
        <v>27592</v>
      </c>
      <c r="G172">
        <v>27414</v>
      </c>
      <c r="H172">
        <v>27364</v>
      </c>
      <c r="I172">
        <v>-269.87</v>
      </c>
      <c r="J172">
        <v>-267.49</v>
      </c>
      <c r="K172">
        <v>-266.8</v>
      </c>
      <c r="L172">
        <v>8.07</v>
      </c>
      <c r="M172" t="b">
        <v>1</v>
      </c>
      <c r="N172">
        <v>12618</v>
      </c>
      <c r="O172">
        <v>599747</v>
      </c>
      <c r="P172" t="s">
        <v>170</v>
      </c>
      <c r="Q172">
        <v>10.87</v>
      </c>
      <c r="R172" t="s">
        <v>486</v>
      </c>
      <c r="S172" t="s">
        <v>802</v>
      </c>
      <c r="T172">
        <v>21943</v>
      </c>
      <c r="U172">
        <v>4322</v>
      </c>
      <c r="V172">
        <v>1936</v>
      </c>
      <c r="W172">
        <v>1</v>
      </c>
      <c r="X172">
        <v>5.76</v>
      </c>
    </row>
    <row r="173" spans="1:24">
      <c r="A173" s="2">
        <f>HYPERLINK("https://finance.naver.com/item/coinfo.nhn?code=001680", "A001680")</f>
        <v>0</v>
      </c>
      <c r="B173">
        <f>HYPERLINK("http://comp.fnguide.com/SVO2/ASP/SVD_Consensus.asp?pGB=1&amp;gicode=A001680&amp;cID=&amp;MenuYn=Y&amp;ReportGB=&amp;NewMenuID=108&amp;stkGb=701", "대상")</f>
        <v>0</v>
      </c>
      <c r="C173">
        <v>3</v>
      </c>
      <c r="D173">
        <v>25450</v>
      </c>
      <c r="E173">
        <v>0.34</v>
      </c>
      <c r="F173">
        <v>32816</v>
      </c>
      <c r="G173">
        <v>30524</v>
      </c>
      <c r="H173">
        <v>29871</v>
      </c>
      <c r="I173">
        <v>-28.94</v>
      </c>
      <c r="J173">
        <v>-19.94</v>
      </c>
      <c r="K173">
        <v>-17.37</v>
      </c>
      <c r="L173">
        <v>9.029999999999999</v>
      </c>
      <c r="M173" t="b">
        <v>1</v>
      </c>
      <c r="N173">
        <v>8818</v>
      </c>
      <c r="O173">
        <v>196413</v>
      </c>
      <c r="P173" t="s">
        <v>171</v>
      </c>
      <c r="Q173">
        <v>44.74</v>
      </c>
      <c r="R173" t="s">
        <v>487</v>
      </c>
      <c r="S173" t="s">
        <v>803</v>
      </c>
      <c r="T173">
        <v>29640</v>
      </c>
      <c r="U173">
        <v>1298</v>
      </c>
      <c r="V173">
        <v>2976</v>
      </c>
      <c r="X173">
        <v>2.59</v>
      </c>
    </row>
    <row r="174" spans="1:24">
      <c r="A174" s="2">
        <f>HYPERLINK("https://finance.naver.com/item/coinfo.nhn?code=005830", "A005830")</f>
        <v>0</v>
      </c>
      <c r="B174">
        <f>HYPERLINK("http://comp.fnguide.com/SVO2/ASP/SVD_Consensus.asp?pGB=1&amp;gicode=A005830&amp;cID=&amp;MenuYn=Y&amp;ReportGB=&amp;NewMenuID=108&amp;stkGb=701", "DB손해보험")</f>
        <v>0</v>
      </c>
      <c r="C174">
        <v>3</v>
      </c>
      <c r="D174">
        <v>44850</v>
      </c>
      <c r="E174">
        <v>0.86</v>
      </c>
      <c r="F174">
        <v>118881</v>
      </c>
      <c r="G174">
        <v>106988</v>
      </c>
      <c r="H174">
        <v>103597</v>
      </c>
      <c r="I174">
        <v>-165.06</v>
      </c>
      <c r="J174">
        <v>-138.55</v>
      </c>
      <c r="K174">
        <v>-130.98</v>
      </c>
      <c r="L174">
        <v>9.58</v>
      </c>
      <c r="M174" t="b">
        <v>1</v>
      </c>
      <c r="N174">
        <v>31754</v>
      </c>
      <c r="O174">
        <v>238499</v>
      </c>
      <c r="P174" t="s">
        <v>172</v>
      </c>
      <c r="Q174">
        <v>23.21</v>
      </c>
      <c r="R174" t="s">
        <v>488</v>
      </c>
      <c r="S174" t="s">
        <v>804</v>
      </c>
      <c r="T174">
        <v>143984</v>
      </c>
      <c r="U174">
        <v>5116</v>
      </c>
      <c r="V174">
        <v>5334</v>
      </c>
      <c r="W174">
        <v>10756531</v>
      </c>
      <c r="X174">
        <v>2.87</v>
      </c>
    </row>
    <row r="175" spans="1:24">
      <c r="A175" s="2">
        <f>HYPERLINK("https://finance.naver.com/item/coinfo.nhn?code=035000", "A035000")</f>
        <v>0</v>
      </c>
      <c r="B175">
        <f>HYPERLINK("http://comp.fnguide.com/SVO2/ASP/SVD_Consensus.asp?pGB=1&amp;gicode=A035000&amp;cID=&amp;MenuYn=Y&amp;ReportGB=&amp;NewMenuID=108&amp;stkGb=701", "지투알")</f>
        <v>0</v>
      </c>
      <c r="C175">
        <v>3</v>
      </c>
      <c r="D175">
        <v>5830</v>
      </c>
      <c r="E175">
        <v>1</v>
      </c>
      <c r="F175">
        <v>12235</v>
      </c>
      <c r="G175">
        <v>10182</v>
      </c>
      <c r="H175">
        <v>9597</v>
      </c>
      <c r="I175">
        <v>-109.85</v>
      </c>
      <c r="J175">
        <v>-74.65000000000001</v>
      </c>
      <c r="K175">
        <v>-64.61</v>
      </c>
      <c r="L175">
        <v>11.07</v>
      </c>
      <c r="M175" t="b">
        <v>1</v>
      </c>
      <c r="N175">
        <v>966</v>
      </c>
      <c r="O175">
        <v>13707</v>
      </c>
      <c r="P175" t="s">
        <v>173</v>
      </c>
      <c r="Q175">
        <v>35</v>
      </c>
      <c r="R175" t="s">
        <v>489</v>
      </c>
      <c r="S175" t="s">
        <v>805</v>
      </c>
      <c r="T175">
        <v>5421</v>
      </c>
      <c r="U175">
        <v>219</v>
      </c>
      <c r="V175">
        <v>921</v>
      </c>
      <c r="W175">
        <v>359765</v>
      </c>
      <c r="X175">
        <v>4.58</v>
      </c>
    </row>
    <row r="176" spans="1:24">
      <c r="A176" s="2">
        <f>HYPERLINK("https://finance.naver.com/item/coinfo.nhn?code=047040", "A047040")</f>
        <v>0</v>
      </c>
      <c r="B176">
        <f>HYPERLINK("http://comp.fnguide.com/SVO2/ASP/SVD_Consensus.asp?pGB=1&amp;gicode=A047040&amp;cID=&amp;MenuYn=Y&amp;ReportGB=&amp;NewMenuID=108&amp;stkGb=701", "대우건설")</f>
        <v>0</v>
      </c>
      <c r="C176">
        <v>3</v>
      </c>
      <c r="D176">
        <v>3545</v>
      </c>
      <c r="E176">
        <v>-0.97</v>
      </c>
      <c r="F176">
        <v>8114</v>
      </c>
      <c r="G176">
        <v>6835</v>
      </c>
      <c r="H176">
        <v>6470</v>
      </c>
      <c r="I176">
        <v>-128.87</v>
      </c>
      <c r="J176">
        <v>-92.79000000000001</v>
      </c>
      <c r="K176">
        <v>-82.5</v>
      </c>
      <c r="L176">
        <v>10.82</v>
      </c>
      <c r="M176" t="b">
        <v>0</v>
      </c>
      <c r="N176">
        <v>14734</v>
      </c>
      <c r="O176">
        <v>1802484</v>
      </c>
      <c r="P176" t="s">
        <v>174</v>
      </c>
      <c r="Q176">
        <v>50.76</v>
      </c>
      <c r="R176" t="s">
        <v>490</v>
      </c>
      <c r="S176" t="s">
        <v>806</v>
      </c>
      <c r="T176">
        <v>86519</v>
      </c>
      <c r="U176">
        <v>3641</v>
      </c>
      <c r="V176">
        <v>502</v>
      </c>
      <c r="W176">
        <v>4736918</v>
      </c>
    </row>
    <row r="177" spans="1:24">
      <c r="A177" s="2">
        <f>HYPERLINK("https://finance.naver.com/item/coinfo.nhn?code=029460", "A029460")</f>
        <v>0</v>
      </c>
      <c r="B177">
        <f>HYPERLINK("http://comp.fnguide.com/SVO2/ASP/SVD_Consensus.asp?pGB=1&amp;gicode=A029460&amp;cID=&amp;MenuYn=Y&amp;ReportGB=&amp;NewMenuID=108&amp;stkGb=701", "케이씨")</f>
        <v>0</v>
      </c>
      <c r="C177">
        <v>3</v>
      </c>
      <c r="D177">
        <v>25700</v>
      </c>
      <c r="E177">
        <v>0.18</v>
      </c>
      <c r="F177">
        <v>150834</v>
      </c>
      <c r="G177">
        <v>81969</v>
      </c>
      <c r="H177">
        <v>62329</v>
      </c>
      <c r="I177">
        <v>-486.9</v>
      </c>
      <c r="J177">
        <v>-218.95</v>
      </c>
      <c r="K177">
        <v>-142.52</v>
      </c>
      <c r="L177">
        <v>33.28</v>
      </c>
      <c r="M177" t="b">
        <v>1</v>
      </c>
      <c r="N177">
        <v>3483</v>
      </c>
      <c r="O177">
        <v>138720</v>
      </c>
      <c r="P177" t="s">
        <v>175</v>
      </c>
      <c r="Q177">
        <v>40.67</v>
      </c>
      <c r="R177" t="s">
        <v>491</v>
      </c>
      <c r="S177" t="s">
        <v>807</v>
      </c>
      <c r="T177">
        <v>5119</v>
      </c>
      <c r="U177">
        <v>676</v>
      </c>
      <c r="V177">
        <v>3722</v>
      </c>
      <c r="W177">
        <v>1116836</v>
      </c>
      <c r="X177">
        <v>1.34</v>
      </c>
    </row>
    <row r="178" spans="1:24">
      <c r="A178" s="2">
        <f>HYPERLINK("https://finance.naver.com/item/coinfo.nhn?code=084690", "A084690")</f>
        <v>0</v>
      </c>
      <c r="B178">
        <f>HYPERLINK("http://comp.fnguide.com/SVO2/ASP/SVD_Consensus.asp?pGB=1&amp;gicode=A084690&amp;cID=&amp;MenuYn=Y&amp;ReportGB=&amp;NewMenuID=108&amp;stkGb=701", "대상홀딩스")</f>
        <v>0</v>
      </c>
      <c r="C178">
        <v>3</v>
      </c>
      <c r="D178">
        <v>9960</v>
      </c>
      <c r="E178">
        <v>0.07000000000000001</v>
      </c>
      <c r="F178">
        <v>17979</v>
      </c>
      <c r="G178">
        <v>16850</v>
      </c>
      <c r="H178">
        <v>16528</v>
      </c>
      <c r="I178">
        <v>-80.51000000000001</v>
      </c>
      <c r="J178">
        <v>-69.18000000000001</v>
      </c>
      <c r="K178">
        <v>-65.95</v>
      </c>
      <c r="L178">
        <v>8.91</v>
      </c>
      <c r="M178" t="b">
        <v>1</v>
      </c>
      <c r="N178">
        <v>3607</v>
      </c>
      <c r="O178">
        <v>98493</v>
      </c>
      <c r="P178" t="s">
        <v>176</v>
      </c>
      <c r="Q178">
        <v>67.3</v>
      </c>
      <c r="R178" t="s">
        <v>492</v>
      </c>
      <c r="S178" t="s">
        <v>808</v>
      </c>
      <c r="T178">
        <v>35525</v>
      </c>
      <c r="U178">
        <v>1555</v>
      </c>
      <c r="V178">
        <v>1946</v>
      </c>
      <c r="X178">
        <v>2.97</v>
      </c>
    </row>
    <row r="179" spans="1:24">
      <c r="A179" s="2">
        <f>HYPERLINK("https://finance.naver.com/item/coinfo.nhn?code=009970", "A009970")</f>
        <v>0</v>
      </c>
      <c r="B179">
        <f>HYPERLINK("http://comp.fnguide.com/SVO2/ASP/SVD_Consensus.asp?pGB=1&amp;gicode=A009970&amp;cID=&amp;MenuYn=Y&amp;ReportGB=&amp;NewMenuID=108&amp;stkGb=701", "영원무역홀딩스")</f>
        <v>0</v>
      </c>
      <c r="C179">
        <v>3</v>
      </c>
      <c r="D179">
        <v>39400</v>
      </c>
      <c r="E179">
        <v>0.96</v>
      </c>
      <c r="F179">
        <v>133657</v>
      </c>
      <c r="G179">
        <v>124587</v>
      </c>
      <c r="H179">
        <v>122000</v>
      </c>
      <c r="I179">
        <v>-239.23</v>
      </c>
      <c r="J179">
        <v>-216.21</v>
      </c>
      <c r="K179">
        <v>-209.64</v>
      </c>
      <c r="L179">
        <v>9</v>
      </c>
      <c r="M179" t="b">
        <v>1</v>
      </c>
      <c r="N179">
        <v>5372</v>
      </c>
      <c r="O179">
        <v>21908</v>
      </c>
      <c r="P179" t="s">
        <v>177</v>
      </c>
      <c r="Q179">
        <v>46.24</v>
      </c>
      <c r="R179" t="s">
        <v>493</v>
      </c>
      <c r="S179" t="s">
        <v>809</v>
      </c>
      <c r="T179">
        <v>27380</v>
      </c>
      <c r="U179">
        <v>2990</v>
      </c>
      <c r="V179">
        <v>8870</v>
      </c>
      <c r="W179">
        <v>2030694</v>
      </c>
      <c r="X179">
        <v>2.07</v>
      </c>
    </row>
    <row r="180" spans="1:24">
      <c r="A180" s="2">
        <f>HYPERLINK("https://finance.naver.com/item/coinfo.nhn?code=000210", "A000210")</f>
        <v>0</v>
      </c>
      <c r="B180">
        <f>HYPERLINK("http://comp.fnguide.com/SVO2/ASP/SVD_Consensus.asp?pGB=1&amp;gicode=A000210&amp;cID=&amp;MenuYn=Y&amp;ReportGB=&amp;NewMenuID=108&amp;stkGb=701", "대림산업")</f>
        <v>0</v>
      </c>
      <c r="C180">
        <v>3</v>
      </c>
      <c r="D180">
        <v>81000</v>
      </c>
      <c r="E180">
        <v>0.18</v>
      </c>
      <c r="F180">
        <v>249789</v>
      </c>
      <c r="G180">
        <v>202239</v>
      </c>
      <c r="H180">
        <v>188677</v>
      </c>
      <c r="I180">
        <v>-208.38</v>
      </c>
      <c r="J180">
        <v>-149.68</v>
      </c>
      <c r="K180">
        <v>-132.94</v>
      </c>
      <c r="L180">
        <v>11.68</v>
      </c>
      <c r="M180" t="b">
        <v>1</v>
      </c>
      <c r="N180">
        <v>28188</v>
      </c>
      <c r="O180">
        <v>398261</v>
      </c>
      <c r="P180" t="s">
        <v>178</v>
      </c>
      <c r="Q180">
        <v>23.12</v>
      </c>
      <c r="R180" t="s">
        <v>494</v>
      </c>
      <c r="S180" t="s">
        <v>810</v>
      </c>
      <c r="T180">
        <v>97001</v>
      </c>
      <c r="U180">
        <v>11301</v>
      </c>
      <c r="V180">
        <v>17228</v>
      </c>
      <c r="X180">
        <v>1.44</v>
      </c>
    </row>
    <row r="181" spans="1:24">
      <c r="A181" s="2">
        <f>HYPERLINK("https://finance.naver.com/item/coinfo.nhn?code=111770", "A111770")</f>
        <v>0</v>
      </c>
      <c r="B181">
        <f>HYPERLINK("http://comp.fnguide.com/SVO2/ASP/SVD_Consensus.asp?pGB=1&amp;gicode=A111770&amp;cID=&amp;MenuYn=Y&amp;ReportGB=&amp;NewMenuID=108&amp;stkGb=701", "영원무역")</f>
        <v>0</v>
      </c>
      <c r="C181">
        <v>3</v>
      </c>
      <c r="D181">
        <v>31700</v>
      </c>
      <c r="E181">
        <v>1.94</v>
      </c>
      <c r="F181">
        <v>47871</v>
      </c>
      <c r="G181">
        <v>44361</v>
      </c>
      <c r="H181">
        <v>43359</v>
      </c>
      <c r="I181">
        <v>-51.01</v>
      </c>
      <c r="J181">
        <v>-39.94</v>
      </c>
      <c r="K181">
        <v>-36.78</v>
      </c>
      <c r="L181">
        <v>9.09</v>
      </c>
      <c r="M181" t="b">
        <v>1</v>
      </c>
      <c r="N181">
        <v>14047</v>
      </c>
      <c r="O181">
        <v>280376</v>
      </c>
      <c r="P181" t="s">
        <v>179</v>
      </c>
      <c r="Q181">
        <v>50.74</v>
      </c>
      <c r="R181" t="s">
        <v>495</v>
      </c>
      <c r="S181" t="s">
        <v>811</v>
      </c>
      <c r="T181">
        <v>23883</v>
      </c>
      <c r="U181">
        <v>2376</v>
      </c>
      <c r="V181">
        <v>3753</v>
      </c>
      <c r="W181">
        <v>445407</v>
      </c>
      <c r="X181">
        <v>1.17</v>
      </c>
    </row>
    <row r="182" spans="1:24">
      <c r="A182" s="2">
        <f>HYPERLINK("https://finance.naver.com/item/coinfo.nhn?code=161000", "A161000")</f>
        <v>0</v>
      </c>
      <c r="B182">
        <f>HYPERLINK("http://comp.fnguide.com/SVO2/ASP/SVD_Consensus.asp?pGB=1&amp;gicode=A161000&amp;cID=&amp;MenuYn=Y&amp;ReportGB=&amp;NewMenuID=108&amp;stkGb=701", "애경유화")</f>
        <v>0</v>
      </c>
      <c r="C182">
        <v>3</v>
      </c>
      <c r="D182">
        <v>9500</v>
      </c>
      <c r="E182">
        <v>8.84</v>
      </c>
      <c r="F182">
        <v>19659</v>
      </c>
      <c r="G182">
        <v>14763</v>
      </c>
      <c r="H182">
        <v>13367</v>
      </c>
      <c r="I182">
        <v>-106.93</v>
      </c>
      <c r="J182">
        <v>-55.4</v>
      </c>
      <c r="K182">
        <v>-40.7</v>
      </c>
      <c r="L182">
        <v>13.63</v>
      </c>
      <c r="M182" t="b">
        <v>1</v>
      </c>
      <c r="N182">
        <v>3044</v>
      </c>
      <c r="O182">
        <v>199977</v>
      </c>
      <c r="P182" t="s">
        <v>180</v>
      </c>
      <c r="Q182">
        <v>49.47</v>
      </c>
      <c r="R182" t="s">
        <v>496</v>
      </c>
      <c r="S182" t="s">
        <v>812</v>
      </c>
      <c r="T182">
        <v>10170</v>
      </c>
      <c r="U182">
        <v>469</v>
      </c>
      <c r="V182">
        <v>952</v>
      </c>
      <c r="W182">
        <v>475850</v>
      </c>
      <c r="X182">
        <v>4.27</v>
      </c>
    </row>
    <row r="183" spans="1:24">
      <c r="A183" s="2">
        <f>HYPERLINK("https://finance.naver.com/item/coinfo.nhn?code=005960", "A005960")</f>
        <v>0</v>
      </c>
      <c r="B183">
        <f>HYPERLINK("http://comp.fnguide.com/SVO2/ASP/SVD_Consensus.asp?pGB=1&amp;gicode=A005960&amp;cID=&amp;MenuYn=Y&amp;ReportGB=&amp;NewMenuID=108&amp;stkGb=701", "동부건설")</f>
        <v>0</v>
      </c>
      <c r="C183">
        <v>3</v>
      </c>
      <c r="D183">
        <v>12150</v>
      </c>
      <c r="E183">
        <v>-0.21</v>
      </c>
      <c r="F183">
        <v>48285</v>
      </c>
      <c r="G183">
        <v>30408</v>
      </c>
      <c r="H183">
        <v>25309</v>
      </c>
      <c r="I183">
        <v>-297.41</v>
      </c>
      <c r="J183">
        <v>-150.27</v>
      </c>
      <c r="K183">
        <v>-108.31</v>
      </c>
      <c r="L183">
        <v>20.81</v>
      </c>
      <c r="M183" t="b">
        <v>1</v>
      </c>
      <c r="N183">
        <v>2758</v>
      </c>
      <c r="O183">
        <v>62309</v>
      </c>
      <c r="P183" t="s">
        <v>181</v>
      </c>
      <c r="Q183">
        <v>62.19</v>
      </c>
      <c r="R183" t="s">
        <v>497</v>
      </c>
      <c r="S183" t="s">
        <v>813</v>
      </c>
      <c r="T183">
        <v>11554</v>
      </c>
      <c r="U183">
        <v>555</v>
      </c>
      <c r="V183">
        <v>2803</v>
      </c>
      <c r="W183">
        <v>4291</v>
      </c>
      <c r="X183">
        <v>8.199999999999999</v>
      </c>
    </row>
    <row r="184" spans="1:24">
      <c r="A184" s="2">
        <f>HYPERLINK("https://finance.naver.com/item/coinfo.nhn?code=034300", "A034300")</f>
        <v>0</v>
      </c>
      <c r="B184">
        <f>HYPERLINK("http://comp.fnguide.com/SVO2/ASP/SVD_Consensus.asp?pGB=1&amp;gicode=A034300&amp;cID=&amp;MenuYn=Y&amp;ReportGB=&amp;NewMenuID=108&amp;stkGb=701", "신세계건설")</f>
        <v>0</v>
      </c>
      <c r="C184">
        <v>3</v>
      </c>
      <c r="D184">
        <v>23300</v>
      </c>
      <c r="E184">
        <v>-0.42</v>
      </c>
      <c r="F184">
        <v>98439</v>
      </c>
      <c r="G184">
        <v>68988</v>
      </c>
      <c r="H184">
        <v>60589</v>
      </c>
      <c r="I184">
        <v>-322.48</v>
      </c>
      <c r="J184">
        <v>-196.09</v>
      </c>
      <c r="K184">
        <v>-160.04</v>
      </c>
      <c r="L184">
        <v>15.9</v>
      </c>
      <c r="M184" t="b">
        <v>1</v>
      </c>
      <c r="N184">
        <v>932</v>
      </c>
      <c r="O184">
        <v>47449</v>
      </c>
      <c r="P184" t="s">
        <v>182</v>
      </c>
      <c r="Q184">
        <v>42.7</v>
      </c>
      <c r="R184" t="s">
        <v>498</v>
      </c>
      <c r="S184" t="s">
        <v>814</v>
      </c>
      <c r="T184">
        <v>10162</v>
      </c>
      <c r="U184">
        <v>242</v>
      </c>
      <c r="V184">
        <v>4379</v>
      </c>
      <c r="X184">
        <v>3.04</v>
      </c>
    </row>
    <row r="185" spans="1:24">
      <c r="A185" s="2">
        <f>HYPERLINK("https://finance.naver.com/item/coinfo.nhn?code=002870", "A002870")</f>
        <v>0</v>
      </c>
      <c r="B185">
        <f>HYPERLINK("http://comp.fnguide.com/SVO2/ASP/SVD_Consensus.asp?pGB=1&amp;gicode=A002870&amp;cID=&amp;MenuYn=Y&amp;ReportGB=&amp;NewMenuID=108&amp;stkGb=701", "신풍제지")</f>
        <v>0</v>
      </c>
      <c r="C185">
        <v>3</v>
      </c>
      <c r="D185">
        <v>3250</v>
      </c>
      <c r="E185">
        <v>0.02</v>
      </c>
      <c r="F185">
        <v>7052</v>
      </c>
      <c r="G185">
        <v>4319</v>
      </c>
      <c r="H185">
        <v>3540</v>
      </c>
      <c r="I185">
        <v>-116.98</v>
      </c>
      <c r="J185">
        <v>-32.89</v>
      </c>
      <c r="K185">
        <v>-8.91</v>
      </c>
      <c r="L185">
        <v>22.5</v>
      </c>
      <c r="M185" t="b">
        <v>1</v>
      </c>
      <c r="N185">
        <v>1136</v>
      </c>
      <c r="O185">
        <v>2916889</v>
      </c>
      <c r="P185" t="s">
        <v>183</v>
      </c>
      <c r="Q185">
        <v>34.87</v>
      </c>
      <c r="R185" t="s">
        <v>499</v>
      </c>
      <c r="S185" t="s">
        <v>815</v>
      </c>
      <c r="T185">
        <v>1569</v>
      </c>
      <c r="U185">
        <v>114</v>
      </c>
      <c r="V185">
        <v>562</v>
      </c>
      <c r="W185">
        <v>7252320</v>
      </c>
      <c r="X185">
        <v>4.01</v>
      </c>
    </row>
    <row r="186" spans="1:24">
      <c r="A186" s="2">
        <f>HYPERLINK("https://finance.naver.com/item/coinfo.nhn?code=055550", "A055550")</f>
        <v>0</v>
      </c>
      <c r="B186">
        <f>HYPERLINK("http://comp.fnguide.com/SVO2/ASP/SVD_Consensus.asp?pGB=1&amp;gicode=A055550&amp;cID=&amp;MenuYn=Y&amp;ReportGB=&amp;NewMenuID=108&amp;stkGb=701", "신한지주")</f>
        <v>0</v>
      </c>
      <c r="C186">
        <v>3</v>
      </c>
      <c r="D186">
        <v>34200</v>
      </c>
      <c r="E186">
        <v>2.36</v>
      </c>
      <c r="F186">
        <v>86843</v>
      </c>
      <c r="G186">
        <v>80241</v>
      </c>
      <c r="H186">
        <v>78358</v>
      </c>
      <c r="I186">
        <v>-153.93</v>
      </c>
      <c r="J186">
        <v>-134.62</v>
      </c>
      <c r="K186">
        <v>-129.12</v>
      </c>
      <c r="L186">
        <v>9.140000000000001</v>
      </c>
      <c r="M186" t="b">
        <v>1</v>
      </c>
      <c r="N186">
        <v>176652</v>
      </c>
      <c r="O186">
        <v>3300022</v>
      </c>
      <c r="P186" t="s">
        <v>184</v>
      </c>
      <c r="Q186">
        <v>9.119999999999999</v>
      </c>
      <c r="R186" t="s">
        <v>500</v>
      </c>
      <c r="S186" t="s">
        <v>816</v>
      </c>
      <c r="T186">
        <v>157074</v>
      </c>
      <c r="U186">
        <v>50463</v>
      </c>
      <c r="V186">
        <v>7004</v>
      </c>
      <c r="W186">
        <v>3926</v>
      </c>
      <c r="X186">
        <v>4.27</v>
      </c>
    </row>
    <row r="187" spans="1:24">
      <c r="A187" s="2">
        <f>HYPERLINK("https://finance.naver.com/item/coinfo.nhn?code=016800", "A016800")</f>
        <v>0</v>
      </c>
      <c r="B187">
        <f>HYPERLINK("http://comp.fnguide.com/SVO2/ASP/SVD_Consensus.asp?pGB=1&amp;gicode=A016800&amp;cID=&amp;MenuYn=Y&amp;ReportGB=&amp;NewMenuID=108&amp;stkGb=701", "퍼시스")</f>
        <v>0</v>
      </c>
      <c r="C187">
        <v>3</v>
      </c>
      <c r="D187">
        <v>29400</v>
      </c>
      <c r="E187">
        <v>2.12</v>
      </c>
      <c r="F187">
        <v>52543</v>
      </c>
      <c r="G187">
        <v>50020</v>
      </c>
      <c r="H187">
        <v>49301</v>
      </c>
      <c r="I187">
        <v>-78.72</v>
      </c>
      <c r="J187">
        <v>-70.14</v>
      </c>
      <c r="K187">
        <v>-67.69</v>
      </c>
      <c r="L187">
        <v>8.67</v>
      </c>
      <c r="M187" t="b">
        <v>1</v>
      </c>
      <c r="N187">
        <v>3381</v>
      </c>
      <c r="O187">
        <v>936</v>
      </c>
      <c r="P187" t="s">
        <v>185</v>
      </c>
      <c r="Q187">
        <v>54.71</v>
      </c>
      <c r="R187" t="s">
        <v>501</v>
      </c>
      <c r="S187" t="s">
        <v>817</v>
      </c>
      <c r="T187">
        <v>3047</v>
      </c>
      <c r="U187">
        <v>251</v>
      </c>
      <c r="V187">
        <v>2953</v>
      </c>
      <c r="W187">
        <v>2317576</v>
      </c>
      <c r="X187">
        <v>3.39</v>
      </c>
    </row>
    <row r="188" spans="1:24">
      <c r="A188" s="2">
        <f>HYPERLINK("https://finance.naver.com/item/coinfo.nhn?code=019180", "A019180")</f>
        <v>0</v>
      </c>
      <c r="B188">
        <f>HYPERLINK("http://comp.fnguide.com/SVO2/ASP/SVD_Consensus.asp?pGB=1&amp;gicode=A019180&amp;cID=&amp;MenuYn=Y&amp;ReportGB=&amp;NewMenuID=108&amp;stkGb=701", "티에이치엔")</f>
        <v>0</v>
      </c>
      <c r="C188">
        <v>3</v>
      </c>
      <c r="D188">
        <v>2445</v>
      </c>
      <c r="E188">
        <v>0.77</v>
      </c>
      <c r="F188">
        <v>9859</v>
      </c>
      <c r="G188">
        <v>6040</v>
      </c>
      <c r="H188">
        <v>4951</v>
      </c>
      <c r="I188">
        <v>-303.23</v>
      </c>
      <c r="J188">
        <v>-147.04</v>
      </c>
      <c r="K188">
        <v>-102.49</v>
      </c>
      <c r="L188">
        <v>22.48</v>
      </c>
      <c r="M188" t="b">
        <v>1</v>
      </c>
      <c r="N188">
        <v>440</v>
      </c>
      <c r="O188">
        <v>91950</v>
      </c>
      <c r="P188" t="s">
        <v>186</v>
      </c>
      <c r="Q188">
        <v>42.81</v>
      </c>
      <c r="R188" t="s">
        <v>502</v>
      </c>
      <c r="S188" t="s">
        <v>818</v>
      </c>
      <c r="T188">
        <v>4022</v>
      </c>
      <c r="U188">
        <v>215</v>
      </c>
      <c r="V188">
        <v>959</v>
      </c>
      <c r="X188">
        <v>1.64</v>
      </c>
    </row>
    <row r="189" spans="1:24">
      <c r="A189" s="2">
        <f>HYPERLINK("https://finance.naver.com/item/coinfo.nhn?code=016090", "A016090")</f>
        <v>0</v>
      </c>
      <c r="B189">
        <f>HYPERLINK("http://comp.fnguide.com/SVO2/ASP/SVD_Consensus.asp?pGB=1&amp;gicode=A016090&amp;cID=&amp;MenuYn=Y&amp;ReportGB=&amp;NewMenuID=108&amp;stkGb=701", "대현")</f>
        <v>0</v>
      </c>
      <c r="C189">
        <v>3</v>
      </c>
      <c r="D189">
        <v>1845</v>
      </c>
      <c r="E189">
        <v>1.56</v>
      </c>
      <c r="F189">
        <v>4704</v>
      </c>
      <c r="G189">
        <v>4581</v>
      </c>
      <c r="H189">
        <v>4545</v>
      </c>
      <c r="I189">
        <v>-154.97</v>
      </c>
      <c r="J189">
        <v>-148.27</v>
      </c>
      <c r="K189">
        <v>-146.36</v>
      </c>
      <c r="L189">
        <v>8.35</v>
      </c>
      <c r="M189" t="b">
        <v>1</v>
      </c>
      <c r="N189">
        <v>817</v>
      </c>
      <c r="O189">
        <v>163839</v>
      </c>
      <c r="P189" t="s">
        <v>187</v>
      </c>
      <c r="Q189">
        <v>47.28</v>
      </c>
      <c r="R189" t="s">
        <v>503</v>
      </c>
      <c r="S189" t="s">
        <v>819</v>
      </c>
      <c r="T189">
        <v>2996</v>
      </c>
      <c r="U189">
        <v>202</v>
      </c>
      <c r="V189">
        <v>376</v>
      </c>
      <c r="X189">
        <v>4.01</v>
      </c>
    </row>
    <row r="190" spans="1:24">
      <c r="A190" s="2">
        <f>HYPERLINK("https://finance.naver.com/item/coinfo.nhn?code=005880", "A005880")</f>
        <v>0</v>
      </c>
      <c r="B190">
        <f>HYPERLINK("http://comp.fnguide.com/SVO2/ASP/SVD_Consensus.asp?pGB=1&amp;gicode=A005880&amp;cID=&amp;MenuYn=Y&amp;ReportGB=&amp;NewMenuID=108&amp;stkGb=701", "대한해운")</f>
        <v>0</v>
      </c>
      <c r="C190">
        <v>3</v>
      </c>
      <c r="D190">
        <v>3160</v>
      </c>
      <c r="E190">
        <v>-0.16</v>
      </c>
      <c r="F190">
        <v>5544</v>
      </c>
      <c r="G190">
        <v>4325</v>
      </c>
      <c r="H190">
        <v>3978</v>
      </c>
      <c r="I190">
        <v>-75.44</v>
      </c>
      <c r="J190">
        <v>-36.88</v>
      </c>
      <c r="K190">
        <v>-25.88</v>
      </c>
      <c r="L190">
        <v>12.59</v>
      </c>
      <c r="M190" t="b">
        <v>0</v>
      </c>
      <c r="N190">
        <v>7719</v>
      </c>
      <c r="O190">
        <v>16335139</v>
      </c>
      <c r="P190" t="s">
        <v>188</v>
      </c>
      <c r="Q190">
        <v>53.53</v>
      </c>
      <c r="R190" t="s">
        <v>504</v>
      </c>
      <c r="S190" t="s">
        <v>820</v>
      </c>
      <c r="T190">
        <v>10057</v>
      </c>
      <c r="U190">
        <v>1288</v>
      </c>
      <c r="V190">
        <v>371</v>
      </c>
      <c r="W190">
        <v>8386070</v>
      </c>
    </row>
    <row r="191" spans="1:24">
      <c r="A191" s="2">
        <f>HYPERLINK("https://finance.naver.com/item/coinfo.nhn?code=002310", "A002310")</f>
        <v>0</v>
      </c>
      <c r="B191">
        <f>HYPERLINK("http://comp.fnguide.com/SVO2/ASP/SVD_Consensus.asp?pGB=1&amp;gicode=A002310&amp;cID=&amp;MenuYn=Y&amp;ReportGB=&amp;NewMenuID=108&amp;stkGb=701", "아세아제지")</f>
        <v>0</v>
      </c>
      <c r="C191">
        <v>3</v>
      </c>
      <c r="D191">
        <v>39400</v>
      </c>
      <c r="E191">
        <v>0.22</v>
      </c>
      <c r="F191">
        <v>89637</v>
      </c>
      <c r="G191">
        <v>75024</v>
      </c>
      <c r="H191">
        <v>70856</v>
      </c>
      <c r="I191">
        <v>-127.5</v>
      </c>
      <c r="J191">
        <v>-90.42</v>
      </c>
      <c r="K191">
        <v>-79.84</v>
      </c>
      <c r="L191">
        <v>10.95</v>
      </c>
      <c r="M191" t="b">
        <v>1</v>
      </c>
      <c r="N191">
        <v>3529</v>
      </c>
      <c r="O191">
        <v>163978</v>
      </c>
      <c r="P191" t="s">
        <v>189</v>
      </c>
      <c r="Q191">
        <v>50.07</v>
      </c>
      <c r="R191" t="s">
        <v>505</v>
      </c>
      <c r="S191" t="s">
        <v>821</v>
      </c>
      <c r="T191">
        <v>6977</v>
      </c>
      <c r="U191">
        <v>711</v>
      </c>
      <c r="V191">
        <v>6860</v>
      </c>
      <c r="X191">
        <v>2</v>
      </c>
    </row>
    <row r="192" spans="1:24">
      <c r="A192" s="2">
        <f>HYPERLINK("https://finance.naver.com/item/coinfo.nhn?code=001390", "A001390")</f>
        <v>0</v>
      </c>
      <c r="B192">
        <f>HYPERLINK("http://comp.fnguide.com/SVO2/ASP/SVD_Consensus.asp?pGB=1&amp;gicode=A001390&amp;cID=&amp;MenuYn=Y&amp;ReportGB=&amp;NewMenuID=108&amp;stkGb=701", "KG케미칼")</f>
        <v>0</v>
      </c>
      <c r="C192">
        <v>3</v>
      </c>
      <c r="D192">
        <v>21400</v>
      </c>
      <c r="E192">
        <v>0.35</v>
      </c>
      <c r="F192">
        <v>57099</v>
      </c>
      <c r="G192">
        <v>38796</v>
      </c>
      <c r="H192">
        <v>33576</v>
      </c>
      <c r="I192">
        <v>-166.82</v>
      </c>
      <c r="J192">
        <v>-81.29000000000001</v>
      </c>
      <c r="K192">
        <v>-56.9</v>
      </c>
      <c r="L192">
        <v>17.11</v>
      </c>
      <c r="M192" t="b">
        <v>1</v>
      </c>
      <c r="N192">
        <v>2785</v>
      </c>
      <c r="O192">
        <v>505155</v>
      </c>
      <c r="P192" t="s">
        <v>190</v>
      </c>
      <c r="Q192">
        <v>46.62</v>
      </c>
      <c r="R192" t="s">
        <v>506</v>
      </c>
      <c r="S192" t="s">
        <v>822</v>
      </c>
      <c r="T192">
        <v>20684</v>
      </c>
      <c r="U192">
        <v>1180</v>
      </c>
      <c r="V192">
        <v>7569</v>
      </c>
      <c r="W192">
        <v>200910</v>
      </c>
      <c r="X192">
        <v>2.92</v>
      </c>
    </row>
    <row r="193" spans="1:24">
      <c r="A193" s="2">
        <f>HYPERLINK("https://finance.naver.com/item/coinfo.nhn?code=009410", "A009410")</f>
        <v>0</v>
      </c>
      <c r="B193">
        <f>HYPERLINK("http://comp.fnguide.com/SVO2/ASP/SVD_Consensus.asp?pGB=1&amp;gicode=A009410&amp;cID=&amp;MenuYn=Y&amp;ReportGB=&amp;NewMenuID=108&amp;stkGb=701", "태영건설")</f>
        <v>0</v>
      </c>
      <c r="C193">
        <v>3</v>
      </c>
      <c r="D193">
        <v>10100</v>
      </c>
      <c r="E193">
        <v>0.02</v>
      </c>
      <c r="F193">
        <v>45709</v>
      </c>
      <c r="G193">
        <v>36097</v>
      </c>
      <c r="H193">
        <v>33355</v>
      </c>
      <c r="I193">
        <v>-352.56</v>
      </c>
      <c r="J193">
        <v>-257.39</v>
      </c>
      <c r="K193">
        <v>-230.25</v>
      </c>
      <c r="L193">
        <v>12.28</v>
      </c>
      <c r="M193" t="b">
        <v>1</v>
      </c>
      <c r="N193">
        <v>3929</v>
      </c>
      <c r="O193">
        <v>289173</v>
      </c>
      <c r="P193" t="s">
        <v>191</v>
      </c>
      <c r="Q193">
        <v>49.32</v>
      </c>
      <c r="R193" t="s">
        <v>507</v>
      </c>
      <c r="S193" t="s">
        <v>823</v>
      </c>
      <c r="T193">
        <v>39244</v>
      </c>
      <c r="U193">
        <v>3912</v>
      </c>
      <c r="V193">
        <v>1152</v>
      </c>
      <c r="W193">
        <v>7780</v>
      </c>
      <c r="X193">
        <v>2.51</v>
      </c>
    </row>
    <row r="194" spans="1:24">
      <c r="A194" s="2">
        <f>HYPERLINK("https://finance.naver.com/item/coinfo.nhn?code=105560", "A105560")</f>
        <v>0</v>
      </c>
      <c r="B194">
        <f>HYPERLINK("http://comp.fnguide.com/SVO2/ASP/SVD_Consensus.asp?pGB=1&amp;gicode=A105560&amp;cID=&amp;MenuYn=Y&amp;ReportGB=&amp;NewMenuID=108&amp;stkGb=701", "KB금융")</f>
        <v>0</v>
      </c>
      <c r="C194">
        <v>3</v>
      </c>
      <c r="D194">
        <v>46800</v>
      </c>
      <c r="E194">
        <v>2.38</v>
      </c>
      <c r="F194">
        <v>112571</v>
      </c>
      <c r="G194">
        <v>104360</v>
      </c>
      <c r="H194">
        <v>102017</v>
      </c>
      <c r="I194">
        <v>-140.54</v>
      </c>
      <c r="J194">
        <v>-122.99</v>
      </c>
      <c r="K194">
        <v>-117.99</v>
      </c>
      <c r="L194">
        <v>9.08</v>
      </c>
      <c r="M194" t="b">
        <v>1</v>
      </c>
      <c r="N194">
        <v>194598</v>
      </c>
      <c r="O194">
        <v>1879336</v>
      </c>
      <c r="P194" t="s">
        <v>192</v>
      </c>
      <c r="Q194">
        <v>9.960000000000001</v>
      </c>
      <c r="R194" t="s">
        <v>508</v>
      </c>
      <c r="S194" t="s">
        <v>824</v>
      </c>
      <c r="T194">
        <v>146392</v>
      </c>
      <c r="U194">
        <v>44906</v>
      </c>
      <c r="V194">
        <v>7923</v>
      </c>
      <c r="W194">
        <v>26173585</v>
      </c>
      <c r="X194">
        <v>4.64</v>
      </c>
    </row>
    <row r="195" spans="1:24">
      <c r="A195" s="2">
        <f>HYPERLINK("https://finance.naver.com/item/coinfo.nhn?code=033660", "A033660")</f>
        <v>0</v>
      </c>
      <c r="B195">
        <f>HYPERLINK("http://comp.fnguide.com/SVO2/ASP/SVD_Consensus.asp?pGB=1&amp;gicode=A033660&amp;cID=&amp;MenuYn=Y&amp;ReportGB=&amp;NewMenuID=108&amp;stkGb=701", "아주캐피탈")</f>
        <v>0</v>
      </c>
      <c r="C195">
        <v>3</v>
      </c>
      <c r="D195">
        <v>13200</v>
      </c>
      <c r="E195">
        <v>0</v>
      </c>
      <c r="F195">
        <v>21800</v>
      </c>
      <c r="G195">
        <v>17519</v>
      </c>
      <c r="H195">
        <v>16299</v>
      </c>
      <c r="I195">
        <v>-65.15000000000001</v>
      </c>
      <c r="J195">
        <v>-32.72</v>
      </c>
      <c r="K195">
        <v>-23.47</v>
      </c>
      <c r="L195">
        <v>11.86</v>
      </c>
      <c r="M195" t="b">
        <v>1</v>
      </c>
      <c r="N195">
        <v>7596</v>
      </c>
      <c r="O195">
        <v>55112</v>
      </c>
      <c r="P195" t="s">
        <v>193</v>
      </c>
      <c r="Q195">
        <v>74.05</v>
      </c>
      <c r="R195" t="s">
        <v>509</v>
      </c>
      <c r="S195" t="s">
        <v>825</v>
      </c>
      <c r="T195">
        <v>2293</v>
      </c>
      <c r="U195">
        <v>1338</v>
      </c>
      <c r="V195">
        <v>1765</v>
      </c>
      <c r="W195">
        <v>2067090</v>
      </c>
      <c r="X195">
        <v>5.22</v>
      </c>
    </row>
    <row r="196" spans="1:24">
      <c r="A196" s="2">
        <f>HYPERLINK("https://finance.naver.com/item/coinfo.nhn?code=175330", "A175330")</f>
        <v>0</v>
      </c>
      <c r="B196">
        <f>HYPERLINK("http://comp.fnguide.com/SVO2/ASP/SVD_Consensus.asp?pGB=1&amp;gicode=A175330&amp;cID=&amp;MenuYn=Y&amp;ReportGB=&amp;NewMenuID=108&amp;stkGb=701", "JB금융지주")</f>
        <v>0</v>
      </c>
      <c r="C196">
        <v>3</v>
      </c>
      <c r="D196">
        <v>5640</v>
      </c>
      <c r="E196">
        <v>0.93</v>
      </c>
      <c r="F196">
        <v>21002</v>
      </c>
      <c r="G196">
        <v>19112</v>
      </c>
      <c r="H196">
        <v>18573</v>
      </c>
      <c r="I196">
        <v>-272.37</v>
      </c>
      <c r="J196">
        <v>-238.86</v>
      </c>
      <c r="K196">
        <v>-229.3</v>
      </c>
      <c r="L196">
        <v>9.390000000000001</v>
      </c>
      <c r="M196" t="b">
        <v>1</v>
      </c>
      <c r="N196">
        <v>11110</v>
      </c>
      <c r="O196">
        <v>622784</v>
      </c>
      <c r="P196" t="s">
        <v>194</v>
      </c>
      <c r="Q196">
        <v>10.57</v>
      </c>
      <c r="R196" t="s">
        <v>510</v>
      </c>
      <c r="S196" t="s">
        <v>826</v>
      </c>
      <c r="T196">
        <v>18925</v>
      </c>
      <c r="U196">
        <v>4849</v>
      </c>
      <c r="V196">
        <v>1736</v>
      </c>
      <c r="W196">
        <v>2638818</v>
      </c>
      <c r="X196">
        <v>5.46</v>
      </c>
    </row>
    <row r="197" spans="1:24">
      <c r="A197" s="2">
        <f>HYPERLINK("https://finance.naver.com/item/coinfo.nhn?code=023590", "A023590")</f>
        <v>0</v>
      </c>
      <c r="B197">
        <f>HYPERLINK("http://comp.fnguide.com/SVO2/ASP/SVD_Consensus.asp?pGB=1&amp;gicode=A023590&amp;cID=&amp;MenuYn=Y&amp;ReportGB=&amp;NewMenuID=108&amp;stkGb=701", "다우기술")</f>
        <v>0</v>
      </c>
      <c r="C197">
        <v>3</v>
      </c>
      <c r="D197">
        <v>23450</v>
      </c>
      <c r="E197">
        <v>0.18</v>
      </c>
      <c r="F197">
        <v>48324</v>
      </c>
      <c r="G197">
        <v>37850</v>
      </c>
      <c r="H197">
        <v>34862</v>
      </c>
      <c r="I197">
        <v>-106.07</v>
      </c>
      <c r="J197">
        <v>-61.41</v>
      </c>
      <c r="K197">
        <v>-48.67</v>
      </c>
      <c r="L197">
        <v>12.49</v>
      </c>
      <c r="M197" t="b">
        <v>1</v>
      </c>
      <c r="N197">
        <v>10521</v>
      </c>
      <c r="O197">
        <v>878897</v>
      </c>
      <c r="P197" t="s">
        <v>195</v>
      </c>
      <c r="Q197">
        <v>46.72</v>
      </c>
      <c r="R197" t="s">
        <v>511</v>
      </c>
      <c r="S197" t="s">
        <v>827</v>
      </c>
      <c r="T197">
        <v>32455</v>
      </c>
      <c r="U197">
        <v>5075</v>
      </c>
      <c r="V197">
        <v>4130</v>
      </c>
      <c r="W197">
        <v>1600000</v>
      </c>
      <c r="X197">
        <v>2.11</v>
      </c>
    </row>
    <row r="198" spans="1:24">
      <c r="A198" s="2">
        <f>HYPERLINK("https://finance.naver.com/item/coinfo.nhn?code=010280", "A010280")</f>
        <v>0</v>
      </c>
      <c r="B198">
        <f>HYPERLINK("http://comp.fnguide.com/SVO2/ASP/SVD_Consensus.asp?pGB=1&amp;gicode=A010280&amp;cID=&amp;MenuYn=Y&amp;ReportGB=&amp;NewMenuID=108&amp;stkGb=701", "쌍용정보통신")</f>
        <v>0</v>
      </c>
      <c r="C198">
        <v>2</v>
      </c>
      <c r="D198">
        <v>1585</v>
      </c>
      <c r="E198">
        <v>-0.61</v>
      </c>
      <c r="F198">
        <v>2494</v>
      </c>
      <c r="G198">
        <v>1654</v>
      </c>
      <c r="H198">
        <v>1414</v>
      </c>
      <c r="I198">
        <v>-57.33</v>
      </c>
      <c r="J198">
        <v>-4.33</v>
      </c>
      <c r="K198">
        <v>10.79</v>
      </c>
      <c r="L198">
        <v>18.18</v>
      </c>
      <c r="M198" t="b">
        <v>0</v>
      </c>
      <c r="N198">
        <v>641</v>
      </c>
      <c r="O198">
        <v>1230747</v>
      </c>
      <c r="P198" t="s">
        <v>196</v>
      </c>
      <c r="Q198">
        <v>40</v>
      </c>
      <c r="R198" t="s">
        <v>512</v>
      </c>
      <c r="S198" t="s">
        <v>828</v>
      </c>
      <c r="T198">
        <v>1083</v>
      </c>
      <c r="U198">
        <v>5</v>
      </c>
      <c r="V198">
        <v>32</v>
      </c>
    </row>
    <row r="199" spans="1:24">
      <c r="A199" s="2">
        <f>HYPERLINK("https://finance.naver.com/item/coinfo.nhn?code=264660", "A264660")</f>
        <v>0</v>
      </c>
      <c r="B199">
        <f>HYPERLINK("http://comp.fnguide.com/SVO2/ASP/SVD_Consensus.asp?pGB=1&amp;gicode=A264660&amp;cID=&amp;MenuYn=Y&amp;ReportGB=&amp;NewMenuID=108&amp;stkGb=701", "씨앤지하이테크")</f>
        <v>0</v>
      </c>
      <c r="C199">
        <v>2</v>
      </c>
      <c r="D199">
        <v>12700</v>
      </c>
      <c r="E199">
        <v>0.68</v>
      </c>
      <c r="F199">
        <v>25258</v>
      </c>
      <c r="G199">
        <v>15083</v>
      </c>
      <c r="H199">
        <v>12181</v>
      </c>
      <c r="I199">
        <v>-98.88</v>
      </c>
      <c r="J199">
        <v>-18.76</v>
      </c>
      <c r="K199">
        <v>4.09</v>
      </c>
      <c r="L199">
        <v>24.24</v>
      </c>
      <c r="M199" t="b">
        <v>1</v>
      </c>
      <c r="N199">
        <v>1068</v>
      </c>
      <c r="O199">
        <v>118490</v>
      </c>
      <c r="P199" t="s">
        <v>197</v>
      </c>
      <c r="Q199">
        <v>33.44</v>
      </c>
      <c r="R199" t="s">
        <v>513</v>
      </c>
      <c r="S199" t="s">
        <v>829</v>
      </c>
      <c r="T199">
        <v>1288</v>
      </c>
      <c r="U199">
        <v>145</v>
      </c>
      <c r="V199">
        <v>1404</v>
      </c>
      <c r="W199">
        <v>299270</v>
      </c>
      <c r="X199">
        <v>1.7</v>
      </c>
    </row>
    <row r="200" spans="1:24">
      <c r="A200" s="2">
        <f>HYPERLINK("https://finance.naver.com/item/coinfo.nhn?code=297890", "A297890")</f>
        <v>0</v>
      </c>
      <c r="B200">
        <f>HYPERLINK("http://comp.fnguide.com/SVO2/ASP/SVD_Consensus.asp?pGB=1&amp;gicode=A297890&amp;cID=&amp;MenuYn=Y&amp;ReportGB=&amp;NewMenuID=108&amp;stkGb=701", "엘이티")</f>
        <v>0</v>
      </c>
      <c r="C200">
        <v>2</v>
      </c>
      <c r="D200">
        <v>15700</v>
      </c>
      <c r="F200">
        <v>33623</v>
      </c>
      <c r="G200">
        <v>15990</v>
      </c>
      <c r="H200">
        <v>10961</v>
      </c>
      <c r="I200">
        <v>-114.16</v>
      </c>
      <c r="J200">
        <v>-1.85</v>
      </c>
      <c r="K200">
        <v>30.18</v>
      </c>
      <c r="L200">
        <v>62.96</v>
      </c>
      <c r="M200" t="b">
        <v>0</v>
      </c>
      <c r="N200">
        <v>1116</v>
      </c>
      <c r="O200">
        <v>33855</v>
      </c>
      <c r="P200" t="s">
        <v>198</v>
      </c>
      <c r="Q200">
        <v>65.56</v>
      </c>
      <c r="R200" t="s">
        <v>514</v>
      </c>
      <c r="S200" t="s">
        <v>830</v>
      </c>
      <c r="T200">
        <v>469</v>
      </c>
      <c r="U200">
        <v>109</v>
      </c>
      <c r="V200">
        <v>1138</v>
      </c>
    </row>
    <row r="201" spans="1:24">
      <c r="A201" s="2">
        <f>HYPERLINK("https://finance.naver.com/item/coinfo.nhn?code=022220", "A022220")</f>
        <v>0</v>
      </c>
      <c r="B201">
        <f>HYPERLINK("http://comp.fnguide.com/SVO2/ASP/SVD_Consensus.asp?pGB=1&amp;gicode=A022220&amp;cID=&amp;MenuYn=Y&amp;ReportGB=&amp;NewMenuID=108&amp;stkGb=701", "정산애강")</f>
        <v>0</v>
      </c>
      <c r="C201">
        <v>2</v>
      </c>
      <c r="D201">
        <v>1925</v>
      </c>
      <c r="E201">
        <v>-0.79</v>
      </c>
      <c r="F201">
        <v>2775</v>
      </c>
      <c r="G201">
        <v>2071</v>
      </c>
      <c r="H201">
        <v>1870</v>
      </c>
      <c r="I201">
        <v>-44.13</v>
      </c>
      <c r="J201">
        <v>-7.57</v>
      </c>
      <c r="K201">
        <v>2.86</v>
      </c>
      <c r="L201">
        <v>13.82</v>
      </c>
      <c r="M201" t="b">
        <v>1</v>
      </c>
      <c r="N201">
        <v>997</v>
      </c>
      <c r="O201">
        <v>188173</v>
      </c>
      <c r="P201" t="s">
        <v>199</v>
      </c>
      <c r="Q201">
        <v>47.53</v>
      </c>
      <c r="R201" t="s">
        <v>515</v>
      </c>
      <c r="S201" t="s">
        <v>831</v>
      </c>
      <c r="T201">
        <v>714</v>
      </c>
      <c r="U201">
        <v>102</v>
      </c>
      <c r="V201">
        <v>222</v>
      </c>
    </row>
    <row r="202" spans="1:24">
      <c r="A202" s="2">
        <f>HYPERLINK("https://finance.naver.com/item/coinfo.nhn?code=052790", "A052790")</f>
        <v>0</v>
      </c>
      <c r="B202">
        <f>HYPERLINK("http://comp.fnguide.com/SVO2/ASP/SVD_Consensus.asp?pGB=1&amp;gicode=A052790&amp;cID=&amp;MenuYn=Y&amp;ReportGB=&amp;NewMenuID=108&amp;stkGb=701", "액토즈소프트")</f>
        <v>0</v>
      </c>
      <c r="C202">
        <v>2</v>
      </c>
      <c r="D202">
        <v>11450</v>
      </c>
      <c r="E202">
        <v>-0.5</v>
      </c>
      <c r="F202">
        <v>13384</v>
      </c>
      <c r="G202">
        <v>11839</v>
      </c>
      <c r="H202">
        <v>11398</v>
      </c>
      <c r="I202">
        <v>-16.89</v>
      </c>
      <c r="J202">
        <v>-3.39</v>
      </c>
      <c r="K202">
        <v>0.46</v>
      </c>
      <c r="L202">
        <v>9.880000000000001</v>
      </c>
      <c r="M202" t="b">
        <v>1</v>
      </c>
      <c r="N202">
        <v>1297</v>
      </c>
      <c r="O202">
        <v>51052</v>
      </c>
      <c r="P202" t="s">
        <v>200</v>
      </c>
      <c r="Q202">
        <v>51.08</v>
      </c>
      <c r="R202" t="s">
        <v>516</v>
      </c>
      <c r="S202" t="s">
        <v>832</v>
      </c>
      <c r="T202">
        <v>627</v>
      </c>
      <c r="U202">
        <v>257</v>
      </c>
      <c r="V202">
        <v>1833</v>
      </c>
      <c r="W202">
        <v>406091</v>
      </c>
    </row>
    <row r="203" spans="1:24">
      <c r="A203" s="2">
        <f>HYPERLINK("https://finance.naver.com/item/coinfo.nhn?code=198080", "A198080")</f>
        <v>0</v>
      </c>
      <c r="B203">
        <f>HYPERLINK("http://comp.fnguide.com/SVO2/ASP/SVD_Consensus.asp?pGB=1&amp;gicode=A198080&amp;cID=&amp;MenuYn=Y&amp;ReportGB=&amp;NewMenuID=108&amp;stkGb=701", "엔피디")</f>
        <v>0</v>
      </c>
      <c r="C203">
        <v>2</v>
      </c>
      <c r="D203">
        <v>4140</v>
      </c>
      <c r="F203">
        <v>10555</v>
      </c>
      <c r="G203">
        <v>5560</v>
      </c>
      <c r="H203">
        <v>4136</v>
      </c>
      <c r="I203">
        <v>-154.96</v>
      </c>
      <c r="J203">
        <v>-34.31</v>
      </c>
      <c r="K203">
        <v>0.1</v>
      </c>
      <c r="L203">
        <v>37.63</v>
      </c>
      <c r="M203" t="b">
        <v>0</v>
      </c>
      <c r="N203">
        <v>892</v>
      </c>
      <c r="O203">
        <v>475434</v>
      </c>
      <c r="P203" t="s">
        <v>201</v>
      </c>
      <c r="Q203">
        <v>64.08</v>
      </c>
      <c r="R203" t="s">
        <v>517</v>
      </c>
      <c r="S203" t="s">
        <v>830</v>
      </c>
      <c r="T203">
        <v>3087</v>
      </c>
      <c r="U203">
        <v>262</v>
      </c>
      <c r="V203">
        <v>1167</v>
      </c>
    </row>
    <row r="204" spans="1:24">
      <c r="A204" s="2">
        <f>HYPERLINK("https://finance.naver.com/item/coinfo.nhn?code=122990", "A122990")</f>
        <v>0</v>
      </c>
      <c r="B204">
        <f>HYPERLINK("http://comp.fnguide.com/SVO2/ASP/SVD_Consensus.asp?pGB=1&amp;gicode=A122990&amp;cID=&amp;MenuYn=Y&amp;ReportGB=&amp;NewMenuID=108&amp;stkGb=701", "와이솔")</f>
        <v>0</v>
      </c>
      <c r="C204">
        <v>2</v>
      </c>
      <c r="D204">
        <v>16350</v>
      </c>
      <c r="E204">
        <v>-0.48</v>
      </c>
      <c r="F204">
        <v>23677</v>
      </c>
      <c r="G204">
        <v>16860</v>
      </c>
      <c r="H204">
        <v>14916</v>
      </c>
      <c r="I204">
        <v>-44.81</v>
      </c>
      <c r="J204">
        <v>-3.12</v>
      </c>
      <c r="K204">
        <v>8.77</v>
      </c>
      <c r="L204">
        <v>15.33</v>
      </c>
      <c r="M204" t="b">
        <v>1</v>
      </c>
      <c r="N204">
        <v>4606</v>
      </c>
      <c r="O204">
        <v>305148</v>
      </c>
      <c r="P204" t="s">
        <v>202</v>
      </c>
      <c r="Q204">
        <v>36.09</v>
      </c>
      <c r="R204" t="s">
        <v>518</v>
      </c>
      <c r="S204" t="s">
        <v>833</v>
      </c>
      <c r="T204">
        <v>3703</v>
      </c>
      <c r="U204">
        <v>400</v>
      </c>
      <c r="V204">
        <v>1203</v>
      </c>
      <c r="W204">
        <v>515408</v>
      </c>
      <c r="X204">
        <v>1.66</v>
      </c>
    </row>
    <row r="205" spans="1:24">
      <c r="A205" s="2">
        <f>HYPERLINK("https://finance.naver.com/item/coinfo.nhn?code=057540", "A057540")</f>
        <v>0</v>
      </c>
      <c r="B205">
        <f>HYPERLINK("http://comp.fnguide.com/SVO2/ASP/SVD_Consensus.asp?pGB=1&amp;gicode=A057540&amp;cID=&amp;MenuYn=Y&amp;ReportGB=&amp;NewMenuID=108&amp;stkGb=701", "옴니시스템")</f>
        <v>0</v>
      </c>
      <c r="C205">
        <v>2</v>
      </c>
      <c r="D205">
        <v>2740</v>
      </c>
      <c r="E205">
        <v>-0.1</v>
      </c>
      <c r="F205">
        <v>4007</v>
      </c>
      <c r="G205">
        <v>2971</v>
      </c>
      <c r="H205">
        <v>2675</v>
      </c>
      <c r="I205">
        <v>-46.24</v>
      </c>
      <c r="J205">
        <v>-8.43</v>
      </c>
      <c r="K205">
        <v>2.36</v>
      </c>
      <c r="L205">
        <v>14.01</v>
      </c>
      <c r="M205" t="b">
        <v>1</v>
      </c>
      <c r="N205">
        <v>1194</v>
      </c>
      <c r="O205">
        <v>1423405</v>
      </c>
      <c r="P205" t="s">
        <v>203</v>
      </c>
      <c r="Q205">
        <v>19.93</v>
      </c>
      <c r="R205" t="s">
        <v>519</v>
      </c>
      <c r="S205" t="s">
        <v>834</v>
      </c>
      <c r="T205">
        <v>940</v>
      </c>
      <c r="U205">
        <v>-20</v>
      </c>
      <c r="V205">
        <v>463</v>
      </c>
      <c r="W205">
        <v>2105261</v>
      </c>
    </row>
    <row r="206" spans="1:24">
      <c r="A206" s="2">
        <f>HYPERLINK("https://finance.naver.com/item/coinfo.nhn?code=056190", "A056190")</f>
        <v>0</v>
      </c>
      <c r="B206">
        <f>HYPERLINK("http://comp.fnguide.com/SVO2/ASP/SVD_Consensus.asp?pGB=1&amp;gicode=A056190&amp;cID=&amp;MenuYn=Y&amp;ReportGB=&amp;NewMenuID=108&amp;stkGb=701", "에스에프에이")</f>
        <v>0</v>
      </c>
      <c r="C206">
        <v>2</v>
      </c>
      <c r="D206">
        <v>37400</v>
      </c>
      <c r="E206">
        <v>0.4</v>
      </c>
      <c r="F206">
        <v>59775</v>
      </c>
      <c r="G206">
        <v>38517</v>
      </c>
      <c r="H206">
        <v>32455</v>
      </c>
      <c r="I206">
        <v>-59.83</v>
      </c>
      <c r="J206">
        <v>-2.99</v>
      </c>
      <c r="K206">
        <v>13.22</v>
      </c>
      <c r="L206">
        <v>19.57</v>
      </c>
      <c r="M206" t="b">
        <v>1</v>
      </c>
      <c r="N206">
        <v>13430</v>
      </c>
      <c r="O206">
        <v>174150</v>
      </c>
      <c r="P206" t="s">
        <v>204</v>
      </c>
      <c r="Q206">
        <v>54.02</v>
      </c>
      <c r="R206" t="s">
        <v>520</v>
      </c>
      <c r="S206" t="s">
        <v>835</v>
      </c>
      <c r="T206">
        <v>15777</v>
      </c>
      <c r="U206">
        <v>2142</v>
      </c>
      <c r="V206">
        <v>3676</v>
      </c>
      <c r="X206">
        <v>2.28</v>
      </c>
    </row>
    <row r="207" spans="1:24">
      <c r="A207" s="2">
        <f>HYPERLINK("https://finance.naver.com/item/coinfo.nhn?code=011780", "A011780")</f>
        <v>0</v>
      </c>
      <c r="B207">
        <f>HYPERLINK("http://comp.fnguide.com/SVO2/ASP/SVD_Consensus.asp?pGB=1&amp;gicode=A011780&amp;cID=&amp;MenuYn=Y&amp;ReportGB=&amp;NewMenuID=108&amp;stkGb=701", "금호석유")</f>
        <v>0</v>
      </c>
      <c r="C207">
        <v>2</v>
      </c>
      <c r="D207">
        <v>142000</v>
      </c>
      <c r="E207">
        <v>0.32</v>
      </c>
      <c r="F207">
        <v>209136</v>
      </c>
      <c r="G207">
        <v>147000</v>
      </c>
      <c r="H207">
        <v>129278</v>
      </c>
      <c r="I207">
        <v>-47.28</v>
      </c>
      <c r="J207">
        <v>-3.52</v>
      </c>
      <c r="K207">
        <v>8.960000000000001</v>
      </c>
      <c r="L207">
        <v>15.79</v>
      </c>
      <c r="M207" t="b">
        <v>1</v>
      </c>
      <c r="N207">
        <v>43264</v>
      </c>
      <c r="O207">
        <v>249504</v>
      </c>
      <c r="P207" t="s">
        <v>205</v>
      </c>
      <c r="Q207">
        <v>24.87</v>
      </c>
      <c r="R207" t="s">
        <v>521</v>
      </c>
      <c r="S207" t="s">
        <v>836</v>
      </c>
      <c r="T207">
        <v>49779</v>
      </c>
      <c r="U207">
        <v>3678</v>
      </c>
      <c r="V207">
        <v>8796</v>
      </c>
      <c r="W207">
        <v>5592528</v>
      </c>
      <c r="X207">
        <v>1.94</v>
      </c>
    </row>
    <row r="208" spans="1:24">
      <c r="A208" s="2">
        <f>HYPERLINK("https://finance.naver.com/item/coinfo.nhn?code=039440", "A039440")</f>
        <v>0</v>
      </c>
      <c r="B208">
        <f>HYPERLINK("http://comp.fnguide.com/SVO2/ASP/SVD_Consensus.asp?pGB=1&amp;gicode=A039440&amp;cID=&amp;MenuYn=Y&amp;ReportGB=&amp;NewMenuID=108&amp;stkGb=701", "에스티아이")</f>
        <v>0</v>
      </c>
      <c r="C208">
        <v>2</v>
      </c>
      <c r="D208">
        <v>15950</v>
      </c>
      <c r="E208">
        <v>6.54</v>
      </c>
      <c r="F208">
        <v>25579</v>
      </c>
      <c r="G208">
        <v>16895</v>
      </c>
      <c r="H208">
        <v>14419</v>
      </c>
      <c r="I208">
        <v>-60.37</v>
      </c>
      <c r="J208">
        <v>-5.93</v>
      </c>
      <c r="K208">
        <v>9.6</v>
      </c>
      <c r="L208">
        <v>18.36</v>
      </c>
      <c r="M208" t="b">
        <v>1</v>
      </c>
      <c r="N208">
        <v>2525</v>
      </c>
      <c r="O208">
        <v>80026</v>
      </c>
      <c r="P208" t="s">
        <v>206</v>
      </c>
      <c r="Q208">
        <v>27.06</v>
      </c>
      <c r="R208" t="s">
        <v>522</v>
      </c>
      <c r="S208" t="s">
        <v>837</v>
      </c>
      <c r="T208">
        <v>3189</v>
      </c>
      <c r="U208">
        <v>271</v>
      </c>
      <c r="V208">
        <v>1466</v>
      </c>
      <c r="W208">
        <v>811400</v>
      </c>
      <c r="X208">
        <v>1.21</v>
      </c>
    </row>
    <row r="209" spans="1:24">
      <c r="A209" s="2">
        <f>HYPERLINK("https://finance.naver.com/item/coinfo.nhn?code=013700", "A013700")</f>
        <v>0</v>
      </c>
      <c r="B209">
        <f>HYPERLINK("http://comp.fnguide.com/SVO2/ASP/SVD_Consensus.asp?pGB=1&amp;gicode=A013700&amp;cID=&amp;MenuYn=Y&amp;ReportGB=&amp;NewMenuID=108&amp;stkGb=701", "까뮤이앤씨")</f>
        <v>0</v>
      </c>
      <c r="C209">
        <v>2</v>
      </c>
      <c r="D209">
        <v>2060</v>
      </c>
      <c r="E209">
        <v>0.24</v>
      </c>
      <c r="F209">
        <v>2781</v>
      </c>
      <c r="G209">
        <v>2072</v>
      </c>
      <c r="H209">
        <v>1869</v>
      </c>
      <c r="I209">
        <v>-34.98</v>
      </c>
      <c r="J209">
        <v>-0.5600000000000001</v>
      </c>
      <c r="K209">
        <v>9.25</v>
      </c>
      <c r="L209">
        <v>13.87</v>
      </c>
      <c r="M209" t="b">
        <v>1</v>
      </c>
      <c r="N209">
        <v>930</v>
      </c>
      <c r="O209">
        <v>1568796</v>
      </c>
      <c r="P209" t="s">
        <v>207</v>
      </c>
      <c r="Q209">
        <v>37.01</v>
      </c>
      <c r="R209" t="s">
        <v>523</v>
      </c>
      <c r="S209" t="s">
        <v>838</v>
      </c>
      <c r="T209">
        <v>2834</v>
      </c>
      <c r="U209">
        <v>148</v>
      </c>
      <c r="V209">
        <v>299</v>
      </c>
      <c r="W209">
        <v>840000</v>
      </c>
      <c r="X209">
        <v>2.36</v>
      </c>
    </row>
    <row r="210" spans="1:24">
      <c r="A210" s="2">
        <f>HYPERLINK("https://finance.naver.com/item/coinfo.nhn?code=094850", "A094850")</f>
        <v>0</v>
      </c>
      <c r="B210">
        <f>HYPERLINK("http://comp.fnguide.com/SVO2/ASP/SVD_Consensus.asp?pGB=1&amp;gicode=A094850&amp;cID=&amp;MenuYn=Y&amp;ReportGB=&amp;NewMenuID=108&amp;stkGb=701", "참좋은여행")</f>
        <v>0</v>
      </c>
      <c r="C210">
        <v>2</v>
      </c>
      <c r="D210">
        <v>11000</v>
      </c>
      <c r="E210">
        <v>0.1</v>
      </c>
      <c r="F210">
        <v>18448</v>
      </c>
      <c r="G210">
        <v>11768</v>
      </c>
      <c r="H210">
        <v>9863</v>
      </c>
      <c r="I210">
        <v>-67.7</v>
      </c>
      <c r="J210">
        <v>-6.98</v>
      </c>
      <c r="K210">
        <v>10.33</v>
      </c>
      <c r="L210">
        <v>20.1</v>
      </c>
      <c r="M210" t="b">
        <v>0</v>
      </c>
      <c r="N210">
        <v>1540</v>
      </c>
      <c r="O210">
        <v>2553495</v>
      </c>
      <c r="P210" t="s">
        <v>208</v>
      </c>
      <c r="Q210">
        <v>42.17</v>
      </c>
      <c r="R210" t="s">
        <v>524</v>
      </c>
      <c r="S210" t="s">
        <v>839</v>
      </c>
      <c r="T210">
        <v>621</v>
      </c>
      <c r="U210">
        <v>71</v>
      </c>
      <c r="V210">
        <v>1635</v>
      </c>
      <c r="W210">
        <v>800000</v>
      </c>
      <c r="X210">
        <v>2.54</v>
      </c>
    </row>
    <row r="211" spans="1:24">
      <c r="A211" s="2">
        <f>HYPERLINK("https://finance.naver.com/item/coinfo.nhn?code=043150", "A043150")</f>
        <v>0</v>
      </c>
      <c r="B211">
        <f>HYPERLINK("http://comp.fnguide.com/SVO2/ASP/SVD_Consensus.asp?pGB=1&amp;gicode=A043150&amp;cID=&amp;MenuYn=Y&amp;ReportGB=&amp;NewMenuID=108&amp;stkGb=701", "바텍")</f>
        <v>0</v>
      </c>
      <c r="C211">
        <v>2</v>
      </c>
      <c r="D211">
        <v>23000</v>
      </c>
      <c r="E211">
        <v>-1.16</v>
      </c>
      <c r="F211">
        <v>40485</v>
      </c>
      <c r="G211">
        <v>26218</v>
      </c>
      <c r="H211">
        <v>22149</v>
      </c>
      <c r="I211">
        <v>-76.02</v>
      </c>
      <c r="J211">
        <v>-13.99</v>
      </c>
      <c r="K211">
        <v>3.7</v>
      </c>
      <c r="L211">
        <v>19.31</v>
      </c>
      <c r="M211" t="b">
        <v>1</v>
      </c>
      <c r="N211">
        <v>3416</v>
      </c>
      <c r="O211">
        <v>41657</v>
      </c>
      <c r="P211" t="s">
        <v>209</v>
      </c>
      <c r="Q211">
        <v>53.65</v>
      </c>
      <c r="R211" t="s">
        <v>525</v>
      </c>
      <c r="S211" t="s">
        <v>840</v>
      </c>
      <c r="T211">
        <v>2717</v>
      </c>
      <c r="U211">
        <v>429</v>
      </c>
      <c r="V211">
        <v>2281</v>
      </c>
      <c r="X211">
        <v>0.34</v>
      </c>
    </row>
    <row r="212" spans="1:24">
      <c r="A212" s="2">
        <f>HYPERLINK("https://finance.naver.com/item/coinfo.nhn?code=001880", "A001880")</f>
        <v>0</v>
      </c>
      <c r="B212">
        <f>HYPERLINK("http://comp.fnguide.com/SVO2/ASP/SVD_Consensus.asp?pGB=1&amp;gicode=A001880&amp;cID=&amp;MenuYn=Y&amp;ReportGB=&amp;NewMenuID=108&amp;stkGb=701", "대림건설")</f>
        <v>0</v>
      </c>
      <c r="C212">
        <v>2</v>
      </c>
      <c r="D212">
        <v>29200</v>
      </c>
      <c r="E212">
        <v>0.13</v>
      </c>
      <c r="F212">
        <v>55826</v>
      </c>
      <c r="G212">
        <v>34766</v>
      </c>
      <c r="H212">
        <v>28760</v>
      </c>
      <c r="I212">
        <v>-91.18000000000001</v>
      </c>
      <c r="J212">
        <v>-19.06</v>
      </c>
      <c r="K212">
        <v>1.51</v>
      </c>
      <c r="L212">
        <v>21.46</v>
      </c>
      <c r="M212" t="b">
        <v>1</v>
      </c>
      <c r="N212">
        <v>6440</v>
      </c>
      <c r="O212">
        <v>145316</v>
      </c>
      <c r="P212" t="s">
        <v>210</v>
      </c>
      <c r="Q212">
        <v>66.36</v>
      </c>
      <c r="R212" t="s">
        <v>526</v>
      </c>
      <c r="S212" t="s">
        <v>841</v>
      </c>
      <c r="T212">
        <v>12799</v>
      </c>
      <c r="U212">
        <v>1430</v>
      </c>
      <c r="V212">
        <v>6265</v>
      </c>
      <c r="W212">
        <v>371</v>
      </c>
      <c r="X212">
        <v>2.02</v>
      </c>
    </row>
    <row r="213" spans="1:24">
      <c r="A213" s="2">
        <f>HYPERLINK("https://finance.naver.com/item/coinfo.nhn?code=053610", "A053610")</f>
        <v>0</v>
      </c>
      <c r="B213">
        <f>HYPERLINK("http://comp.fnguide.com/SVO2/ASP/SVD_Consensus.asp?pGB=1&amp;gicode=A053610&amp;cID=&amp;MenuYn=Y&amp;ReportGB=&amp;NewMenuID=108&amp;stkGb=701", "프로텍")</f>
        <v>0</v>
      </c>
      <c r="C213">
        <v>2</v>
      </c>
      <c r="D213">
        <v>29550</v>
      </c>
      <c r="E213">
        <v>-0.38</v>
      </c>
      <c r="F213">
        <v>49939</v>
      </c>
      <c r="G213">
        <v>32662</v>
      </c>
      <c r="H213">
        <v>27735</v>
      </c>
      <c r="I213">
        <v>-69</v>
      </c>
      <c r="J213">
        <v>-10.53</v>
      </c>
      <c r="K213">
        <v>6.14</v>
      </c>
      <c r="L213">
        <v>18.82</v>
      </c>
      <c r="M213" t="b">
        <v>1</v>
      </c>
      <c r="N213">
        <v>3251</v>
      </c>
      <c r="O213">
        <v>106053</v>
      </c>
      <c r="P213" t="s">
        <v>211</v>
      </c>
      <c r="Q213">
        <v>31.25</v>
      </c>
      <c r="R213" t="s">
        <v>527</v>
      </c>
      <c r="S213" t="s">
        <v>842</v>
      </c>
      <c r="T213">
        <v>1798</v>
      </c>
      <c r="U213">
        <v>460</v>
      </c>
      <c r="V213">
        <v>3502</v>
      </c>
      <c r="W213">
        <v>1232000</v>
      </c>
      <c r="X213">
        <v>2.48</v>
      </c>
    </row>
    <row r="214" spans="1:24">
      <c r="A214" s="2">
        <f>HYPERLINK("https://finance.naver.com/item/coinfo.nhn?code=091440", "A091440")</f>
        <v>0</v>
      </c>
      <c r="B214">
        <f>HYPERLINK("http://comp.fnguide.com/SVO2/ASP/SVD_Consensus.asp?pGB=1&amp;gicode=A091440&amp;cID=&amp;MenuYn=Y&amp;ReportGB=&amp;NewMenuID=108&amp;stkGb=701", "텔레필드")</f>
        <v>0</v>
      </c>
      <c r="C214">
        <v>2</v>
      </c>
      <c r="D214">
        <v>3335</v>
      </c>
      <c r="E214">
        <v>0</v>
      </c>
      <c r="F214">
        <v>3921</v>
      </c>
      <c r="G214">
        <v>3447</v>
      </c>
      <c r="H214">
        <v>3312</v>
      </c>
      <c r="I214">
        <v>-17.58</v>
      </c>
      <c r="J214">
        <v>-3.36</v>
      </c>
      <c r="K214">
        <v>0.6899999999999999</v>
      </c>
      <c r="L214">
        <v>9.99</v>
      </c>
      <c r="M214" t="b">
        <v>1</v>
      </c>
      <c r="N214">
        <v>306</v>
      </c>
      <c r="O214">
        <v>42234</v>
      </c>
      <c r="P214" t="s">
        <v>212</v>
      </c>
      <c r="Q214">
        <v>19.82</v>
      </c>
      <c r="R214" t="s">
        <v>528</v>
      </c>
      <c r="S214" t="s">
        <v>843</v>
      </c>
      <c r="T214">
        <v>565</v>
      </c>
      <c r="U214">
        <v>57</v>
      </c>
      <c r="V214">
        <v>522</v>
      </c>
      <c r="W214">
        <v>554681</v>
      </c>
    </row>
    <row r="215" spans="1:24">
      <c r="A215" s="2">
        <f>HYPERLINK("https://finance.naver.com/item/coinfo.nhn?code=950180", "A950180")</f>
        <v>0</v>
      </c>
      <c r="B215">
        <f>HYPERLINK("http://comp.fnguide.com/SVO2/ASP/SVD_Consensus.asp?pGB=1&amp;gicode=A950180&amp;cID=&amp;MenuYn=Y&amp;ReportGB=&amp;NewMenuID=108&amp;stkGb=701", "SNK")</f>
        <v>0</v>
      </c>
      <c r="C215">
        <v>2</v>
      </c>
      <c r="D215">
        <v>20800</v>
      </c>
      <c r="E215">
        <v>-1.27</v>
      </c>
      <c r="F215">
        <v>28614</v>
      </c>
      <c r="G215">
        <v>21143</v>
      </c>
      <c r="H215">
        <v>19012</v>
      </c>
      <c r="I215">
        <v>-37.57</v>
      </c>
      <c r="J215">
        <v>-1.65</v>
      </c>
      <c r="K215">
        <v>8.6</v>
      </c>
      <c r="L215">
        <v>14.12</v>
      </c>
      <c r="M215" t="b">
        <v>0</v>
      </c>
      <c r="N215">
        <v>4381</v>
      </c>
      <c r="O215">
        <v>4073652</v>
      </c>
      <c r="P215" t="s">
        <v>213</v>
      </c>
      <c r="Q215">
        <v>33.16</v>
      </c>
      <c r="R215" t="s">
        <v>529</v>
      </c>
      <c r="S215" t="s">
        <v>844</v>
      </c>
      <c r="T215">
        <v>860</v>
      </c>
      <c r="U215">
        <v>239</v>
      </c>
      <c r="V215">
        <v>1035</v>
      </c>
      <c r="W215">
        <v>528203</v>
      </c>
    </row>
    <row r="216" spans="1:24">
      <c r="A216" s="2">
        <f>HYPERLINK("https://finance.naver.com/item/coinfo.nhn?code=035510", "A035510")</f>
        <v>0</v>
      </c>
      <c r="B216">
        <f>HYPERLINK("http://comp.fnguide.com/SVO2/ASP/SVD_Consensus.asp?pGB=1&amp;gicode=A035510&amp;cID=&amp;MenuYn=Y&amp;ReportGB=&amp;NewMenuID=108&amp;stkGb=701", "신세계 I&amp;C")</f>
        <v>0</v>
      </c>
      <c r="C216">
        <v>2</v>
      </c>
      <c r="D216">
        <v>125500</v>
      </c>
      <c r="E216">
        <v>0.23</v>
      </c>
      <c r="F216">
        <v>137158</v>
      </c>
      <c r="G216">
        <v>126573</v>
      </c>
      <c r="H216">
        <v>123554</v>
      </c>
      <c r="I216">
        <v>-9.289999999999999</v>
      </c>
      <c r="J216">
        <v>-0.85</v>
      </c>
      <c r="K216">
        <v>1.55</v>
      </c>
      <c r="L216">
        <v>9.16</v>
      </c>
      <c r="M216" t="b">
        <v>1</v>
      </c>
      <c r="N216">
        <v>2159</v>
      </c>
      <c r="O216">
        <v>4392</v>
      </c>
      <c r="P216" t="s">
        <v>214</v>
      </c>
      <c r="Q216">
        <v>35.87</v>
      </c>
      <c r="R216" t="s">
        <v>530</v>
      </c>
      <c r="S216" t="s">
        <v>845</v>
      </c>
      <c r="T216">
        <v>4560</v>
      </c>
      <c r="U216">
        <v>185</v>
      </c>
      <c r="V216">
        <v>6196</v>
      </c>
      <c r="W216">
        <v>53509</v>
      </c>
      <c r="X216">
        <v>1.86</v>
      </c>
    </row>
    <row r="217" spans="1:24">
      <c r="A217" s="2">
        <f>HYPERLINK("https://finance.naver.com/item/coinfo.nhn?code=083450", "A083450")</f>
        <v>0</v>
      </c>
      <c r="B217">
        <f>HYPERLINK("http://comp.fnguide.com/SVO2/ASP/SVD_Consensus.asp?pGB=1&amp;gicode=A083450&amp;cID=&amp;MenuYn=Y&amp;ReportGB=&amp;NewMenuID=108&amp;stkGb=701", "GST")</f>
        <v>0</v>
      </c>
      <c r="C217">
        <v>2</v>
      </c>
      <c r="D217">
        <v>16950</v>
      </c>
      <c r="E217">
        <v>0.18</v>
      </c>
      <c r="F217">
        <v>25545</v>
      </c>
      <c r="G217">
        <v>17031</v>
      </c>
      <c r="H217">
        <v>14603</v>
      </c>
      <c r="I217">
        <v>-50.71</v>
      </c>
      <c r="J217">
        <v>-0.48</v>
      </c>
      <c r="K217">
        <v>13.84</v>
      </c>
      <c r="L217">
        <v>17.93</v>
      </c>
      <c r="M217" t="b">
        <v>1</v>
      </c>
      <c r="N217">
        <v>1579</v>
      </c>
      <c r="O217">
        <v>142894</v>
      </c>
      <c r="P217" t="s">
        <v>215</v>
      </c>
      <c r="Q217">
        <v>25.95</v>
      </c>
      <c r="R217" t="s">
        <v>531</v>
      </c>
      <c r="S217" t="s">
        <v>846</v>
      </c>
      <c r="T217">
        <v>1682</v>
      </c>
      <c r="U217">
        <v>219</v>
      </c>
      <c r="V217">
        <v>1918</v>
      </c>
      <c r="W217">
        <v>583500</v>
      </c>
      <c r="X217">
        <v>1.96</v>
      </c>
    </row>
    <row r="218" spans="1:24">
      <c r="A218" s="2">
        <f>HYPERLINK("https://finance.naver.com/item/coinfo.nhn?code=192440", "A192440")</f>
        <v>0</v>
      </c>
      <c r="B218">
        <f>HYPERLINK("http://comp.fnguide.com/SVO2/ASP/SVD_Consensus.asp?pGB=1&amp;gicode=A192440&amp;cID=&amp;MenuYn=Y&amp;ReportGB=&amp;NewMenuID=108&amp;stkGb=701", "슈피겐코리아")</f>
        <v>0</v>
      </c>
      <c r="C218">
        <v>2</v>
      </c>
      <c r="D218">
        <v>64600</v>
      </c>
      <c r="E218">
        <v>0.59</v>
      </c>
      <c r="F218">
        <v>100527</v>
      </c>
      <c r="G218">
        <v>69486</v>
      </c>
      <c r="H218">
        <v>60633</v>
      </c>
      <c r="I218">
        <v>-55.61</v>
      </c>
      <c r="J218">
        <v>-7.56</v>
      </c>
      <c r="K218">
        <v>6.14</v>
      </c>
      <c r="L218">
        <v>16.43</v>
      </c>
      <c r="M218" t="b">
        <v>1</v>
      </c>
      <c r="N218">
        <v>4016</v>
      </c>
      <c r="O218">
        <v>38555</v>
      </c>
      <c r="P218" t="s">
        <v>216</v>
      </c>
      <c r="Q218">
        <v>40.99</v>
      </c>
      <c r="R218" t="s">
        <v>532</v>
      </c>
      <c r="S218" t="s">
        <v>847</v>
      </c>
      <c r="T218">
        <v>3086</v>
      </c>
      <c r="U218">
        <v>441</v>
      </c>
      <c r="V218">
        <v>6489</v>
      </c>
      <c r="W218">
        <v>186531</v>
      </c>
      <c r="X218">
        <v>2.55</v>
      </c>
    </row>
    <row r="219" spans="1:24">
      <c r="A219" s="2">
        <f>HYPERLINK("https://finance.naver.com/item/coinfo.nhn?code=317330", "A317330")</f>
        <v>0</v>
      </c>
      <c r="B219">
        <f>HYPERLINK("http://comp.fnguide.com/SVO2/ASP/SVD_Consensus.asp?pGB=1&amp;gicode=A317330&amp;cID=&amp;MenuYn=Y&amp;ReportGB=&amp;NewMenuID=108&amp;stkGb=701", "덕산테코피아")</f>
        <v>0</v>
      </c>
      <c r="C219">
        <v>2</v>
      </c>
      <c r="D219">
        <v>16050</v>
      </c>
      <c r="E219">
        <v>1</v>
      </c>
      <c r="F219">
        <v>28474</v>
      </c>
      <c r="G219">
        <v>16137</v>
      </c>
      <c r="H219">
        <v>12619</v>
      </c>
      <c r="I219">
        <v>-77.41</v>
      </c>
      <c r="J219">
        <v>-0.54</v>
      </c>
      <c r="K219">
        <v>21.38</v>
      </c>
      <c r="L219">
        <v>28.65</v>
      </c>
      <c r="M219" t="b">
        <v>1</v>
      </c>
      <c r="N219">
        <v>2950</v>
      </c>
      <c r="O219">
        <v>61077</v>
      </c>
      <c r="P219" t="s">
        <v>217</v>
      </c>
      <c r="Q219">
        <v>57.85</v>
      </c>
      <c r="R219" t="s">
        <v>533</v>
      </c>
      <c r="S219" t="s">
        <v>848</v>
      </c>
      <c r="T219">
        <v>618</v>
      </c>
      <c r="U219">
        <v>134</v>
      </c>
      <c r="V219">
        <v>673</v>
      </c>
      <c r="W219">
        <v>71450</v>
      </c>
    </row>
    <row r="220" spans="1:24">
      <c r="A220" s="2">
        <f>HYPERLINK("https://finance.naver.com/item/coinfo.nhn?code=033780", "A033780")</f>
        <v>0</v>
      </c>
      <c r="B220">
        <f>HYPERLINK("http://comp.fnguide.com/SVO2/ASP/SVD_Consensus.asp?pGB=1&amp;gicode=A033780&amp;cID=&amp;MenuYn=Y&amp;ReportGB=&amp;NewMenuID=108&amp;stkGb=701", "KT&amp;G")</f>
        <v>0</v>
      </c>
      <c r="C220">
        <v>2</v>
      </c>
      <c r="D220">
        <v>84200</v>
      </c>
      <c r="E220">
        <v>-10.75</v>
      </c>
      <c r="F220">
        <v>110139</v>
      </c>
      <c r="G220">
        <v>85864</v>
      </c>
      <c r="H220">
        <v>78941</v>
      </c>
      <c r="I220">
        <v>-30.81</v>
      </c>
      <c r="J220">
        <v>-1.98</v>
      </c>
      <c r="K220">
        <v>6.25</v>
      </c>
      <c r="L220">
        <v>12.61</v>
      </c>
      <c r="M220" t="b">
        <v>1</v>
      </c>
      <c r="N220">
        <v>115600</v>
      </c>
      <c r="O220">
        <v>601106</v>
      </c>
      <c r="P220" t="s">
        <v>218</v>
      </c>
      <c r="Q220">
        <v>12.44</v>
      </c>
      <c r="R220" t="s">
        <v>534</v>
      </c>
      <c r="S220" t="s">
        <v>849</v>
      </c>
      <c r="T220">
        <v>49632</v>
      </c>
      <c r="U220">
        <v>13820</v>
      </c>
      <c r="V220">
        <v>7549</v>
      </c>
      <c r="W220">
        <v>13212574</v>
      </c>
      <c r="X220">
        <v>4.69</v>
      </c>
    </row>
    <row r="221" spans="1:24">
      <c r="A221" s="2">
        <f>HYPERLINK("https://finance.naver.com/item/coinfo.nhn?code=131030", "A131030")</f>
        <v>0</v>
      </c>
      <c r="B221">
        <f>HYPERLINK("http://comp.fnguide.com/SVO2/ASP/SVD_Consensus.asp?pGB=1&amp;gicode=A131030&amp;cID=&amp;MenuYn=Y&amp;ReportGB=&amp;NewMenuID=108&amp;stkGb=701", "디에이치피코리아")</f>
        <v>0</v>
      </c>
      <c r="C221">
        <v>2</v>
      </c>
      <c r="D221">
        <v>7910</v>
      </c>
      <c r="E221">
        <v>1.16</v>
      </c>
      <c r="F221">
        <v>11388</v>
      </c>
      <c r="G221">
        <v>8581</v>
      </c>
      <c r="H221">
        <v>7780</v>
      </c>
      <c r="I221">
        <v>-43.96</v>
      </c>
      <c r="J221">
        <v>-8.48</v>
      </c>
      <c r="K221">
        <v>1.64</v>
      </c>
      <c r="L221">
        <v>13.54</v>
      </c>
      <c r="M221" t="b">
        <v>1</v>
      </c>
      <c r="N221">
        <v>1310</v>
      </c>
      <c r="O221">
        <v>70943</v>
      </c>
      <c r="P221" t="s">
        <v>219</v>
      </c>
      <c r="Q221">
        <v>38.38</v>
      </c>
      <c r="R221" t="s">
        <v>535</v>
      </c>
      <c r="S221" t="s">
        <v>850</v>
      </c>
      <c r="T221">
        <v>604</v>
      </c>
      <c r="U221">
        <v>152</v>
      </c>
      <c r="V221">
        <v>881</v>
      </c>
      <c r="W221">
        <v>523536</v>
      </c>
      <c r="X221">
        <v>1.29</v>
      </c>
    </row>
    <row r="222" spans="1:24">
      <c r="A222" s="2">
        <f>HYPERLINK("https://finance.naver.com/item/coinfo.nhn?code=248170", "A248170")</f>
        <v>0</v>
      </c>
      <c r="B222">
        <f>HYPERLINK("http://comp.fnguide.com/SVO2/ASP/SVD_Consensus.asp?pGB=1&amp;gicode=A248170&amp;cID=&amp;MenuYn=Y&amp;ReportGB=&amp;NewMenuID=108&amp;stkGb=701", "샘표식품")</f>
        <v>0</v>
      </c>
      <c r="C222">
        <v>2</v>
      </c>
      <c r="D222">
        <v>45100</v>
      </c>
      <c r="E222">
        <v>0.12</v>
      </c>
      <c r="F222">
        <v>68487</v>
      </c>
      <c r="G222">
        <v>48004</v>
      </c>
      <c r="H222">
        <v>42162</v>
      </c>
      <c r="I222">
        <v>-51.86</v>
      </c>
      <c r="J222">
        <v>-6.44</v>
      </c>
      <c r="K222">
        <v>6.51</v>
      </c>
      <c r="L222">
        <v>15.9</v>
      </c>
      <c r="M222" t="b">
        <v>1</v>
      </c>
      <c r="N222">
        <v>2060</v>
      </c>
      <c r="O222">
        <v>15858</v>
      </c>
      <c r="P222" t="s">
        <v>220</v>
      </c>
      <c r="Q222">
        <v>60.02</v>
      </c>
      <c r="R222" t="s">
        <v>536</v>
      </c>
      <c r="S222" t="s">
        <v>851</v>
      </c>
      <c r="T222">
        <v>2808</v>
      </c>
      <c r="U222">
        <v>310</v>
      </c>
      <c r="V222">
        <v>5870</v>
      </c>
      <c r="W222">
        <v>1690</v>
      </c>
      <c r="X222">
        <v>0.59</v>
      </c>
    </row>
    <row r="223" spans="1:24">
      <c r="A223" s="2">
        <f>HYPERLINK("https://finance.naver.com/item/coinfo.nhn?code=267980", "A267980")</f>
        <v>0</v>
      </c>
      <c r="B223">
        <f>HYPERLINK("http://comp.fnguide.com/SVO2/ASP/SVD_Consensus.asp?pGB=1&amp;gicode=A267980&amp;cID=&amp;MenuYn=Y&amp;ReportGB=&amp;NewMenuID=108&amp;stkGb=701", "매일유업")</f>
        <v>0</v>
      </c>
      <c r="C223">
        <v>2</v>
      </c>
      <c r="D223">
        <v>69700</v>
      </c>
      <c r="E223">
        <v>1.27</v>
      </c>
      <c r="F223">
        <v>97617</v>
      </c>
      <c r="G223">
        <v>70817</v>
      </c>
      <c r="H223">
        <v>63174</v>
      </c>
      <c r="I223">
        <v>-40.05</v>
      </c>
      <c r="J223">
        <v>-1.6</v>
      </c>
      <c r="K223">
        <v>9.359999999999999</v>
      </c>
      <c r="L223">
        <v>14.7</v>
      </c>
      <c r="M223" t="b">
        <v>1</v>
      </c>
      <c r="N223">
        <v>5467</v>
      </c>
      <c r="O223">
        <v>21504</v>
      </c>
      <c r="P223" t="s">
        <v>221</v>
      </c>
      <c r="Q223">
        <v>56.27</v>
      </c>
      <c r="R223" t="s">
        <v>537</v>
      </c>
      <c r="S223" t="s">
        <v>852</v>
      </c>
      <c r="T223">
        <v>13933</v>
      </c>
      <c r="U223">
        <v>853</v>
      </c>
      <c r="V223">
        <v>8202</v>
      </c>
      <c r="W223">
        <v>227402</v>
      </c>
      <c r="X223">
        <v>0.93</v>
      </c>
    </row>
    <row r="224" spans="1:24">
      <c r="A224" s="2">
        <f>HYPERLINK("https://finance.naver.com/item/coinfo.nhn?code=010640", "A010640")</f>
        <v>0</v>
      </c>
      <c r="B224">
        <f>HYPERLINK("http://comp.fnguide.com/SVO2/ASP/SVD_Consensus.asp?pGB=1&amp;gicode=A010640&amp;cID=&amp;MenuYn=Y&amp;ReportGB=&amp;NewMenuID=108&amp;stkGb=701", "진양폴리")</f>
        <v>0</v>
      </c>
      <c r="C224">
        <v>2</v>
      </c>
      <c r="D224">
        <v>3550</v>
      </c>
      <c r="E224">
        <v>-0.17</v>
      </c>
      <c r="F224">
        <v>6258</v>
      </c>
      <c r="G224">
        <v>4097</v>
      </c>
      <c r="H224">
        <v>3481</v>
      </c>
      <c r="I224">
        <v>-76.29000000000001</v>
      </c>
      <c r="J224">
        <v>-15.42</v>
      </c>
      <c r="K224">
        <v>1.94</v>
      </c>
      <c r="L224">
        <v>18.77</v>
      </c>
      <c r="M224" t="b">
        <v>1</v>
      </c>
      <c r="N224">
        <v>355</v>
      </c>
      <c r="O224">
        <v>141709</v>
      </c>
      <c r="P224" t="s">
        <v>222</v>
      </c>
      <c r="Q224">
        <v>50.5</v>
      </c>
      <c r="R224" t="s">
        <v>538</v>
      </c>
      <c r="S224" t="s">
        <v>853</v>
      </c>
      <c r="T224">
        <v>351</v>
      </c>
      <c r="U224">
        <v>31</v>
      </c>
      <c r="V224">
        <v>755</v>
      </c>
      <c r="X224">
        <v>2.56</v>
      </c>
    </row>
    <row r="225" spans="1:24">
      <c r="A225" s="2">
        <f>HYPERLINK("https://finance.naver.com/item/coinfo.nhn?code=047310", "A047310")</f>
        <v>0</v>
      </c>
      <c r="B225">
        <f>HYPERLINK("http://comp.fnguide.com/SVO2/ASP/SVD_Consensus.asp?pGB=1&amp;gicode=A047310&amp;cID=&amp;MenuYn=Y&amp;ReportGB=&amp;NewMenuID=108&amp;stkGb=701", "파워로직스")</f>
        <v>0</v>
      </c>
      <c r="C225">
        <v>2</v>
      </c>
      <c r="D225">
        <v>9170</v>
      </c>
      <c r="E225">
        <v>0.08</v>
      </c>
      <c r="F225">
        <v>16532</v>
      </c>
      <c r="G225">
        <v>10796</v>
      </c>
      <c r="H225">
        <v>9160</v>
      </c>
      <c r="I225">
        <v>-80.28</v>
      </c>
      <c r="J225">
        <v>-17.73</v>
      </c>
      <c r="K225">
        <v>0.11</v>
      </c>
      <c r="L225">
        <v>18.9</v>
      </c>
      <c r="M225" t="b">
        <v>1</v>
      </c>
      <c r="N225">
        <v>3156</v>
      </c>
      <c r="O225">
        <v>2680246</v>
      </c>
      <c r="P225" t="s">
        <v>223</v>
      </c>
      <c r="Q225">
        <v>33.61</v>
      </c>
      <c r="R225" t="s">
        <v>539</v>
      </c>
      <c r="S225" t="s">
        <v>854</v>
      </c>
      <c r="T225">
        <v>11079</v>
      </c>
      <c r="U225">
        <v>506</v>
      </c>
      <c r="V225">
        <v>1611</v>
      </c>
      <c r="X225">
        <v>0.49</v>
      </c>
    </row>
    <row r="226" spans="1:24">
      <c r="A226" s="2">
        <f>HYPERLINK("https://finance.naver.com/item/coinfo.nhn?code=097950", "A097950")</f>
        <v>0</v>
      </c>
      <c r="B226">
        <f>HYPERLINK("http://comp.fnguide.com/SVO2/ASP/SVD_Consensus.asp?pGB=1&amp;gicode=A097950&amp;cID=&amp;MenuYn=Y&amp;ReportGB=&amp;NewMenuID=108&amp;stkGb=701", "CJ제일제당")</f>
        <v>0</v>
      </c>
      <c r="C226">
        <v>2</v>
      </c>
      <c r="D226">
        <v>359500</v>
      </c>
      <c r="E226">
        <v>0.51</v>
      </c>
      <c r="F226">
        <v>439130</v>
      </c>
      <c r="G226">
        <v>374855</v>
      </c>
      <c r="H226">
        <v>356524</v>
      </c>
      <c r="I226">
        <v>-22.15</v>
      </c>
      <c r="J226">
        <v>-4.27</v>
      </c>
      <c r="K226">
        <v>0.83</v>
      </c>
      <c r="L226">
        <v>10.55</v>
      </c>
      <c r="M226" t="b">
        <v>0</v>
      </c>
      <c r="N226">
        <v>54120</v>
      </c>
      <c r="O226">
        <v>89069</v>
      </c>
      <c r="P226" t="s">
        <v>224</v>
      </c>
      <c r="Q226">
        <v>45.51</v>
      </c>
      <c r="R226" t="s">
        <v>540</v>
      </c>
      <c r="S226" t="s">
        <v>855</v>
      </c>
      <c r="T226">
        <v>223525</v>
      </c>
      <c r="U226">
        <v>8969</v>
      </c>
      <c r="V226">
        <v>9312</v>
      </c>
      <c r="W226">
        <v>357302</v>
      </c>
      <c r="X226">
        <v>1.39</v>
      </c>
    </row>
    <row r="227" spans="1:24">
      <c r="A227" s="2">
        <f>HYPERLINK("https://finance.naver.com/item/coinfo.nhn?code=267790", "A267790")</f>
        <v>0</v>
      </c>
      <c r="B227">
        <f>HYPERLINK("http://comp.fnguide.com/SVO2/ASP/SVD_Consensus.asp?pGB=1&amp;gicode=A267790&amp;cID=&amp;MenuYn=Y&amp;ReportGB=&amp;NewMenuID=108&amp;stkGb=701", "배럴")</f>
        <v>0</v>
      </c>
      <c r="C227">
        <v>2</v>
      </c>
      <c r="D227">
        <v>9000</v>
      </c>
      <c r="E227">
        <v>2.67</v>
      </c>
      <c r="F227">
        <v>14694</v>
      </c>
      <c r="G227">
        <v>9357</v>
      </c>
      <c r="H227">
        <v>7836</v>
      </c>
      <c r="I227">
        <v>-63.26</v>
      </c>
      <c r="J227">
        <v>-3.97</v>
      </c>
      <c r="K227">
        <v>12.94</v>
      </c>
      <c r="L227">
        <v>20.19</v>
      </c>
      <c r="M227" t="b">
        <v>1</v>
      </c>
      <c r="N227">
        <v>710</v>
      </c>
      <c r="O227">
        <v>149232</v>
      </c>
      <c r="P227" t="s">
        <v>225</v>
      </c>
      <c r="Q227">
        <v>47.73</v>
      </c>
      <c r="R227" t="s">
        <v>541</v>
      </c>
      <c r="S227" t="s">
        <v>856</v>
      </c>
      <c r="T227">
        <v>599</v>
      </c>
      <c r="U227">
        <v>85</v>
      </c>
      <c r="V227">
        <v>883</v>
      </c>
    </row>
    <row r="228" spans="1:24">
      <c r="A228" s="2">
        <f>HYPERLINK("https://finance.naver.com/item/coinfo.nhn?code=000660", "A000660")</f>
        <v>0</v>
      </c>
      <c r="B228">
        <f>HYPERLINK("http://comp.fnguide.com/SVO2/ASP/SVD_Consensus.asp?pGB=1&amp;gicode=A000660&amp;cID=&amp;MenuYn=Y&amp;ReportGB=&amp;NewMenuID=108&amp;stkGb=701", "SK하이닉스")</f>
        <v>0</v>
      </c>
      <c r="C228">
        <v>2</v>
      </c>
      <c r="D228">
        <v>109000</v>
      </c>
      <c r="E228">
        <v>-4.19</v>
      </c>
      <c r="F228">
        <v>185289</v>
      </c>
      <c r="G228">
        <v>116094</v>
      </c>
      <c r="H228">
        <v>96359</v>
      </c>
      <c r="I228">
        <v>-69.98999999999999</v>
      </c>
      <c r="J228">
        <v>-6.51</v>
      </c>
      <c r="K228">
        <v>11.6</v>
      </c>
      <c r="L228">
        <v>21.1</v>
      </c>
      <c r="M228" t="b">
        <v>0</v>
      </c>
      <c r="N228">
        <v>793523</v>
      </c>
      <c r="O228">
        <v>7488361</v>
      </c>
      <c r="P228" t="s">
        <v>226</v>
      </c>
      <c r="Q228">
        <v>20.07</v>
      </c>
      <c r="R228" t="s">
        <v>542</v>
      </c>
      <c r="S228" t="s">
        <v>857</v>
      </c>
      <c r="T228">
        <v>269907</v>
      </c>
      <c r="U228">
        <v>27127</v>
      </c>
      <c r="V228">
        <v>2766</v>
      </c>
      <c r="W228">
        <v>44000570</v>
      </c>
      <c r="X228">
        <v>1.06</v>
      </c>
    </row>
    <row r="229" spans="1:24">
      <c r="A229" s="2">
        <f>HYPERLINK("https://finance.naver.com/item/coinfo.nhn?code=130660", "A130660")</f>
        <v>0</v>
      </c>
      <c r="B229">
        <f>HYPERLINK("http://comp.fnguide.com/SVO2/ASP/SVD_Consensus.asp?pGB=1&amp;gicode=A130660&amp;cID=&amp;MenuYn=Y&amp;ReportGB=&amp;NewMenuID=108&amp;stkGb=701", "한전산업")</f>
        <v>0</v>
      </c>
      <c r="C229">
        <v>2</v>
      </c>
      <c r="D229">
        <v>3995</v>
      </c>
      <c r="E229">
        <v>0.54</v>
      </c>
      <c r="F229">
        <v>6476</v>
      </c>
      <c r="G229">
        <v>4167</v>
      </c>
      <c r="H229">
        <v>3509</v>
      </c>
      <c r="I229">
        <v>-62.1</v>
      </c>
      <c r="J229">
        <v>-4.31</v>
      </c>
      <c r="K229">
        <v>12.17</v>
      </c>
      <c r="L229">
        <v>19.64</v>
      </c>
      <c r="M229" t="b">
        <v>1</v>
      </c>
      <c r="N229">
        <v>1302</v>
      </c>
      <c r="O229">
        <v>52079</v>
      </c>
      <c r="P229" t="s">
        <v>227</v>
      </c>
      <c r="Q229">
        <v>31</v>
      </c>
      <c r="R229" t="s">
        <v>543</v>
      </c>
      <c r="S229" t="s">
        <v>858</v>
      </c>
      <c r="T229">
        <v>3136</v>
      </c>
      <c r="U229">
        <v>215</v>
      </c>
      <c r="V229">
        <v>531</v>
      </c>
      <c r="X229">
        <v>6.49</v>
      </c>
    </row>
    <row r="230" spans="1:24">
      <c r="A230" s="2">
        <f>HYPERLINK("https://finance.naver.com/item/coinfo.nhn?code=134380", "A134380")</f>
        <v>0</v>
      </c>
      <c r="B230">
        <f>HYPERLINK("http://comp.fnguide.com/SVO2/ASP/SVD_Consensus.asp?pGB=1&amp;gicode=A134380&amp;cID=&amp;MenuYn=Y&amp;ReportGB=&amp;NewMenuID=108&amp;stkGb=701", "미원화학")</f>
        <v>0</v>
      </c>
      <c r="C230">
        <v>2</v>
      </c>
      <c r="D230">
        <v>61500</v>
      </c>
      <c r="E230">
        <v>1.01</v>
      </c>
      <c r="F230">
        <v>78856</v>
      </c>
      <c r="G230">
        <v>61711</v>
      </c>
      <c r="H230">
        <v>56822</v>
      </c>
      <c r="I230">
        <v>-28.22</v>
      </c>
      <c r="J230">
        <v>-0.34</v>
      </c>
      <c r="K230">
        <v>7.61</v>
      </c>
      <c r="L230">
        <v>12.51</v>
      </c>
      <c r="M230" t="b">
        <v>1</v>
      </c>
      <c r="N230">
        <v>1353</v>
      </c>
      <c r="O230">
        <v>1326</v>
      </c>
      <c r="P230" t="s">
        <v>228</v>
      </c>
      <c r="Q230">
        <v>54.91</v>
      </c>
      <c r="R230" t="s">
        <v>544</v>
      </c>
      <c r="S230" t="s">
        <v>859</v>
      </c>
      <c r="T230">
        <v>1547</v>
      </c>
      <c r="U230">
        <v>155</v>
      </c>
      <c r="V230">
        <v>6167</v>
      </c>
      <c r="W230">
        <v>169768</v>
      </c>
      <c r="X230">
        <v>2.24</v>
      </c>
    </row>
    <row r="231" spans="1:24">
      <c r="A231" s="2">
        <f>HYPERLINK("https://finance.naver.com/item/coinfo.nhn?code=225190", "A225190")</f>
        <v>0</v>
      </c>
      <c r="B231">
        <f>HYPERLINK("http://comp.fnguide.com/SVO2/ASP/SVD_Consensus.asp?pGB=1&amp;gicode=A225190&amp;cID=&amp;MenuYn=Y&amp;ReportGB=&amp;NewMenuID=108&amp;stkGb=701", "삼양옵틱스")</f>
        <v>0</v>
      </c>
      <c r="C231">
        <v>2</v>
      </c>
      <c r="D231">
        <v>9490</v>
      </c>
      <c r="E231">
        <v>-0.35</v>
      </c>
      <c r="F231">
        <v>18642</v>
      </c>
      <c r="G231">
        <v>9792</v>
      </c>
      <c r="H231">
        <v>7267</v>
      </c>
      <c r="I231">
        <v>-96.44</v>
      </c>
      <c r="J231">
        <v>-3.18</v>
      </c>
      <c r="K231">
        <v>23.42</v>
      </c>
      <c r="L231">
        <v>38.1</v>
      </c>
      <c r="M231" t="b">
        <v>1</v>
      </c>
      <c r="N231">
        <v>958</v>
      </c>
      <c r="O231">
        <v>31695</v>
      </c>
      <c r="P231" t="s">
        <v>229</v>
      </c>
      <c r="Q231">
        <v>68.13</v>
      </c>
      <c r="R231" t="s">
        <v>545</v>
      </c>
      <c r="S231" t="s">
        <v>860</v>
      </c>
      <c r="T231">
        <v>636</v>
      </c>
      <c r="U231">
        <v>157</v>
      </c>
      <c r="V231">
        <v>1347</v>
      </c>
      <c r="W231">
        <v>28580</v>
      </c>
      <c r="X231">
        <v>7.84</v>
      </c>
    </row>
    <row r="232" spans="1:24">
      <c r="A232" s="2">
        <f>HYPERLINK("https://finance.naver.com/item/coinfo.nhn?code=051600", "A051600")</f>
        <v>0</v>
      </c>
      <c r="B232">
        <f>HYPERLINK("http://comp.fnguide.com/SVO2/ASP/SVD_Consensus.asp?pGB=1&amp;gicode=A051600&amp;cID=&amp;MenuYn=Y&amp;ReportGB=&amp;NewMenuID=108&amp;stkGb=701", "한전KPS")</f>
        <v>0</v>
      </c>
      <c r="C232">
        <v>2</v>
      </c>
      <c r="D232">
        <v>29300</v>
      </c>
      <c r="E232">
        <v>-1.24</v>
      </c>
      <c r="F232">
        <v>46956</v>
      </c>
      <c r="G232">
        <v>32948</v>
      </c>
      <c r="H232">
        <v>28953</v>
      </c>
      <c r="I232">
        <v>-60.26</v>
      </c>
      <c r="J232">
        <v>-12.45</v>
      </c>
      <c r="K232">
        <v>1.18</v>
      </c>
      <c r="L232">
        <v>15.86</v>
      </c>
      <c r="M232" t="b">
        <v>0</v>
      </c>
      <c r="N232">
        <v>13185</v>
      </c>
      <c r="O232">
        <v>165293</v>
      </c>
      <c r="P232" t="s">
        <v>230</v>
      </c>
      <c r="Q232">
        <v>51</v>
      </c>
      <c r="R232" t="s">
        <v>546</v>
      </c>
      <c r="S232" t="s">
        <v>861</v>
      </c>
      <c r="T232">
        <v>12469</v>
      </c>
      <c r="U232">
        <v>1939</v>
      </c>
      <c r="V232">
        <v>3407</v>
      </c>
      <c r="X232">
        <v>4.9</v>
      </c>
    </row>
    <row r="233" spans="1:24">
      <c r="A233" s="2">
        <f>HYPERLINK("https://finance.naver.com/item/coinfo.nhn?code=039490", "A039490")</f>
        <v>0</v>
      </c>
      <c r="B233">
        <f>HYPERLINK("http://comp.fnguide.com/SVO2/ASP/SVD_Consensus.asp?pGB=1&amp;gicode=A039490&amp;cID=&amp;MenuYn=Y&amp;ReportGB=&amp;NewMenuID=108&amp;stkGb=701", "키움증권")</f>
        <v>0</v>
      </c>
      <c r="C233">
        <v>2</v>
      </c>
      <c r="D233">
        <v>135000</v>
      </c>
      <c r="E233">
        <v>0.35</v>
      </c>
      <c r="F233">
        <v>193123</v>
      </c>
      <c r="G233">
        <v>138878</v>
      </c>
      <c r="H233">
        <v>123407</v>
      </c>
      <c r="I233">
        <v>-43.05</v>
      </c>
      <c r="J233">
        <v>-2.87</v>
      </c>
      <c r="K233">
        <v>8.59</v>
      </c>
      <c r="L233">
        <v>14.99</v>
      </c>
      <c r="M233" t="b">
        <v>1</v>
      </c>
      <c r="N233">
        <v>30013</v>
      </c>
      <c r="O233">
        <v>171234</v>
      </c>
      <c r="P233" t="s">
        <v>231</v>
      </c>
      <c r="Q233">
        <v>48.62</v>
      </c>
      <c r="R233" t="s">
        <v>547</v>
      </c>
      <c r="S233" t="s">
        <v>862</v>
      </c>
      <c r="T233">
        <v>8651</v>
      </c>
      <c r="U233">
        <v>4737</v>
      </c>
      <c r="V233">
        <v>14287</v>
      </c>
      <c r="W233">
        <v>500000</v>
      </c>
      <c r="X233">
        <v>2.52</v>
      </c>
    </row>
    <row r="234" spans="1:24">
      <c r="A234" s="2">
        <f>HYPERLINK("https://finance.naver.com/item/coinfo.nhn?code=126700", "A126700")</f>
        <v>0</v>
      </c>
      <c r="B234">
        <f>HYPERLINK("http://comp.fnguide.com/SVO2/ASP/SVD_Consensus.asp?pGB=1&amp;gicode=A126700&amp;cID=&amp;MenuYn=Y&amp;ReportGB=&amp;NewMenuID=108&amp;stkGb=701", "하이비젼시스템")</f>
        <v>0</v>
      </c>
      <c r="C234">
        <v>1</v>
      </c>
      <c r="D234">
        <v>12650</v>
      </c>
      <c r="E234">
        <v>-9.039999999999999</v>
      </c>
      <c r="F234">
        <v>16159</v>
      </c>
      <c r="G234">
        <v>11859</v>
      </c>
      <c r="H234">
        <v>10633</v>
      </c>
      <c r="I234">
        <v>-27.74</v>
      </c>
      <c r="J234">
        <v>6.25</v>
      </c>
      <c r="K234">
        <v>15.95</v>
      </c>
      <c r="L234">
        <v>14.33</v>
      </c>
      <c r="M234" t="b">
        <v>1</v>
      </c>
      <c r="N234">
        <v>1890</v>
      </c>
      <c r="O234">
        <v>226956</v>
      </c>
      <c r="P234" t="s">
        <v>232</v>
      </c>
      <c r="Q234">
        <v>18.3</v>
      </c>
      <c r="R234" t="s">
        <v>548</v>
      </c>
      <c r="S234" t="s">
        <v>863</v>
      </c>
      <c r="T234">
        <v>1342</v>
      </c>
      <c r="U234">
        <v>36</v>
      </c>
      <c r="V234">
        <v>562</v>
      </c>
      <c r="W234">
        <v>1163331</v>
      </c>
      <c r="X234">
        <v>0.4</v>
      </c>
    </row>
    <row r="235" spans="1:24">
      <c r="A235" s="2">
        <f>HYPERLINK("https://finance.naver.com/item/coinfo.nhn?code=122310", "A122310")</f>
        <v>0</v>
      </c>
      <c r="B235">
        <f>HYPERLINK("http://comp.fnguide.com/SVO2/ASP/SVD_Consensus.asp?pGB=1&amp;gicode=A122310&amp;cID=&amp;MenuYn=Y&amp;ReportGB=&amp;NewMenuID=108&amp;stkGb=701", "제노레이")</f>
        <v>0</v>
      </c>
      <c r="C235">
        <v>1</v>
      </c>
      <c r="D235">
        <v>9770</v>
      </c>
      <c r="E235">
        <v>0.24</v>
      </c>
      <c r="F235">
        <v>13685</v>
      </c>
      <c r="G235">
        <v>7970</v>
      </c>
      <c r="H235">
        <v>6341</v>
      </c>
      <c r="I235">
        <v>-40.07</v>
      </c>
      <c r="J235">
        <v>18.42</v>
      </c>
      <c r="K235">
        <v>35.1</v>
      </c>
      <c r="L235">
        <v>26.19</v>
      </c>
      <c r="M235" t="b">
        <v>1</v>
      </c>
      <c r="N235">
        <v>1422</v>
      </c>
      <c r="O235">
        <v>152964</v>
      </c>
      <c r="P235" t="s">
        <v>233</v>
      </c>
      <c r="Q235">
        <v>28.5</v>
      </c>
      <c r="R235" t="s">
        <v>549</v>
      </c>
      <c r="S235" t="s">
        <v>864</v>
      </c>
      <c r="T235">
        <v>651</v>
      </c>
      <c r="U235">
        <v>147</v>
      </c>
      <c r="V235">
        <v>950</v>
      </c>
      <c r="W235">
        <v>260000</v>
      </c>
      <c r="X235">
        <v>1.8</v>
      </c>
    </row>
    <row r="236" spans="1:24">
      <c r="A236" s="2">
        <f>HYPERLINK("https://finance.naver.com/item/coinfo.nhn?code=208140", "A208140")</f>
        <v>0</v>
      </c>
      <c r="B236">
        <f>HYPERLINK("http://comp.fnguide.com/SVO2/ASP/SVD_Consensus.asp?pGB=1&amp;gicode=A208140&amp;cID=&amp;MenuYn=Y&amp;ReportGB=&amp;NewMenuID=108&amp;stkGb=701", "정다운")</f>
        <v>0</v>
      </c>
      <c r="C236">
        <v>1</v>
      </c>
      <c r="D236">
        <v>2360</v>
      </c>
      <c r="E236">
        <v>-0.8</v>
      </c>
      <c r="F236">
        <v>2430</v>
      </c>
      <c r="G236">
        <v>1890</v>
      </c>
      <c r="H236">
        <v>1736</v>
      </c>
      <c r="I236">
        <v>-2.97</v>
      </c>
      <c r="J236">
        <v>19.91</v>
      </c>
      <c r="K236">
        <v>26.44</v>
      </c>
      <c r="L236">
        <v>12.67</v>
      </c>
      <c r="M236" t="b">
        <v>1</v>
      </c>
      <c r="N236">
        <v>768</v>
      </c>
      <c r="O236">
        <v>197960</v>
      </c>
      <c r="P236" t="s">
        <v>234</v>
      </c>
      <c r="Q236">
        <v>38.41</v>
      </c>
      <c r="R236" t="s">
        <v>550</v>
      </c>
      <c r="S236" t="s">
        <v>865</v>
      </c>
      <c r="T236">
        <v>1258</v>
      </c>
      <c r="U236">
        <v>32</v>
      </c>
      <c r="V236">
        <v>39</v>
      </c>
      <c r="W236">
        <v>10</v>
      </c>
    </row>
    <row r="237" spans="1:24">
      <c r="A237" s="2">
        <f>HYPERLINK("https://finance.naver.com/item/coinfo.nhn?code=079370", "A079370")</f>
        <v>0</v>
      </c>
      <c r="B237">
        <f>HYPERLINK("http://comp.fnguide.com/SVO2/ASP/SVD_Consensus.asp?pGB=1&amp;gicode=A079370&amp;cID=&amp;MenuYn=Y&amp;ReportGB=&amp;NewMenuID=108&amp;stkGb=701", "제우스")</f>
        <v>0</v>
      </c>
      <c r="C237">
        <v>1</v>
      </c>
      <c r="D237">
        <v>26200</v>
      </c>
      <c r="E237">
        <v>-1.28</v>
      </c>
      <c r="F237">
        <v>28389</v>
      </c>
      <c r="G237">
        <v>24635</v>
      </c>
      <c r="H237">
        <v>23564</v>
      </c>
      <c r="I237">
        <v>-8.35</v>
      </c>
      <c r="J237">
        <v>5.97</v>
      </c>
      <c r="K237">
        <v>10.06</v>
      </c>
      <c r="L237">
        <v>10.23</v>
      </c>
      <c r="M237" t="b">
        <v>1</v>
      </c>
      <c r="N237">
        <v>2721</v>
      </c>
      <c r="O237">
        <v>635653</v>
      </c>
      <c r="P237" t="s">
        <v>235</v>
      </c>
      <c r="Q237">
        <v>39.56</v>
      </c>
      <c r="R237" t="s">
        <v>551</v>
      </c>
      <c r="S237" t="s">
        <v>866</v>
      </c>
      <c r="T237">
        <v>3235</v>
      </c>
      <c r="U237">
        <v>182</v>
      </c>
      <c r="V237">
        <v>1343</v>
      </c>
      <c r="W237">
        <v>270028</v>
      </c>
      <c r="X237">
        <v>1.47</v>
      </c>
    </row>
    <row r="238" spans="1:24">
      <c r="A238" s="2">
        <f>HYPERLINK("https://finance.naver.com/item/coinfo.nhn?code=243070", "A243070")</f>
        <v>0</v>
      </c>
      <c r="B238">
        <f>HYPERLINK("http://comp.fnguide.com/SVO2/ASP/SVD_Consensus.asp?pGB=1&amp;gicode=A243070&amp;cID=&amp;MenuYn=Y&amp;ReportGB=&amp;NewMenuID=108&amp;stkGb=701", "휴온스")</f>
        <v>0</v>
      </c>
      <c r="C238">
        <v>1</v>
      </c>
      <c r="D238">
        <v>64700</v>
      </c>
      <c r="E238">
        <v>0.59</v>
      </c>
      <c r="F238">
        <v>66271</v>
      </c>
      <c r="G238">
        <v>38400</v>
      </c>
      <c r="H238">
        <v>30451</v>
      </c>
      <c r="I238">
        <v>-2.43</v>
      </c>
      <c r="J238">
        <v>40.65</v>
      </c>
      <c r="K238">
        <v>52.93</v>
      </c>
      <c r="L238">
        <v>26.62</v>
      </c>
      <c r="M238" t="b">
        <v>1</v>
      </c>
      <c r="N238">
        <v>6393</v>
      </c>
      <c r="O238">
        <v>112754</v>
      </c>
      <c r="P238" t="s">
        <v>236</v>
      </c>
      <c r="Q238">
        <v>45.05</v>
      </c>
      <c r="R238" t="s">
        <v>552</v>
      </c>
      <c r="S238" t="s">
        <v>867</v>
      </c>
      <c r="T238">
        <v>3650</v>
      </c>
      <c r="U238">
        <v>484</v>
      </c>
      <c r="V238">
        <v>3867</v>
      </c>
      <c r="W238">
        <v>88459</v>
      </c>
      <c r="X238">
        <v>1.18</v>
      </c>
    </row>
    <row r="239" spans="1:24">
      <c r="A239" s="2">
        <f>HYPERLINK("https://finance.naver.com/item/coinfo.nhn?code=007700", "A007700")</f>
        <v>0</v>
      </c>
      <c r="B239">
        <f>HYPERLINK("http://comp.fnguide.com/SVO2/ASP/SVD_Consensus.asp?pGB=1&amp;gicode=A007700&amp;cID=&amp;MenuYn=Y&amp;ReportGB=&amp;NewMenuID=108&amp;stkGb=701", "F&amp;F")</f>
        <v>0</v>
      </c>
      <c r="C239">
        <v>1</v>
      </c>
      <c r="D239">
        <v>87500</v>
      </c>
      <c r="E239">
        <v>0.39</v>
      </c>
      <c r="F239">
        <v>110181</v>
      </c>
      <c r="G239">
        <v>62945</v>
      </c>
      <c r="H239">
        <v>49473</v>
      </c>
      <c r="I239">
        <v>-25.92</v>
      </c>
      <c r="J239">
        <v>28.06</v>
      </c>
      <c r="K239">
        <v>43.46</v>
      </c>
      <c r="L239">
        <v>27.89</v>
      </c>
      <c r="M239" t="b">
        <v>1</v>
      </c>
      <c r="N239">
        <v>13475</v>
      </c>
      <c r="O239">
        <v>74481</v>
      </c>
      <c r="P239" t="s">
        <v>237</v>
      </c>
      <c r="Q239">
        <v>58.82</v>
      </c>
      <c r="R239" t="s">
        <v>553</v>
      </c>
      <c r="S239" t="s">
        <v>868</v>
      </c>
      <c r="T239">
        <v>9103</v>
      </c>
      <c r="U239">
        <v>1507</v>
      </c>
      <c r="V239">
        <v>7156</v>
      </c>
      <c r="W239">
        <v>79896</v>
      </c>
      <c r="X239">
        <v>0.89</v>
      </c>
    </row>
    <row r="240" spans="1:24">
      <c r="A240" s="2">
        <f>HYPERLINK("https://finance.naver.com/item/coinfo.nhn?code=025770", "A025770")</f>
        <v>0</v>
      </c>
      <c r="B240">
        <f>HYPERLINK("http://comp.fnguide.com/SVO2/ASP/SVD_Consensus.asp?pGB=1&amp;gicode=A025770&amp;cID=&amp;MenuYn=Y&amp;ReportGB=&amp;NewMenuID=108&amp;stkGb=701", "한국정보통신")</f>
        <v>0</v>
      </c>
      <c r="C240">
        <v>1</v>
      </c>
      <c r="D240">
        <v>9380</v>
      </c>
      <c r="E240">
        <v>-2.04</v>
      </c>
      <c r="F240">
        <v>9524</v>
      </c>
      <c r="G240">
        <v>7129</v>
      </c>
      <c r="H240">
        <v>6446</v>
      </c>
      <c r="I240">
        <v>-1.53</v>
      </c>
      <c r="J240">
        <v>24</v>
      </c>
      <c r="K240">
        <v>31.28</v>
      </c>
      <c r="L240">
        <v>13.73</v>
      </c>
      <c r="M240" t="b">
        <v>1</v>
      </c>
      <c r="N240">
        <v>3512</v>
      </c>
      <c r="O240">
        <v>3368889</v>
      </c>
      <c r="P240" t="s">
        <v>238</v>
      </c>
      <c r="Q240">
        <v>85.73999999999999</v>
      </c>
      <c r="R240" t="s">
        <v>554</v>
      </c>
      <c r="S240" t="s">
        <v>869</v>
      </c>
      <c r="T240">
        <v>4988</v>
      </c>
      <c r="U240">
        <v>342</v>
      </c>
      <c r="V240">
        <v>634</v>
      </c>
      <c r="W240">
        <v>919159</v>
      </c>
    </row>
    <row r="241" spans="1:24">
      <c r="A241" s="2">
        <f>HYPERLINK("https://finance.naver.com/item/coinfo.nhn?code=204270", "A204270")</f>
        <v>0</v>
      </c>
      <c r="B241">
        <f>HYPERLINK("http://comp.fnguide.com/SVO2/ASP/SVD_Consensus.asp?pGB=1&amp;gicode=A204270&amp;cID=&amp;MenuYn=Y&amp;ReportGB=&amp;NewMenuID=108&amp;stkGb=701", "제이앤티씨")</f>
        <v>0</v>
      </c>
      <c r="C241">
        <v>1</v>
      </c>
      <c r="D241">
        <v>11650</v>
      </c>
      <c r="F241">
        <v>14800</v>
      </c>
      <c r="G241">
        <v>8988</v>
      </c>
      <c r="H241">
        <v>7330</v>
      </c>
      <c r="I241">
        <v>-27.04</v>
      </c>
      <c r="J241">
        <v>22.85</v>
      </c>
      <c r="K241">
        <v>37.08</v>
      </c>
      <c r="L241">
        <v>23.06</v>
      </c>
      <c r="M241" t="b">
        <v>0</v>
      </c>
      <c r="N241">
        <v>6739</v>
      </c>
      <c r="O241">
        <v>451771</v>
      </c>
      <c r="P241" t="s">
        <v>239</v>
      </c>
      <c r="Q241">
        <v>71.38</v>
      </c>
      <c r="R241" t="s">
        <v>555</v>
      </c>
      <c r="S241" t="s">
        <v>870</v>
      </c>
      <c r="T241">
        <v>3862</v>
      </c>
      <c r="U241">
        <v>955</v>
      </c>
      <c r="V241">
        <v>1691</v>
      </c>
      <c r="W241">
        <v>779845</v>
      </c>
    </row>
    <row r="242" spans="1:24">
      <c r="A242" s="2">
        <f>HYPERLINK("https://finance.naver.com/item/coinfo.nhn?code=272110", "A272110")</f>
        <v>0</v>
      </c>
      <c r="B242">
        <f>HYPERLINK("http://comp.fnguide.com/SVO2/ASP/SVD_Consensus.asp?pGB=1&amp;gicode=A272110&amp;cID=&amp;MenuYn=Y&amp;ReportGB=&amp;NewMenuID=108&amp;stkGb=701", "케이엔제이")</f>
        <v>0</v>
      </c>
      <c r="C242">
        <v>1</v>
      </c>
      <c r="D242">
        <v>11700</v>
      </c>
      <c r="E242">
        <v>0.19</v>
      </c>
      <c r="F242">
        <v>15993</v>
      </c>
      <c r="G242">
        <v>8925</v>
      </c>
      <c r="H242">
        <v>6909</v>
      </c>
      <c r="I242">
        <v>-36.69</v>
      </c>
      <c r="J242">
        <v>23.72</v>
      </c>
      <c r="K242">
        <v>40.95</v>
      </c>
      <c r="L242">
        <v>30.22</v>
      </c>
      <c r="M242" t="b">
        <v>1</v>
      </c>
      <c r="N242">
        <v>742</v>
      </c>
      <c r="O242">
        <v>83141</v>
      </c>
      <c r="P242" t="s">
        <v>240</v>
      </c>
      <c r="Q242">
        <v>28.77</v>
      </c>
      <c r="R242" t="s">
        <v>556</v>
      </c>
      <c r="S242" t="s">
        <v>871</v>
      </c>
      <c r="T242">
        <v>563</v>
      </c>
      <c r="U242">
        <v>38</v>
      </c>
      <c r="V242">
        <v>854</v>
      </c>
    </row>
    <row r="243" spans="1:24">
      <c r="A243" s="2">
        <f>HYPERLINK("https://finance.naver.com/item/coinfo.nhn?code=166090", "A166090")</f>
        <v>0</v>
      </c>
      <c r="B243">
        <f>HYPERLINK("http://comp.fnguide.com/SVO2/ASP/SVD_Consensus.asp?pGB=1&amp;gicode=A166090&amp;cID=&amp;MenuYn=Y&amp;ReportGB=&amp;NewMenuID=108&amp;stkGb=701", "하나머티리얼즈")</f>
        <v>0</v>
      </c>
      <c r="C243">
        <v>1</v>
      </c>
      <c r="D243">
        <v>25600</v>
      </c>
      <c r="E243">
        <v>0.53</v>
      </c>
      <c r="F243">
        <v>25631</v>
      </c>
      <c r="G243">
        <v>14738</v>
      </c>
      <c r="H243">
        <v>11631</v>
      </c>
      <c r="I243">
        <v>-0.12</v>
      </c>
      <c r="J243">
        <v>42.43</v>
      </c>
      <c r="K243">
        <v>54.57</v>
      </c>
      <c r="L243">
        <v>27.3</v>
      </c>
      <c r="M243" t="b">
        <v>1</v>
      </c>
      <c r="N243">
        <v>5025</v>
      </c>
      <c r="O243">
        <v>570787</v>
      </c>
      <c r="P243" t="s">
        <v>241</v>
      </c>
      <c r="Q243">
        <v>44.94</v>
      </c>
      <c r="R243" t="s">
        <v>557</v>
      </c>
      <c r="S243" t="s">
        <v>872</v>
      </c>
      <c r="T243">
        <v>1548</v>
      </c>
      <c r="U243">
        <v>409</v>
      </c>
      <c r="V243">
        <v>1409</v>
      </c>
      <c r="W243">
        <v>220834</v>
      </c>
      <c r="X243">
        <v>1.06</v>
      </c>
    </row>
    <row r="244" spans="1:24">
      <c r="A244" s="2">
        <f>HYPERLINK("https://finance.naver.com/item/coinfo.nhn?code=023770", "A023770")</f>
        <v>0</v>
      </c>
      <c r="B244">
        <f>HYPERLINK("http://comp.fnguide.com/SVO2/ASP/SVD_Consensus.asp?pGB=1&amp;gicode=A023770&amp;cID=&amp;MenuYn=Y&amp;ReportGB=&amp;NewMenuID=108&amp;stkGb=701", "플레이위드")</f>
        <v>0</v>
      </c>
      <c r="C244">
        <v>1</v>
      </c>
      <c r="D244">
        <v>8550</v>
      </c>
      <c r="E244">
        <v>0.03</v>
      </c>
      <c r="F244">
        <v>10610</v>
      </c>
      <c r="G244">
        <v>5487</v>
      </c>
      <c r="H244">
        <v>4026</v>
      </c>
      <c r="I244">
        <v>-24.1</v>
      </c>
      <c r="J244">
        <v>35.82</v>
      </c>
      <c r="K244">
        <v>52.91</v>
      </c>
      <c r="L244">
        <v>40.72</v>
      </c>
      <c r="M244" t="b">
        <v>1</v>
      </c>
      <c r="N244">
        <v>744</v>
      </c>
      <c r="O244">
        <v>57511</v>
      </c>
      <c r="P244" t="s">
        <v>242</v>
      </c>
      <c r="Q244">
        <v>22.62</v>
      </c>
      <c r="R244" t="s">
        <v>558</v>
      </c>
      <c r="S244" t="s">
        <v>873</v>
      </c>
      <c r="T244">
        <v>560</v>
      </c>
      <c r="U244">
        <v>136</v>
      </c>
      <c r="V244">
        <v>1086</v>
      </c>
    </row>
    <row r="245" spans="1:24">
      <c r="A245" s="2">
        <f>HYPERLINK("https://finance.naver.com/item/coinfo.nhn?code=036930", "A036930")</f>
        <v>0</v>
      </c>
      <c r="B245">
        <f>HYPERLINK("http://comp.fnguide.com/SVO2/ASP/SVD_Consensus.asp?pGB=1&amp;gicode=A036930&amp;cID=&amp;MenuYn=Y&amp;ReportGB=&amp;NewMenuID=108&amp;stkGb=701", "주성엔지니어링")</f>
        <v>0</v>
      </c>
      <c r="C245">
        <v>1</v>
      </c>
      <c r="D245">
        <v>8730</v>
      </c>
      <c r="E245">
        <v>0.43</v>
      </c>
      <c r="F245">
        <v>10922</v>
      </c>
      <c r="G245">
        <v>7385</v>
      </c>
      <c r="H245">
        <v>6376</v>
      </c>
      <c r="I245">
        <v>-25.11</v>
      </c>
      <c r="J245">
        <v>15.41</v>
      </c>
      <c r="K245">
        <v>26.96</v>
      </c>
      <c r="L245">
        <v>17.32</v>
      </c>
      <c r="M245" t="b">
        <v>1</v>
      </c>
      <c r="N245">
        <v>4212</v>
      </c>
      <c r="O245">
        <v>15700369</v>
      </c>
      <c r="P245" t="s">
        <v>243</v>
      </c>
      <c r="Q245">
        <v>28.28</v>
      </c>
      <c r="R245" t="s">
        <v>559</v>
      </c>
      <c r="S245" t="s">
        <v>874</v>
      </c>
      <c r="T245">
        <v>2591</v>
      </c>
      <c r="U245">
        <v>309</v>
      </c>
      <c r="V245">
        <v>534</v>
      </c>
      <c r="X245">
        <v>0.86</v>
      </c>
    </row>
    <row r="246" spans="1:24">
      <c r="A246" s="2">
        <f>HYPERLINK("https://finance.naver.com/item/coinfo.nhn?code=208350", "A208350")</f>
        <v>0</v>
      </c>
      <c r="B246">
        <f>HYPERLINK("http://comp.fnguide.com/SVO2/ASP/SVD_Consensus.asp?pGB=1&amp;gicode=A208350&amp;cID=&amp;MenuYn=Y&amp;ReportGB=&amp;NewMenuID=108&amp;stkGb=701", "지란지교시큐리티")</f>
        <v>0</v>
      </c>
      <c r="C246">
        <v>1</v>
      </c>
      <c r="D246">
        <v>5750</v>
      </c>
      <c r="E246">
        <v>-0.5</v>
      </c>
      <c r="F246">
        <v>5783</v>
      </c>
      <c r="G246">
        <v>5717</v>
      </c>
      <c r="H246">
        <v>5698</v>
      </c>
      <c r="I246">
        <v>-0.58</v>
      </c>
      <c r="J246">
        <v>0.57</v>
      </c>
      <c r="K246">
        <v>0.9</v>
      </c>
      <c r="L246">
        <v>8.130000000000001</v>
      </c>
      <c r="M246" t="b">
        <v>1</v>
      </c>
      <c r="N246">
        <v>447</v>
      </c>
      <c r="O246">
        <v>684580</v>
      </c>
      <c r="P246" t="s">
        <v>244</v>
      </c>
      <c r="Q246">
        <v>44.13</v>
      </c>
      <c r="R246" t="s">
        <v>560</v>
      </c>
      <c r="S246" t="s">
        <v>875</v>
      </c>
      <c r="T246">
        <v>615</v>
      </c>
      <c r="U246">
        <v>35</v>
      </c>
      <c r="V246">
        <v>318</v>
      </c>
      <c r="W246">
        <v>1198</v>
      </c>
    </row>
    <row r="247" spans="1:24">
      <c r="A247" s="2">
        <f>HYPERLINK("https://finance.naver.com/item/coinfo.nhn?code=036890", "A036890")</f>
        <v>0</v>
      </c>
      <c r="B247">
        <f>HYPERLINK("http://comp.fnguide.com/SVO2/ASP/SVD_Consensus.asp?pGB=1&amp;gicode=A036890&amp;cID=&amp;MenuYn=Y&amp;ReportGB=&amp;NewMenuID=108&amp;stkGb=701", "진성티이씨")</f>
        <v>0</v>
      </c>
      <c r="C247">
        <v>1</v>
      </c>
      <c r="D247">
        <v>10350</v>
      </c>
      <c r="E247">
        <v>-4.37</v>
      </c>
      <c r="F247">
        <v>14531</v>
      </c>
      <c r="G247">
        <v>10007</v>
      </c>
      <c r="H247">
        <v>8716</v>
      </c>
      <c r="I247">
        <v>-40.4</v>
      </c>
      <c r="J247">
        <v>3.32</v>
      </c>
      <c r="K247">
        <v>15.78</v>
      </c>
      <c r="L247">
        <v>16.57</v>
      </c>
      <c r="M247" t="b">
        <v>1</v>
      </c>
      <c r="N247">
        <v>2327</v>
      </c>
      <c r="O247">
        <v>258462</v>
      </c>
      <c r="P247" t="s">
        <v>245</v>
      </c>
      <c r="Q247">
        <v>36.15</v>
      </c>
      <c r="R247" t="s">
        <v>561</v>
      </c>
      <c r="S247" t="s">
        <v>876</v>
      </c>
      <c r="T247">
        <v>3556</v>
      </c>
      <c r="U247">
        <v>299</v>
      </c>
      <c r="V247">
        <v>979</v>
      </c>
      <c r="W247">
        <v>2517977</v>
      </c>
      <c r="X247">
        <v>2.88</v>
      </c>
    </row>
    <row r="248" spans="1:24">
      <c r="A248" s="2">
        <f>HYPERLINK("https://finance.naver.com/item/coinfo.nhn?code=290720", "A290720")</f>
        <v>0</v>
      </c>
      <c r="B248">
        <f>HYPERLINK("http://comp.fnguide.com/SVO2/ASP/SVD_Consensus.asp?pGB=1&amp;gicode=A290720&amp;cID=&amp;MenuYn=Y&amp;ReportGB=&amp;NewMenuID=108&amp;stkGb=701", "푸드나무")</f>
        <v>0</v>
      </c>
      <c r="C248">
        <v>1</v>
      </c>
      <c r="D248">
        <v>22100</v>
      </c>
      <c r="E248">
        <v>2.67</v>
      </c>
      <c r="F248">
        <v>22751</v>
      </c>
      <c r="G248">
        <v>13612</v>
      </c>
      <c r="H248">
        <v>11006</v>
      </c>
      <c r="I248">
        <v>-2.95</v>
      </c>
      <c r="J248">
        <v>38.41</v>
      </c>
      <c r="K248">
        <v>50.2</v>
      </c>
      <c r="L248">
        <v>24.1</v>
      </c>
      <c r="M248" t="b">
        <v>1</v>
      </c>
      <c r="N248">
        <v>1504</v>
      </c>
      <c r="O248">
        <v>30824</v>
      </c>
      <c r="P248" t="s">
        <v>246</v>
      </c>
      <c r="Q248">
        <v>74.3</v>
      </c>
      <c r="R248" t="s">
        <v>562</v>
      </c>
      <c r="S248" t="s">
        <v>877</v>
      </c>
      <c r="T248">
        <v>648</v>
      </c>
      <c r="U248">
        <v>55</v>
      </c>
      <c r="V248">
        <v>655</v>
      </c>
      <c r="W248">
        <v>76384</v>
      </c>
      <c r="X248">
        <v>0.42</v>
      </c>
    </row>
    <row r="249" spans="1:24">
      <c r="A249" s="2">
        <f>HYPERLINK("https://finance.naver.com/item/coinfo.nhn?code=318010", "A318010")</f>
        <v>0</v>
      </c>
      <c r="B249">
        <f>HYPERLINK("http://comp.fnguide.com/SVO2/ASP/SVD_Consensus.asp?pGB=1&amp;gicode=A318010&amp;cID=&amp;MenuYn=Y&amp;ReportGB=&amp;NewMenuID=108&amp;stkGb=701", "팜스빌")</f>
        <v>0</v>
      </c>
      <c r="C249">
        <v>1</v>
      </c>
      <c r="D249">
        <v>11400</v>
      </c>
      <c r="E249">
        <v>-2.45</v>
      </c>
      <c r="F249">
        <v>14008</v>
      </c>
      <c r="G249">
        <v>9835</v>
      </c>
      <c r="H249">
        <v>8646</v>
      </c>
      <c r="I249">
        <v>-22.87</v>
      </c>
      <c r="J249">
        <v>13.72</v>
      </c>
      <c r="K249">
        <v>24.16</v>
      </c>
      <c r="L249">
        <v>15.83</v>
      </c>
      <c r="M249" t="b">
        <v>1</v>
      </c>
      <c r="N249">
        <v>904</v>
      </c>
      <c r="O249">
        <v>125561</v>
      </c>
      <c r="P249" t="s">
        <v>247</v>
      </c>
      <c r="Q249">
        <v>70.37</v>
      </c>
      <c r="R249" t="s">
        <v>563</v>
      </c>
      <c r="S249" t="s">
        <v>878</v>
      </c>
      <c r="T249">
        <v>300</v>
      </c>
      <c r="U249">
        <v>71</v>
      </c>
      <c r="V249">
        <v>1092</v>
      </c>
      <c r="W249">
        <v>82908</v>
      </c>
      <c r="X249">
        <v>1.71</v>
      </c>
    </row>
    <row r="250" spans="1:24">
      <c r="A250" s="2">
        <f>HYPERLINK("https://finance.naver.com/item/coinfo.nhn?code=037030", "A037030")</f>
        <v>0</v>
      </c>
      <c r="B250">
        <f>HYPERLINK("http://comp.fnguide.com/SVO2/ASP/SVD_Consensus.asp?pGB=1&amp;gicode=A037030&amp;cID=&amp;MenuYn=Y&amp;ReportGB=&amp;NewMenuID=108&amp;stkGb=701", "파워넷")</f>
        <v>0</v>
      </c>
      <c r="C250">
        <v>1</v>
      </c>
      <c r="D250">
        <v>5290</v>
      </c>
      <c r="E250">
        <v>-0.5600000000000001</v>
      </c>
      <c r="F250">
        <v>5528</v>
      </c>
      <c r="G250">
        <v>4217</v>
      </c>
      <c r="H250">
        <v>3843</v>
      </c>
      <c r="I250">
        <v>-4.51</v>
      </c>
      <c r="J250">
        <v>20.28</v>
      </c>
      <c r="K250">
        <v>27.35</v>
      </c>
      <c r="L250">
        <v>13.19</v>
      </c>
      <c r="M250" t="b">
        <v>1</v>
      </c>
      <c r="N250">
        <v>826</v>
      </c>
      <c r="O250">
        <v>805873</v>
      </c>
      <c r="P250" t="s">
        <v>248</v>
      </c>
      <c r="Q250">
        <v>25.52</v>
      </c>
      <c r="R250" t="s">
        <v>564</v>
      </c>
      <c r="S250" t="s">
        <v>879</v>
      </c>
      <c r="T250">
        <v>1286</v>
      </c>
      <c r="U250">
        <v>52</v>
      </c>
      <c r="V250">
        <v>451</v>
      </c>
      <c r="W250">
        <v>5633</v>
      </c>
    </row>
    <row r="251" spans="1:24">
      <c r="A251" s="2">
        <f>HYPERLINK("https://finance.naver.com/item/coinfo.nhn?code=066700", "A066700")</f>
        <v>0</v>
      </c>
      <c r="B251">
        <f>HYPERLINK("http://comp.fnguide.com/SVO2/ASP/SVD_Consensus.asp?pGB=1&amp;gicode=A066700&amp;cID=&amp;MenuYn=Y&amp;ReportGB=&amp;NewMenuID=108&amp;stkGb=701", "테라젠이텍스")</f>
        <v>0</v>
      </c>
      <c r="C251">
        <v>1</v>
      </c>
      <c r="D251">
        <v>9970</v>
      </c>
      <c r="E251">
        <v>-0.13</v>
      </c>
      <c r="F251">
        <v>10876</v>
      </c>
      <c r="G251">
        <v>6899</v>
      </c>
      <c r="H251">
        <v>5765</v>
      </c>
      <c r="I251">
        <v>-9.09</v>
      </c>
      <c r="J251">
        <v>30.8</v>
      </c>
      <c r="K251">
        <v>42.18</v>
      </c>
      <c r="L251">
        <v>20.4</v>
      </c>
      <c r="M251" t="b">
        <v>1</v>
      </c>
      <c r="N251">
        <v>3232</v>
      </c>
      <c r="O251">
        <v>476368</v>
      </c>
      <c r="P251" t="s">
        <v>249</v>
      </c>
      <c r="Q251">
        <v>16.89</v>
      </c>
      <c r="R251" t="s">
        <v>565</v>
      </c>
      <c r="S251" t="s">
        <v>880</v>
      </c>
      <c r="T251">
        <v>1381</v>
      </c>
      <c r="U251">
        <v>37</v>
      </c>
      <c r="V251">
        <v>1408</v>
      </c>
      <c r="W251">
        <v>469056</v>
      </c>
    </row>
    <row r="252" spans="1:24">
      <c r="A252" s="2">
        <f>HYPERLINK("https://finance.naver.com/item/coinfo.nhn?code=124560", "A124560")</f>
        <v>0</v>
      </c>
      <c r="B252">
        <f>HYPERLINK("http://comp.fnguide.com/SVO2/ASP/SVD_Consensus.asp?pGB=1&amp;gicode=A124560&amp;cID=&amp;MenuYn=Y&amp;ReportGB=&amp;NewMenuID=108&amp;stkGb=701", "태웅로직스")</f>
        <v>0</v>
      </c>
      <c r="C252">
        <v>1</v>
      </c>
      <c r="D252">
        <v>5260</v>
      </c>
      <c r="E252">
        <v>0.05</v>
      </c>
      <c r="F252">
        <v>8103</v>
      </c>
      <c r="G252">
        <v>4595</v>
      </c>
      <c r="H252">
        <v>3595</v>
      </c>
      <c r="I252">
        <v>-54.05</v>
      </c>
      <c r="J252">
        <v>12.64</v>
      </c>
      <c r="K252">
        <v>31.66</v>
      </c>
      <c r="L252">
        <v>28.59</v>
      </c>
      <c r="M252" t="b">
        <v>1</v>
      </c>
      <c r="N252">
        <v>1028</v>
      </c>
      <c r="O252">
        <v>1125966</v>
      </c>
      <c r="P252" t="s">
        <v>250</v>
      </c>
      <c r="Q252">
        <v>38.11</v>
      </c>
      <c r="R252" t="s">
        <v>566</v>
      </c>
      <c r="S252" t="s">
        <v>881</v>
      </c>
      <c r="T252">
        <v>2861</v>
      </c>
      <c r="U252">
        <v>150</v>
      </c>
      <c r="V252">
        <v>631</v>
      </c>
      <c r="W252">
        <v>1322223</v>
      </c>
      <c r="X252">
        <v>0.98</v>
      </c>
    </row>
    <row r="253" spans="1:24">
      <c r="A253" s="2">
        <f>HYPERLINK("https://finance.naver.com/item/coinfo.nhn?code=078340", "A078340")</f>
        <v>0</v>
      </c>
      <c r="B253">
        <f>HYPERLINK("http://comp.fnguide.com/SVO2/ASP/SVD_Consensus.asp?pGB=1&amp;gicode=A078340&amp;cID=&amp;MenuYn=Y&amp;ReportGB=&amp;NewMenuID=108&amp;stkGb=701", "컴투스")</f>
        <v>0</v>
      </c>
      <c r="C253">
        <v>1</v>
      </c>
      <c r="D253">
        <v>142100</v>
      </c>
      <c r="E253">
        <v>-1.48</v>
      </c>
      <c r="F253">
        <v>144977</v>
      </c>
      <c r="G253">
        <v>103852</v>
      </c>
      <c r="H253">
        <v>92123</v>
      </c>
      <c r="I253">
        <v>-2.02</v>
      </c>
      <c r="J253">
        <v>26.92</v>
      </c>
      <c r="K253">
        <v>35.17</v>
      </c>
      <c r="L253">
        <v>15.12</v>
      </c>
      <c r="M253" t="b">
        <v>1</v>
      </c>
      <c r="N253">
        <v>18283</v>
      </c>
      <c r="O253">
        <v>189242</v>
      </c>
      <c r="P253" t="s">
        <v>251</v>
      </c>
      <c r="Q253">
        <v>29.45</v>
      </c>
      <c r="R253" t="s">
        <v>567</v>
      </c>
      <c r="S253" t="s">
        <v>882</v>
      </c>
      <c r="T253">
        <v>4693</v>
      </c>
      <c r="U253">
        <v>1260</v>
      </c>
      <c r="V253">
        <v>8693</v>
      </c>
      <c r="W253">
        <v>844041</v>
      </c>
      <c r="X253">
        <v>1.3</v>
      </c>
    </row>
    <row r="254" spans="1:24">
      <c r="A254" s="2">
        <f>HYPERLINK("https://finance.naver.com/item/coinfo.nhn?code=307930", "A307930")</f>
        <v>0</v>
      </c>
      <c r="B254">
        <f>HYPERLINK("http://comp.fnguide.com/SVO2/ASP/SVD_Consensus.asp?pGB=1&amp;gicode=A307930&amp;cID=&amp;MenuYn=Y&amp;ReportGB=&amp;NewMenuID=108&amp;stkGb=701", "컴퍼니케이")</f>
        <v>0</v>
      </c>
      <c r="C254">
        <v>1</v>
      </c>
      <c r="D254">
        <v>6680</v>
      </c>
      <c r="E254">
        <v>0</v>
      </c>
      <c r="F254">
        <v>8200</v>
      </c>
      <c r="G254">
        <v>5245</v>
      </c>
      <c r="H254">
        <v>4402</v>
      </c>
      <c r="I254">
        <v>-22.75</v>
      </c>
      <c r="J254">
        <v>21.48</v>
      </c>
      <c r="K254">
        <v>34.09</v>
      </c>
      <c r="L254">
        <v>19.95</v>
      </c>
      <c r="M254" t="b">
        <v>1</v>
      </c>
      <c r="N254">
        <v>1043</v>
      </c>
      <c r="O254">
        <v>137310</v>
      </c>
      <c r="P254" t="s">
        <v>252</v>
      </c>
      <c r="Q254">
        <v>73.61</v>
      </c>
      <c r="R254" t="s">
        <v>568</v>
      </c>
      <c r="S254" t="s">
        <v>883</v>
      </c>
      <c r="T254">
        <v>169</v>
      </c>
      <c r="U254">
        <v>108</v>
      </c>
      <c r="V254">
        <v>605</v>
      </c>
      <c r="X254">
        <v>2.06</v>
      </c>
    </row>
    <row r="255" spans="1:24">
      <c r="A255" s="2">
        <f>HYPERLINK("https://finance.naver.com/item/coinfo.nhn?code=033290", "A033290")</f>
        <v>0</v>
      </c>
      <c r="B255">
        <f>HYPERLINK("http://comp.fnguide.com/SVO2/ASP/SVD_Consensus.asp?pGB=1&amp;gicode=A033290&amp;cID=&amp;MenuYn=Y&amp;ReportGB=&amp;NewMenuID=108&amp;stkGb=701", "코웰패션")</f>
        <v>0</v>
      </c>
      <c r="C255">
        <v>1</v>
      </c>
      <c r="D255">
        <v>5570</v>
      </c>
      <c r="E255">
        <v>0.24</v>
      </c>
      <c r="F255">
        <v>9259</v>
      </c>
      <c r="G255">
        <v>5456</v>
      </c>
      <c r="H255">
        <v>4372</v>
      </c>
      <c r="I255">
        <v>-66.23999999999999</v>
      </c>
      <c r="J255">
        <v>2.04</v>
      </c>
      <c r="K255">
        <v>21.51</v>
      </c>
      <c r="L255">
        <v>25.25</v>
      </c>
      <c r="M255" t="b">
        <v>1</v>
      </c>
      <c r="N255">
        <v>4929</v>
      </c>
      <c r="O255">
        <v>284708</v>
      </c>
      <c r="P255" t="s">
        <v>253</v>
      </c>
      <c r="Q255">
        <v>70.83</v>
      </c>
      <c r="R255" t="s">
        <v>569</v>
      </c>
      <c r="S255" t="s">
        <v>884</v>
      </c>
      <c r="T255">
        <v>3947</v>
      </c>
      <c r="U255">
        <v>761</v>
      </c>
      <c r="V255">
        <v>568</v>
      </c>
      <c r="W255">
        <v>5171107</v>
      </c>
      <c r="X255">
        <v>1.77</v>
      </c>
    </row>
    <row r="256" spans="1:24">
      <c r="A256" s="2">
        <f>HYPERLINK("https://finance.naver.com/item/coinfo.nhn?code=089890", "A089890")</f>
        <v>0</v>
      </c>
      <c r="B256">
        <f>HYPERLINK("http://comp.fnguide.com/SVO2/ASP/SVD_Consensus.asp?pGB=1&amp;gicode=A089890&amp;cID=&amp;MenuYn=Y&amp;ReportGB=&amp;NewMenuID=108&amp;stkGb=701", "코세스")</f>
        <v>0</v>
      </c>
      <c r="C256">
        <v>1</v>
      </c>
      <c r="D256">
        <v>8030</v>
      </c>
      <c r="E256">
        <v>-2.25</v>
      </c>
      <c r="F256">
        <v>10811</v>
      </c>
      <c r="G256">
        <v>5376</v>
      </c>
      <c r="H256">
        <v>3826</v>
      </c>
      <c r="I256">
        <v>-34.63</v>
      </c>
      <c r="J256">
        <v>33.05</v>
      </c>
      <c r="K256">
        <v>52.35</v>
      </c>
      <c r="L256">
        <v>48.97</v>
      </c>
      <c r="M256" t="b">
        <v>1</v>
      </c>
      <c r="N256">
        <v>1332</v>
      </c>
      <c r="O256">
        <v>754092</v>
      </c>
      <c r="P256" t="s">
        <v>254</v>
      </c>
      <c r="Q256">
        <v>51.31</v>
      </c>
      <c r="R256" t="s">
        <v>570</v>
      </c>
      <c r="S256" t="s">
        <v>885</v>
      </c>
      <c r="T256">
        <v>656</v>
      </c>
      <c r="U256">
        <v>77</v>
      </c>
      <c r="V256">
        <v>371</v>
      </c>
      <c r="W256">
        <v>1202816</v>
      </c>
    </row>
    <row r="257" spans="1:24">
      <c r="A257" s="2">
        <f>HYPERLINK("https://finance.naver.com/item/coinfo.nhn?code=293480", "A293480")</f>
        <v>0</v>
      </c>
      <c r="B257">
        <f>HYPERLINK("http://comp.fnguide.com/SVO2/ASP/SVD_Consensus.asp?pGB=1&amp;gicode=A293480&amp;cID=&amp;MenuYn=Y&amp;ReportGB=&amp;NewMenuID=108&amp;stkGb=701", "하나제약")</f>
        <v>0</v>
      </c>
      <c r="C257">
        <v>1</v>
      </c>
      <c r="D257">
        <v>24900</v>
      </c>
      <c r="E257">
        <v>-1.46</v>
      </c>
      <c r="F257">
        <v>32788</v>
      </c>
      <c r="G257">
        <v>21508</v>
      </c>
      <c r="H257">
        <v>18291</v>
      </c>
      <c r="I257">
        <v>-31.68</v>
      </c>
      <c r="J257">
        <v>13.62</v>
      </c>
      <c r="K257">
        <v>26.54</v>
      </c>
      <c r="L257">
        <v>18.68</v>
      </c>
      <c r="M257" t="b">
        <v>1</v>
      </c>
      <c r="N257">
        <v>4034</v>
      </c>
      <c r="O257">
        <v>53016</v>
      </c>
      <c r="P257" t="s">
        <v>255</v>
      </c>
      <c r="Q257">
        <v>58.69</v>
      </c>
      <c r="R257" t="s">
        <v>571</v>
      </c>
      <c r="S257" t="s">
        <v>886</v>
      </c>
      <c r="T257">
        <v>1663</v>
      </c>
      <c r="U257">
        <v>336</v>
      </c>
      <c r="V257">
        <v>1747</v>
      </c>
      <c r="W257">
        <v>470540</v>
      </c>
      <c r="X257">
        <v>2.04</v>
      </c>
    </row>
    <row r="258" spans="1:24">
      <c r="A258" s="2">
        <f>HYPERLINK("https://finance.naver.com/item/coinfo.nhn?code=101240", "A101240")</f>
        <v>0</v>
      </c>
      <c r="B258">
        <f>HYPERLINK("http://comp.fnguide.com/SVO2/ASP/SVD_Consensus.asp?pGB=1&amp;gicode=A101240&amp;cID=&amp;MenuYn=Y&amp;ReportGB=&amp;NewMenuID=108&amp;stkGb=701", "씨큐브")</f>
        <v>0</v>
      </c>
      <c r="C258">
        <v>1</v>
      </c>
      <c r="D258">
        <v>7410</v>
      </c>
      <c r="E258">
        <v>61.42</v>
      </c>
      <c r="F258">
        <v>7712</v>
      </c>
      <c r="G258">
        <v>6705</v>
      </c>
      <c r="H258">
        <v>6418</v>
      </c>
      <c r="I258">
        <v>-4.07</v>
      </c>
      <c r="J258">
        <v>9.51</v>
      </c>
      <c r="K258">
        <v>13.38</v>
      </c>
      <c r="L258">
        <v>10.2</v>
      </c>
      <c r="M258" t="b">
        <v>1</v>
      </c>
      <c r="N258">
        <v>751</v>
      </c>
      <c r="O258">
        <v>177411</v>
      </c>
      <c r="P258" t="s">
        <v>256</v>
      </c>
      <c r="Q258">
        <v>31.52</v>
      </c>
      <c r="R258" t="s">
        <v>572</v>
      </c>
      <c r="S258" t="s">
        <v>887</v>
      </c>
      <c r="T258">
        <v>447</v>
      </c>
      <c r="U258">
        <v>77</v>
      </c>
      <c r="V258">
        <v>586</v>
      </c>
      <c r="W258">
        <v>1175576</v>
      </c>
      <c r="X258">
        <v>2.03</v>
      </c>
    </row>
    <row r="259" spans="1:24">
      <c r="A259" s="2">
        <f>HYPERLINK("https://finance.naver.com/item/coinfo.nhn?code=041830", "A041830")</f>
        <v>0</v>
      </c>
      <c r="B259">
        <f>HYPERLINK("http://comp.fnguide.com/SVO2/ASP/SVD_Consensus.asp?pGB=1&amp;gicode=A041830&amp;cID=&amp;MenuYn=Y&amp;ReportGB=&amp;NewMenuID=108&amp;stkGb=701", "인바디")</f>
        <v>0</v>
      </c>
      <c r="C259">
        <v>1</v>
      </c>
      <c r="D259">
        <v>17650</v>
      </c>
      <c r="E259">
        <v>-3.14</v>
      </c>
      <c r="F259">
        <v>22382</v>
      </c>
      <c r="G259">
        <v>15381</v>
      </c>
      <c r="H259">
        <v>13384</v>
      </c>
      <c r="I259">
        <v>-26.81</v>
      </c>
      <c r="J259">
        <v>12.86</v>
      </c>
      <c r="K259">
        <v>24.17</v>
      </c>
      <c r="L259">
        <v>16.66</v>
      </c>
      <c r="M259" t="b">
        <v>1</v>
      </c>
      <c r="N259">
        <v>2415</v>
      </c>
      <c r="O259">
        <v>99544</v>
      </c>
      <c r="P259" t="s">
        <v>257</v>
      </c>
      <c r="Q259">
        <v>28.94</v>
      </c>
      <c r="R259" t="s">
        <v>573</v>
      </c>
      <c r="S259" t="s">
        <v>888</v>
      </c>
      <c r="T259">
        <v>1171</v>
      </c>
      <c r="U259">
        <v>276</v>
      </c>
      <c r="V259">
        <v>1493</v>
      </c>
      <c r="W259">
        <v>656935</v>
      </c>
      <c r="X259">
        <v>0.59</v>
      </c>
    </row>
    <row r="260" spans="1:24">
      <c r="A260" s="2">
        <f>HYPERLINK("https://finance.naver.com/item/coinfo.nhn?code=040160", "A040160")</f>
        <v>0</v>
      </c>
      <c r="B260">
        <f>HYPERLINK("http://comp.fnguide.com/SVO2/ASP/SVD_Consensus.asp?pGB=1&amp;gicode=A040160&amp;cID=&amp;MenuYn=Y&amp;ReportGB=&amp;NewMenuID=108&amp;stkGb=701", "누리텔레콤")</f>
        <v>0</v>
      </c>
      <c r="C260">
        <v>1</v>
      </c>
      <c r="D260">
        <v>8230</v>
      </c>
      <c r="E260">
        <v>0.16</v>
      </c>
      <c r="F260">
        <v>10589</v>
      </c>
      <c r="G260">
        <v>7860</v>
      </c>
      <c r="H260">
        <v>7082</v>
      </c>
      <c r="I260">
        <v>-28.67</v>
      </c>
      <c r="J260">
        <v>4.49</v>
      </c>
      <c r="K260">
        <v>13.95</v>
      </c>
      <c r="L260">
        <v>13.98</v>
      </c>
      <c r="M260" t="b">
        <v>1</v>
      </c>
      <c r="N260">
        <v>992</v>
      </c>
      <c r="O260">
        <v>303874</v>
      </c>
      <c r="P260" t="s">
        <v>258</v>
      </c>
      <c r="Q260">
        <v>40.68</v>
      </c>
      <c r="R260" t="s">
        <v>574</v>
      </c>
      <c r="S260" t="s">
        <v>889</v>
      </c>
      <c r="T260">
        <v>1479</v>
      </c>
      <c r="U260">
        <v>116</v>
      </c>
      <c r="V260">
        <v>736</v>
      </c>
      <c r="W260">
        <v>757550</v>
      </c>
      <c r="X260">
        <v>0.91</v>
      </c>
    </row>
    <row r="261" spans="1:24">
      <c r="A261" s="2">
        <f>HYPERLINK("https://finance.naver.com/item/coinfo.nhn?code=950190", "A950190")</f>
        <v>0</v>
      </c>
      <c r="B261">
        <f>HYPERLINK("http://comp.fnguide.com/SVO2/ASP/SVD_Consensus.asp?pGB=1&amp;gicode=A950190&amp;cID=&amp;MenuYn=Y&amp;ReportGB=&amp;NewMenuID=108&amp;stkGb=701", "미투젠")</f>
        <v>0</v>
      </c>
      <c r="C261">
        <v>1</v>
      </c>
      <c r="D261">
        <v>26550</v>
      </c>
      <c r="F261">
        <v>44143</v>
      </c>
      <c r="G261">
        <v>19601</v>
      </c>
      <c r="H261">
        <v>12602</v>
      </c>
      <c r="I261">
        <v>-66.26000000000001</v>
      </c>
      <c r="J261">
        <v>26.17</v>
      </c>
      <c r="K261">
        <v>52.53</v>
      </c>
      <c r="L261">
        <v>107.45</v>
      </c>
      <c r="M261" t="b">
        <v>0</v>
      </c>
      <c r="N261">
        <v>3422</v>
      </c>
      <c r="O261">
        <v>42835</v>
      </c>
      <c r="P261" t="s">
        <v>259</v>
      </c>
      <c r="Q261">
        <v>43.98</v>
      </c>
      <c r="R261" t="s">
        <v>575</v>
      </c>
      <c r="S261" t="s">
        <v>830</v>
      </c>
      <c r="T261">
        <v>969</v>
      </c>
      <c r="U261">
        <v>434</v>
      </c>
      <c r="V261">
        <v>3163</v>
      </c>
    </row>
    <row r="262" spans="1:24">
      <c r="A262" s="2">
        <f>HYPERLINK("https://finance.naver.com/item/coinfo.nhn?code=100790", "A100790")</f>
        <v>0</v>
      </c>
      <c r="B262">
        <f>HYPERLINK("http://comp.fnguide.com/SVO2/ASP/SVD_Consensus.asp?pGB=1&amp;gicode=A100790&amp;cID=&amp;MenuYn=Y&amp;ReportGB=&amp;NewMenuID=108&amp;stkGb=701", "미래에셋벤처투자")</f>
        <v>0</v>
      </c>
      <c r="C262">
        <v>1</v>
      </c>
      <c r="D262">
        <v>4405</v>
      </c>
      <c r="E262">
        <v>0</v>
      </c>
      <c r="F262">
        <v>4586</v>
      </c>
      <c r="G262">
        <v>3839</v>
      </c>
      <c r="H262">
        <v>3625</v>
      </c>
      <c r="I262">
        <v>-4.11</v>
      </c>
      <c r="J262">
        <v>12.86</v>
      </c>
      <c r="K262">
        <v>17.7</v>
      </c>
      <c r="L262">
        <v>10.95</v>
      </c>
      <c r="M262" t="b">
        <v>1</v>
      </c>
      <c r="N262">
        <v>2026</v>
      </c>
      <c r="O262">
        <v>386498</v>
      </c>
      <c r="P262" t="s">
        <v>260</v>
      </c>
      <c r="Q262">
        <v>64.01000000000001</v>
      </c>
      <c r="R262" t="s">
        <v>576</v>
      </c>
      <c r="S262" t="s">
        <v>890</v>
      </c>
      <c r="T262">
        <v>921</v>
      </c>
      <c r="U262">
        <v>163</v>
      </c>
      <c r="V262">
        <v>310</v>
      </c>
      <c r="X262">
        <v>3.81</v>
      </c>
    </row>
    <row r="263" spans="1:24">
      <c r="A263" s="2">
        <f>HYPERLINK("https://finance.naver.com/item/coinfo.nhn?code=005930", "A005930")</f>
        <v>0</v>
      </c>
      <c r="B263">
        <f>HYPERLINK("http://comp.fnguide.com/SVO2/ASP/SVD_Consensus.asp?pGB=1&amp;gicode=A005930&amp;cID=&amp;MenuYn=Y&amp;ReportGB=&amp;NewMenuID=108&amp;stkGb=701", "삼성전자")</f>
        <v>0</v>
      </c>
      <c r="C263">
        <v>1</v>
      </c>
      <c r="D263">
        <v>69500</v>
      </c>
      <c r="E263">
        <v>1.51</v>
      </c>
      <c r="F263">
        <v>77001</v>
      </c>
      <c r="G263">
        <v>56402</v>
      </c>
      <c r="H263">
        <v>50527</v>
      </c>
      <c r="I263">
        <v>-10.79</v>
      </c>
      <c r="J263">
        <v>18.85</v>
      </c>
      <c r="K263">
        <v>27.3</v>
      </c>
      <c r="L263">
        <v>14.39</v>
      </c>
      <c r="M263" t="b">
        <v>1</v>
      </c>
      <c r="N263">
        <v>4148999</v>
      </c>
      <c r="O263">
        <v>29703942</v>
      </c>
      <c r="P263" t="s">
        <v>261</v>
      </c>
      <c r="Q263">
        <v>21.19</v>
      </c>
      <c r="R263" t="s">
        <v>577</v>
      </c>
      <c r="S263" t="s">
        <v>891</v>
      </c>
      <c r="T263">
        <v>2304009</v>
      </c>
      <c r="U263">
        <v>277685</v>
      </c>
      <c r="V263">
        <v>3166</v>
      </c>
      <c r="X263">
        <v>2.54</v>
      </c>
    </row>
    <row r="264" spans="1:24">
      <c r="A264" s="2">
        <f>HYPERLINK("https://finance.naver.com/item/coinfo.nhn?code=257370", "A257370")</f>
        <v>0</v>
      </c>
      <c r="B264">
        <f>HYPERLINK("http://comp.fnguide.com/SVO2/ASP/SVD_Consensus.asp?pGB=1&amp;gicode=A257370&amp;cID=&amp;MenuYn=Y&amp;ReportGB=&amp;NewMenuID=108&amp;stkGb=701", "명성티엔에스")</f>
        <v>0</v>
      </c>
      <c r="C264">
        <v>1</v>
      </c>
      <c r="D264">
        <v>9260</v>
      </c>
      <c r="E264">
        <v>-3.81</v>
      </c>
      <c r="F264">
        <v>9925</v>
      </c>
      <c r="G264">
        <v>7662</v>
      </c>
      <c r="H264">
        <v>7016</v>
      </c>
      <c r="I264">
        <v>-7.18</v>
      </c>
      <c r="J264">
        <v>17.26</v>
      </c>
      <c r="K264">
        <v>24.23</v>
      </c>
      <c r="L264">
        <v>12.87</v>
      </c>
      <c r="M264" t="b">
        <v>0</v>
      </c>
      <c r="N264">
        <v>596</v>
      </c>
      <c r="O264">
        <v>182786</v>
      </c>
      <c r="P264" t="s">
        <v>262</v>
      </c>
      <c r="Q264">
        <v>11.49</v>
      </c>
      <c r="R264" t="s">
        <v>578</v>
      </c>
      <c r="S264" t="s">
        <v>892</v>
      </c>
      <c r="T264">
        <v>350</v>
      </c>
      <c r="U264">
        <v>9</v>
      </c>
      <c r="V264">
        <v>79</v>
      </c>
      <c r="W264">
        <v>219712</v>
      </c>
    </row>
    <row r="265" spans="1:24">
      <c r="A265" s="2">
        <f>HYPERLINK("https://finance.naver.com/item/coinfo.nhn?code=215200", "A215200")</f>
        <v>0</v>
      </c>
      <c r="B265">
        <f>HYPERLINK("http://comp.fnguide.com/SVO2/ASP/SVD_Consensus.asp?pGB=1&amp;gicode=A215200&amp;cID=&amp;MenuYn=Y&amp;ReportGB=&amp;NewMenuID=108&amp;stkGb=701", "메가스터디교육")</f>
        <v>0</v>
      </c>
      <c r="C265">
        <v>1</v>
      </c>
      <c r="D265">
        <v>38450</v>
      </c>
      <c r="E265">
        <v>0.44</v>
      </c>
      <c r="F265">
        <v>47591</v>
      </c>
      <c r="G265">
        <v>31612</v>
      </c>
      <c r="H265">
        <v>27055</v>
      </c>
      <c r="I265">
        <v>-23.77</v>
      </c>
      <c r="J265">
        <v>17.78</v>
      </c>
      <c r="K265">
        <v>29.64</v>
      </c>
      <c r="L265">
        <v>18.1</v>
      </c>
      <c r="M265" t="b">
        <v>0</v>
      </c>
      <c r="N265">
        <v>4553</v>
      </c>
      <c r="O265">
        <v>64038</v>
      </c>
      <c r="P265" t="s">
        <v>263</v>
      </c>
      <c r="Q265">
        <v>34.81</v>
      </c>
      <c r="R265" t="s">
        <v>579</v>
      </c>
      <c r="S265" t="s">
        <v>893</v>
      </c>
      <c r="T265">
        <v>4373</v>
      </c>
      <c r="U265">
        <v>596</v>
      </c>
      <c r="V265">
        <v>3985</v>
      </c>
      <c r="W265">
        <v>80557</v>
      </c>
      <c r="X265">
        <v>2.65</v>
      </c>
    </row>
    <row r="266" spans="1:24">
      <c r="A266" s="2">
        <f>HYPERLINK("https://finance.naver.com/item/coinfo.nhn?code=067280", "A067280")</f>
        <v>0</v>
      </c>
      <c r="B266">
        <f>HYPERLINK("http://comp.fnguide.com/SVO2/ASP/SVD_Consensus.asp?pGB=1&amp;gicode=A067280&amp;cID=&amp;MenuYn=Y&amp;ReportGB=&amp;NewMenuID=108&amp;stkGb=701", "멀티캠퍼스")</f>
        <v>0</v>
      </c>
      <c r="C266">
        <v>1</v>
      </c>
      <c r="D266">
        <v>33800</v>
      </c>
      <c r="E266">
        <v>-1.49</v>
      </c>
      <c r="F266">
        <v>41974</v>
      </c>
      <c r="G266">
        <v>27882</v>
      </c>
      <c r="H266">
        <v>23863</v>
      </c>
      <c r="I266">
        <v>-24.18</v>
      </c>
      <c r="J266">
        <v>17.51</v>
      </c>
      <c r="K266">
        <v>29.4</v>
      </c>
      <c r="L266">
        <v>18.1</v>
      </c>
      <c r="M266" t="b">
        <v>1</v>
      </c>
      <c r="N266">
        <v>2003</v>
      </c>
      <c r="O266">
        <v>13041</v>
      </c>
      <c r="P266" t="s">
        <v>264</v>
      </c>
      <c r="Q266">
        <v>62.44</v>
      </c>
      <c r="R266" t="s">
        <v>580</v>
      </c>
      <c r="S266" t="s">
        <v>894</v>
      </c>
      <c r="T266">
        <v>2880</v>
      </c>
      <c r="U266">
        <v>242</v>
      </c>
      <c r="V266">
        <v>3143</v>
      </c>
      <c r="X266">
        <v>1.73</v>
      </c>
    </row>
    <row r="267" spans="1:24">
      <c r="A267" s="2">
        <f>HYPERLINK("https://finance.naver.com/item/coinfo.nhn?code=001820", "A001820")</f>
        <v>0</v>
      </c>
      <c r="B267">
        <f>HYPERLINK("http://comp.fnguide.com/SVO2/ASP/SVD_Consensus.asp?pGB=1&amp;gicode=A001820&amp;cID=&amp;MenuYn=Y&amp;ReportGB=&amp;NewMenuID=108&amp;stkGb=701", "삼화콘덴서")</f>
        <v>0</v>
      </c>
      <c r="C267">
        <v>1</v>
      </c>
      <c r="D267">
        <v>59000</v>
      </c>
      <c r="E267">
        <v>0.36</v>
      </c>
      <c r="F267">
        <v>67325</v>
      </c>
      <c r="G267">
        <v>35836</v>
      </c>
      <c r="H267">
        <v>26855</v>
      </c>
      <c r="I267">
        <v>-14.11</v>
      </c>
      <c r="J267">
        <v>39.26</v>
      </c>
      <c r="K267">
        <v>54.48</v>
      </c>
      <c r="L267">
        <v>36.08</v>
      </c>
      <c r="M267" t="b">
        <v>1</v>
      </c>
      <c r="N267">
        <v>6133</v>
      </c>
      <c r="O267">
        <v>162279</v>
      </c>
      <c r="P267" t="s">
        <v>265</v>
      </c>
      <c r="Q267">
        <v>28.15</v>
      </c>
      <c r="R267" t="s">
        <v>581</v>
      </c>
      <c r="S267" t="s">
        <v>895</v>
      </c>
      <c r="T267">
        <v>2545</v>
      </c>
      <c r="U267">
        <v>373</v>
      </c>
      <c r="V267">
        <v>2852</v>
      </c>
      <c r="W267">
        <v>134000</v>
      </c>
      <c r="X267">
        <v>0.48</v>
      </c>
    </row>
    <row r="268" spans="1:24">
      <c r="A268" s="2">
        <f>HYPERLINK("https://finance.naver.com/item/coinfo.nhn?code=290550", "A290550")</f>
        <v>0</v>
      </c>
      <c r="B268">
        <f>HYPERLINK("http://comp.fnguide.com/SVO2/ASP/SVD_Consensus.asp?pGB=1&amp;gicode=A290550&amp;cID=&amp;MenuYn=Y&amp;ReportGB=&amp;NewMenuID=108&amp;stkGb=701", "디케이티")</f>
        <v>0</v>
      </c>
      <c r="C268">
        <v>1</v>
      </c>
      <c r="D268">
        <v>19200</v>
      </c>
      <c r="E268">
        <v>0.08</v>
      </c>
      <c r="F268">
        <v>25097</v>
      </c>
      <c r="G268">
        <v>14278</v>
      </c>
      <c r="H268">
        <v>11193</v>
      </c>
      <c r="I268">
        <v>-30.71</v>
      </c>
      <c r="J268">
        <v>25.63</v>
      </c>
      <c r="K268">
        <v>41.7</v>
      </c>
      <c r="L268">
        <v>28.28</v>
      </c>
      <c r="M268" t="b">
        <v>1</v>
      </c>
      <c r="N268">
        <v>1580</v>
      </c>
      <c r="O268">
        <v>125096</v>
      </c>
      <c r="P268" t="s">
        <v>266</v>
      </c>
      <c r="Q268">
        <v>58.31</v>
      </c>
      <c r="R268" t="s">
        <v>582</v>
      </c>
      <c r="S268" t="s">
        <v>896</v>
      </c>
      <c r="T268">
        <v>3377</v>
      </c>
      <c r="U268">
        <v>129</v>
      </c>
      <c r="V268">
        <v>965</v>
      </c>
    </row>
    <row r="269" spans="1:24">
      <c r="A269" s="2">
        <f>HYPERLINK("https://finance.naver.com/item/coinfo.nhn?code=104460", "A104460")</f>
        <v>0</v>
      </c>
      <c r="B269">
        <f>HYPERLINK("http://comp.fnguide.com/SVO2/ASP/SVD_Consensus.asp?pGB=1&amp;gicode=A104460&amp;cID=&amp;MenuYn=Y&amp;ReportGB=&amp;NewMenuID=108&amp;stkGb=701", "디와이피엔에프")</f>
        <v>0</v>
      </c>
      <c r="C269">
        <v>1</v>
      </c>
      <c r="D269">
        <v>17650</v>
      </c>
      <c r="E269">
        <v>-0.19</v>
      </c>
      <c r="F269">
        <v>22261</v>
      </c>
      <c r="G269">
        <v>13202</v>
      </c>
      <c r="H269">
        <v>10618</v>
      </c>
      <c r="I269">
        <v>-26.12</v>
      </c>
      <c r="J269">
        <v>25.2</v>
      </c>
      <c r="K269">
        <v>39.84</v>
      </c>
      <c r="L269">
        <v>24.75</v>
      </c>
      <c r="M269" t="b">
        <v>1</v>
      </c>
      <c r="N269">
        <v>1891</v>
      </c>
      <c r="O269">
        <v>108875</v>
      </c>
      <c r="P269" t="s">
        <v>267</v>
      </c>
      <c r="Q269">
        <v>49.34</v>
      </c>
      <c r="R269" t="s">
        <v>583</v>
      </c>
      <c r="S269" t="s">
        <v>897</v>
      </c>
      <c r="T269">
        <v>1656</v>
      </c>
      <c r="U269">
        <v>283</v>
      </c>
      <c r="V269">
        <v>1974</v>
      </c>
      <c r="W269">
        <v>1154603</v>
      </c>
      <c r="X269">
        <v>2.97</v>
      </c>
    </row>
    <row r="270" spans="1:24">
      <c r="A270" s="2">
        <f>HYPERLINK("https://finance.naver.com/item/coinfo.nhn?code=109740", "A109740")</f>
        <v>0</v>
      </c>
      <c r="B270">
        <f>HYPERLINK("http://comp.fnguide.com/SVO2/ASP/SVD_Consensus.asp?pGB=1&amp;gicode=A109740&amp;cID=&amp;MenuYn=Y&amp;ReportGB=&amp;NewMenuID=108&amp;stkGb=701", "디에스케이")</f>
        <v>0</v>
      </c>
      <c r="C270">
        <v>1</v>
      </c>
      <c r="D270">
        <v>6850</v>
      </c>
      <c r="E270">
        <v>-0.49</v>
      </c>
      <c r="F270">
        <v>7010</v>
      </c>
      <c r="G270">
        <v>6180</v>
      </c>
      <c r="H270">
        <v>5943</v>
      </c>
      <c r="I270">
        <v>-2.34</v>
      </c>
      <c r="J270">
        <v>9.779999999999999</v>
      </c>
      <c r="K270">
        <v>13.24</v>
      </c>
      <c r="L270">
        <v>9.94</v>
      </c>
      <c r="M270" t="b">
        <v>1</v>
      </c>
      <c r="N270">
        <v>1394</v>
      </c>
      <c r="O270">
        <v>52128</v>
      </c>
      <c r="P270" t="s">
        <v>268</v>
      </c>
      <c r="Q270">
        <v>23.63</v>
      </c>
      <c r="R270" t="s">
        <v>584</v>
      </c>
      <c r="S270" t="s">
        <v>898</v>
      </c>
      <c r="T270">
        <v>765</v>
      </c>
      <c r="U270">
        <v>55</v>
      </c>
      <c r="V270">
        <v>306</v>
      </c>
      <c r="W270">
        <v>346805</v>
      </c>
    </row>
    <row r="271" spans="1:24">
      <c r="A271" s="2">
        <f>HYPERLINK("https://finance.naver.com/item/coinfo.nhn?code=027970", "A027970")</f>
        <v>0</v>
      </c>
      <c r="B271">
        <f>HYPERLINK("http://comp.fnguide.com/SVO2/ASP/SVD_Consensus.asp?pGB=1&amp;gicode=A027970&amp;cID=&amp;MenuYn=Y&amp;ReportGB=&amp;NewMenuID=108&amp;stkGb=701", "세하")</f>
        <v>0</v>
      </c>
      <c r="C271">
        <v>1</v>
      </c>
      <c r="D271">
        <v>1880</v>
      </c>
      <c r="E271">
        <v>0.07000000000000001</v>
      </c>
      <c r="F271">
        <v>2074</v>
      </c>
      <c r="G271">
        <v>1224</v>
      </c>
      <c r="H271">
        <v>981</v>
      </c>
      <c r="I271">
        <v>-10.3</v>
      </c>
      <c r="J271">
        <v>34.91</v>
      </c>
      <c r="K271">
        <v>47.8</v>
      </c>
      <c r="L271">
        <v>25.13</v>
      </c>
      <c r="M271" t="b">
        <v>1</v>
      </c>
      <c r="N271">
        <v>1082</v>
      </c>
      <c r="O271">
        <v>2208117</v>
      </c>
      <c r="P271" t="s">
        <v>269</v>
      </c>
      <c r="Q271">
        <v>50.73</v>
      </c>
      <c r="R271" t="s">
        <v>585</v>
      </c>
      <c r="S271" t="s">
        <v>899</v>
      </c>
      <c r="T271">
        <v>1777</v>
      </c>
      <c r="U271">
        <v>141</v>
      </c>
      <c r="V271">
        <v>380</v>
      </c>
      <c r="W271">
        <v>1305</v>
      </c>
    </row>
    <row r="272" spans="1:24">
      <c r="A272" s="2">
        <f>HYPERLINK("https://finance.naver.com/item/coinfo.nhn?code=290120", "A290120")</f>
        <v>0</v>
      </c>
      <c r="B272">
        <f>HYPERLINK("http://comp.fnguide.com/SVO2/ASP/SVD_Consensus.asp?pGB=1&amp;gicode=A290120&amp;cID=&amp;MenuYn=Y&amp;ReportGB=&amp;NewMenuID=108&amp;stkGb=701", "대유에이피")</f>
        <v>0</v>
      </c>
      <c r="C272">
        <v>1</v>
      </c>
      <c r="D272">
        <v>7750</v>
      </c>
      <c r="E272">
        <v>0.15</v>
      </c>
      <c r="F272">
        <v>12029</v>
      </c>
      <c r="G272">
        <v>7381</v>
      </c>
      <c r="H272">
        <v>6056</v>
      </c>
      <c r="I272">
        <v>-55.21</v>
      </c>
      <c r="J272">
        <v>4.76</v>
      </c>
      <c r="K272">
        <v>21.86</v>
      </c>
      <c r="L272">
        <v>22.37</v>
      </c>
      <c r="M272" t="b">
        <v>1</v>
      </c>
      <c r="N272">
        <v>844</v>
      </c>
      <c r="O272">
        <v>1883527</v>
      </c>
      <c r="P272" t="s">
        <v>270</v>
      </c>
      <c r="Q272">
        <v>73.5</v>
      </c>
      <c r="R272" t="s">
        <v>586</v>
      </c>
      <c r="S272" t="s">
        <v>900</v>
      </c>
      <c r="T272">
        <v>1575</v>
      </c>
      <c r="U272">
        <v>101</v>
      </c>
      <c r="V272">
        <v>733</v>
      </c>
      <c r="X272">
        <v>2.81</v>
      </c>
    </row>
    <row r="273" spans="1:24">
      <c r="A273" s="2">
        <f>HYPERLINK("https://finance.naver.com/item/coinfo.nhn?code=092730", "A092730")</f>
        <v>0</v>
      </c>
      <c r="B273">
        <f>HYPERLINK("http://comp.fnguide.com/SVO2/ASP/SVD_Consensus.asp?pGB=1&amp;gicode=A092730&amp;cID=&amp;MenuYn=Y&amp;ReportGB=&amp;NewMenuID=108&amp;stkGb=701", "네오팜")</f>
        <v>0</v>
      </c>
      <c r="C273">
        <v>1</v>
      </c>
      <c r="D273">
        <v>28300</v>
      </c>
      <c r="E273">
        <v>0.53</v>
      </c>
      <c r="F273">
        <v>43567</v>
      </c>
      <c r="G273">
        <v>25519</v>
      </c>
      <c r="H273">
        <v>20372</v>
      </c>
      <c r="I273">
        <v>-53.95</v>
      </c>
      <c r="J273">
        <v>9.83</v>
      </c>
      <c r="K273">
        <v>28.01</v>
      </c>
      <c r="L273">
        <v>25.72</v>
      </c>
      <c r="M273" t="b">
        <v>1</v>
      </c>
      <c r="N273">
        <v>2323</v>
      </c>
      <c r="O273">
        <v>31298</v>
      </c>
      <c r="P273" t="s">
        <v>271</v>
      </c>
      <c r="Q273">
        <v>38.94</v>
      </c>
      <c r="R273" t="s">
        <v>587</v>
      </c>
      <c r="S273" t="s">
        <v>901</v>
      </c>
      <c r="T273">
        <v>832</v>
      </c>
      <c r="U273">
        <v>230</v>
      </c>
      <c r="V273">
        <v>2438</v>
      </c>
      <c r="W273">
        <v>386733</v>
      </c>
      <c r="X273">
        <v>1.55</v>
      </c>
    </row>
    <row r="274" spans="1:24">
      <c r="A274" s="2">
        <f>HYPERLINK("https://finance.naver.com/item/coinfo.nhn?code=038460", "A038460")</f>
        <v>0</v>
      </c>
      <c r="B274">
        <f>HYPERLINK("http://comp.fnguide.com/SVO2/ASP/SVD_Consensus.asp?pGB=1&amp;gicode=A038460&amp;cID=&amp;MenuYn=Y&amp;ReportGB=&amp;NewMenuID=108&amp;stkGb=701", "바이오스마트")</f>
        <v>0</v>
      </c>
      <c r="C274">
        <v>1</v>
      </c>
      <c r="D274">
        <v>8220</v>
      </c>
      <c r="E274">
        <v>-0.17</v>
      </c>
      <c r="F274">
        <v>10719</v>
      </c>
      <c r="G274">
        <v>7582</v>
      </c>
      <c r="H274">
        <v>6687</v>
      </c>
      <c r="I274">
        <v>-30.4</v>
      </c>
      <c r="J274">
        <v>7.76</v>
      </c>
      <c r="K274">
        <v>18.65</v>
      </c>
      <c r="L274">
        <v>15.57</v>
      </c>
      <c r="M274" t="b">
        <v>1</v>
      </c>
      <c r="N274">
        <v>1651</v>
      </c>
      <c r="O274">
        <v>324649</v>
      </c>
      <c r="P274" t="s">
        <v>272</v>
      </c>
      <c r="Q274">
        <v>23.2</v>
      </c>
      <c r="R274" t="s">
        <v>588</v>
      </c>
      <c r="S274" t="s">
        <v>902</v>
      </c>
      <c r="T274">
        <v>1590</v>
      </c>
      <c r="U274">
        <v>31</v>
      </c>
      <c r="V274">
        <v>1107</v>
      </c>
      <c r="W274">
        <v>889896</v>
      </c>
      <c r="X274">
        <v>1.45</v>
      </c>
    </row>
    <row r="275" spans="1:24">
      <c r="A275" s="2">
        <f>HYPERLINK("https://finance.naver.com/item/coinfo.nhn?code=267320", "A267320")</f>
        <v>0</v>
      </c>
      <c r="B275">
        <f>HYPERLINK("http://comp.fnguide.com/SVO2/ASP/SVD_Consensus.asp?pGB=1&amp;gicode=A267320&amp;cID=&amp;MenuYn=Y&amp;ReportGB=&amp;NewMenuID=108&amp;stkGb=701", "나인테크")</f>
        <v>0</v>
      </c>
      <c r="C275">
        <v>1</v>
      </c>
      <c r="D275">
        <v>4290</v>
      </c>
      <c r="F275">
        <v>5743</v>
      </c>
      <c r="G275">
        <v>2446</v>
      </c>
      <c r="H275">
        <v>1505</v>
      </c>
      <c r="I275">
        <v>-33.86</v>
      </c>
      <c r="J275">
        <v>42.99</v>
      </c>
      <c r="K275">
        <v>64.91</v>
      </c>
      <c r="L275">
        <v>181.15</v>
      </c>
      <c r="M275" t="b">
        <v>0</v>
      </c>
      <c r="N275">
        <v>1690</v>
      </c>
      <c r="O275">
        <v>800885</v>
      </c>
      <c r="P275" t="s">
        <v>273</v>
      </c>
      <c r="Q275">
        <v>33.2</v>
      </c>
      <c r="R275" t="s">
        <v>589</v>
      </c>
      <c r="S275" t="s">
        <v>830</v>
      </c>
      <c r="T275">
        <v>752</v>
      </c>
      <c r="U275">
        <v>65</v>
      </c>
      <c r="V275">
        <v>114</v>
      </c>
      <c r="W275">
        <v>261560</v>
      </c>
    </row>
    <row r="276" spans="1:24">
      <c r="A276" s="2">
        <f>HYPERLINK("https://finance.naver.com/item/coinfo.nhn?code=089600", "A089600")</f>
        <v>0</v>
      </c>
      <c r="B276">
        <f>HYPERLINK("http://comp.fnguide.com/SVO2/ASP/SVD_Consensus.asp?pGB=1&amp;gicode=A089600&amp;cID=&amp;MenuYn=Y&amp;ReportGB=&amp;NewMenuID=108&amp;stkGb=701", "나스미디어")</f>
        <v>0</v>
      </c>
      <c r="C276">
        <v>1</v>
      </c>
      <c r="D276">
        <v>30000</v>
      </c>
      <c r="E276">
        <v>0.89</v>
      </c>
      <c r="F276">
        <v>34005</v>
      </c>
      <c r="G276">
        <v>23578</v>
      </c>
      <c r="H276">
        <v>20604</v>
      </c>
      <c r="I276">
        <v>-13.35</v>
      </c>
      <c r="J276">
        <v>21.41</v>
      </c>
      <c r="K276">
        <v>31.32</v>
      </c>
      <c r="L276">
        <v>16.3</v>
      </c>
      <c r="M276" t="b">
        <v>0</v>
      </c>
      <c r="N276">
        <v>2626</v>
      </c>
      <c r="O276">
        <v>54975</v>
      </c>
      <c r="P276" t="s">
        <v>274</v>
      </c>
      <c r="Q276">
        <v>59.59</v>
      </c>
      <c r="R276" t="s">
        <v>590</v>
      </c>
      <c r="S276" t="s">
        <v>903</v>
      </c>
      <c r="T276">
        <v>1170</v>
      </c>
      <c r="U276">
        <v>306</v>
      </c>
      <c r="V276">
        <v>2355</v>
      </c>
      <c r="W276">
        <v>252500</v>
      </c>
      <c r="X276">
        <v>1.98</v>
      </c>
    </row>
    <row r="277" spans="1:24">
      <c r="A277" s="2">
        <f>HYPERLINK("https://finance.naver.com/item/coinfo.nhn?code=010780", "A010780")</f>
        <v>0</v>
      </c>
      <c r="B277">
        <f>HYPERLINK("http://comp.fnguide.com/SVO2/ASP/SVD_Consensus.asp?pGB=1&amp;gicode=A010780&amp;cID=&amp;MenuYn=Y&amp;ReportGB=&amp;NewMenuID=108&amp;stkGb=701", "아이에스동서")</f>
        <v>0</v>
      </c>
      <c r="C277">
        <v>1</v>
      </c>
      <c r="D277">
        <v>48050</v>
      </c>
      <c r="E277">
        <v>2.89</v>
      </c>
      <c r="F277">
        <v>63433</v>
      </c>
      <c r="G277">
        <v>47003</v>
      </c>
      <c r="H277">
        <v>42317</v>
      </c>
      <c r="I277">
        <v>-32.01</v>
      </c>
      <c r="J277">
        <v>2.18</v>
      </c>
      <c r="K277">
        <v>11.93</v>
      </c>
      <c r="L277">
        <v>14.03</v>
      </c>
      <c r="M277" t="b">
        <v>1</v>
      </c>
      <c r="N277">
        <v>14844</v>
      </c>
      <c r="O277">
        <v>277219</v>
      </c>
      <c r="P277" t="s">
        <v>275</v>
      </c>
      <c r="Q277">
        <v>54.69</v>
      </c>
      <c r="R277" t="s">
        <v>591</v>
      </c>
      <c r="S277" t="s">
        <v>904</v>
      </c>
      <c r="T277">
        <v>9641</v>
      </c>
      <c r="U277">
        <v>662</v>
      </c>
      <c r="V277">
        <v>2138</v>
      </c>
      <c r="W277">
        <v>447941</v>
      </c>
      <c r="X277">
        <v>2.12</v>
      </c>
    </row>
    <row r="278" spans="1:24">
      <c r="A278" s="2">
        <f>HYPERLINK("https://finance.naver.com/item/coinfo.nhn?code=018250", "A018250")</f>
        <v>0</v>
      </c>
      <c r="B278">
        <f>HYPERLINK("http://comp.fnguide.com/SVO2/ASP/SVD_Consensus.asp?pGB=1&amp;gicode=A018250&amp;cID=&amp;MenuYn=Y&amp;ReportGB=&amp;NewMenuID=108&amp;stkGb=701", "애경산업")</f>
        <v>0</v>
      </c>
      <c r="C278">
        <v>1</v>
      </c>
      <c r="D278">
        <v>25600</v>
      </c>
      <c r="E278">
        <v>-1.67</v>
      </c>
      <c r="F278">
        <v>35807</v>
      </c>
      <c r="G278">
        <v>22059</v>
      </c>
      <c r="H278">
        <v>18138</v>
      </c>
      <c r="I278">
        <v>-39.87</v>
      </c>
      <c r="J278">
        <v>13.83</v>
      </c>
      <c r="K278">
        <v>29.15</v>
      </c>
      <c r="L278">
        <v>22.12</v>
      </c>
      <c r="M278" t="b">
        <v>1</v>
      </c>
      <c r="N278">
        <v>6761</v>
      </c>
      <c r="O278">
        <v>172096</v>
      </c>
      <c r="P278" t="s">
        <v>276</v>
      </c>
      <c r="Q278">
        <v>63.43</v>
      </c>
      <c r="R278" t="s">
        <v>592</v>
      </c>
      <c r="S278" t="s">
        <v>905</v>
      </c>
      <c r="T278">
        <v>7013</v>
      </c>
      <c r="U278">
        <v>606</v>
      </c>
      <c r="V278">
        <v>1581</v>
      </c>
      <c r="W278">
        <v>200010</v>
      </c>
      <c r="X278">
        <v>1.58</v>
      </c>
    </row>
    <row r="279" spans="1:24">
      <c r="A279" s="2">
        <f>HYPERLINK("https://finance.naver.com/item/coinfo.nhn?code=010050", "A010050")</f>
        <v>0</v>
      </c>
      <c r="B279">
        <f>HYPERLINK("http://comp.fnguide.com/SVO2/ASP/SVD_Consensus.asp?pGB=1&amp;gicode=A010050&amp;cID=&amp;MenuYn=Y&amp;ReportGB=&amp;NewMenuID=108&amp;stkGb=701", "우리종금")</f>
        <v>0</v>
      </c>
      <c r="C279">
        <v>1</v>
      </c>
      <c r="D279">
        <v>544</v>
      </c>
      <c r="E279">
        <v>0</v>
      </c>
      <c r="F279">
        <v>680</v>
      </c>
      <c r="G279">
        <v>524</v>
      </c>
      <c r="H279">
        <v>479</v>
      </c>
      <c r="I279">
        <v>-25.02</v>
      </c>
      <c r="J279">
        <v>3.67</v>
      </c>
      <c r="K279">
        <v>11.86</v>
      </c>
      <c r="L279">
        <v>12.92</v>
      </c>
      <c r="M279" t="b">
        <v>1</v>
      </c>
      <c r="N279">
        <v>4756</v>
      </c>
      <c r="O279">
        <v>2544342</v>
      </c>
      <c r="P279" t="s">
        <v>277</v>
      </c>
      <c r="Q279">
        <v>58.75</v>
      </c>
      <c r="R279" t="s">
        <v>593</v>
      </c>
      <c r="S279" t="s">
        <v>906</v>
      </c>
      <c r="T279">
        <v>2051</v>
      </c>
      <c r="U279">
        <v>539</v>
      </c>
      <c r="V279">
        <v>78</v>
      </c>
      <c r="W279">
        <v>69076</v>
      </c>
    </row>
    <row r="280" spans="1:24">
      <c r="A280" s="2">
        <f>HYPERLINK("https://finance.naver.com/item/coinfo.nhn?code=036670", "A036670")</f>
        <v>0</v>
      </c>
      <c r="B280">
        <f>HYPERLINK("http://comp.fnguide.com/SVO2/ASP/SVD_Consensus.asp?pGB=1&amp;gicode=A036670&amp;cID=&amp;MenuYn=Y&amp;ReportGB=&amp;NewMenuID=108&amp;stkGb=701", "KCI")</f>
        <v>0</v>
      </c>
      <c r="C280">
        <v>1</v>
      </c>
      <c r="D280">
        <v>10200</v>
      </c>
      <c r="E280">
        <v>0.6</v>
      </c>
      <c r="F280">
        <v>12539</v>
      </c>
      <c r="G280">
        <v>8642</v>
      </c>
      <c r="H280">
        <v>7531</v>
      </c>
      <c r="I280">
        <v>-22.93</v>
      </c>
      <c r="J280">
        <v>15.28</v>
      </c>
      <c r="K280">
        <v>26.17</v>
      </c>
      <c r="L280">
        <v>16.54</v>
      </c>
      <c r="M280" t="b">
        <v>1</v>
      </c>
      <c r="N280">
        <v>1150</v>
      </c>
      <c r="O280">
        <v>33365</v>
      </c>
      <c r="P280" t="s">
        <v>278</v>
      </c>
      <c r="Q280">
        <v>50.02</v>
      </c>
      <c r="R280" t="s">
        <v>594</v>
      </c>
      <c r="S280" t="s">
        <v>907</v>
      </c>
      <c r="T280">
        <v>696</v>
      </c>
      <c r="U280">
        <v>145</v>
      </c>
      <c r="V280">
        <v>1013</v>
      </c>
      <c r="W280">
        <v>509800</v>
      </c>
      <c r="X280">
        <v>1.84</v>
      </c>
    </row>
    <row r="281" spans="1:24">
      <c r="A281" s="2">
        <f>HYPERLINK("https://finance.naver.com/item/coinfo.nhn?code=317400", "A317400")</f>
        <v>0</v>
      </c>
      <c r="B281">
        <f>HYPERLINK("http://comp.fnguide.com/SVO2/ASP/SVD_Consensus.asp?pGB=1&amp;gicode=A317400&amp;cID=&amp;MenuYn=Y&amp;ReportGB=&amp;NewMenuID=108&amp;stkGb=701", "자이에스앤디")</f>
        <v>0</v>
      </c>
      <c r="C281">
        <v>1</v>
      </c>
      <c r="D281">
        <v>9630</v>
      </c>
      <c r="E281">
        <v>-2.62</v>
      </c>
      <c r="F281">
        <v>11910</v>
      </c>
      <c r="G281">
        <v>8011</v>
      </c>
      <c r="H281">
        <v>6899</v>
      </c>
      <c r="I281">
        <v>-23.68</v>
      </c>
      <c r="J281">
        <v>16.81</v>
      </c>
      <c r="K281">
        <v>28.36</v>
      </c>
      <c r="L281">
        <v>17.54</v>
      </c>
      <c r="M281" t="b">
        <v>1</v>
      </c>
      <c r="N281">
        <v>2579</v>
      </c>
      <c r="O281">
        <v>269381</v>
      </c>
      <c r="P281" t="s">
        <v>279</v>
      </c>
      <c r="Q281">
        <v>61.17</v>
      </c>
      <c r="R281" t="s">
        <v>595</v>
      </c>
      <c r="S281" t="s">
        <v>908</v>
      </c>
      <c r="T281">
        <v>2779</v>
      </c>
      <c r="U281">
        <v>165</v>
      </c>
      <c r="V281">
        <v>676</v>
      </c>
      <c r="X281">
        <v>1.75</v>
      </c>
    </row>
    <row r="282" spans="1:24">
      <c r="A282" s="2">
        <f>HYPERLINK("https://finance.naver.com/item/coinfo.nhn?code=069260", "A069260")</f>
        <v>0</v>
      </c>
      <c r="B282">
        <f>HYPERLINK("http://comp.fnguide.com/SVO2/ASP/SVD_Consensus.asp?pGB=1&amp;gicode=A069260&amp;cID=&amp;MenuYn=Y&amp;ReportGB=&amp;NewMenuID=108&amp;stkGb=701", "휴켐스")</f>
        <v>0</v>
      </c>
      <c r="C282">
        <v>1</v>
      </c>
      <c r="D282">
        <v>24200</v>
      </c>
      <c r="E282">
        <v>2.26</v>
      </c>
      <c r="F282">
        <v>31197</v>
      </c>
      <c r="G282">
        <v>22679</v>
      </c>
      <c r="H282">
        <v>20249</v>
      </c>
      <c r="I282">
        <v>-28.91</v>
      </c>
      <c r="J282">
        <v>6.29</v>
      </c>
      <c r="K282">
        <v>16.33</v>
      </c>
      <c r="L282">
        <v>14.63</v>
      </c>
      <c r="M282" t="b">
        <v>1</v>
      </c>
      <c r="N282">
        <v>9893</v>
      </c>
      <c r="O282">
        <v>166194</v>
      </c>
      <c r="P282" t="s">
        <v>280</v>
      </c>
      <c r="Q282">
        <v>43.42</v>
      </c>
      <c r="R282" t="s">
        <v>596</v>
      </c>
      <c r="S282" t="s">
        <v>909</v>
      </c>
      <c r="T282">
        <v>6598</v>
      </c>
      <c r="U282">
        <v>1064</v>
      </c>
      <c r="V282">
        <v>1721</v>
      </c>
      <c r="W282">
        <v>2507711</v>
      </c>
      <c r="X282">
        <v>4.73</v>
      </c>
    </row>
    <row r="283" spans="1:24">
      <c r="A283" s="2">
        <f>HYPERLINK("https://finance.naver.com/item/coinfo.nhn?code=001630", "A001630")</f>
        <v>0</v>
      </c>
      <c r="B283">
        <f>HYPERLINK("http://comp.fnguide.com/SVO2/ASP/SVD_Consensus.asp?pGB=1&amp;gicode=A001630&amp;cID=&amp;MenuYn=Y&amp;ReportGB=&amp;NewMenuID=108&amp;stkGb=701", "종근당홀딩스")</f>
        <v>0</v>
      </c>
      <c r="C283">
        <v>1</v>
      </c>
      <c r="D283">
        <v>108500</v>
      </c>
      <c r="E283">
        <v>0.42</v>
      </c>
      <c r="F283">
        <v>109143</v>
      </c>
      <c r="G283">
        <v>99971</v>
      </c>
      <c r="H283">
        <v>97355</v>
      </c>
      <c r="I283">
        <v>-0.59</v>
      </c>
      <c r="J283">
        <v>7.86</v>
      </c>
      <c r="K283">
        <v>10.27</v>
      </c>
      <c r="L283">
        <v>9.279999999999999</v>
      </c>
      <c r="M283" t="b">
        <v>1</v>
      </c>
      <c r="N283">
        <v>5436</v>
      </c>
      <c r="O283">
        <v>82270</v>
      </c>
      <c r="P283" t="s">
        <v>281</v>
      </c>
      <c r="Q283">
        <v>45.98</v>
      </c>
      <c r="R283" t="s">
        <v>597</v>
      </c>
      <c r="S283" t="s">
        <v>910</v>
      </c>
      <c r="T283">
        <v>7206</v>
      </c>
      <c r="U283">
        <v>862</v>
      </c>
      <c r="V283">
        <v>8988</v>
      </c>
      <c r="W283">
        <v>14661</v>
      </c>
      <c r="X283">
        <v>1.29</v>
      </c>
    </row>
    <row r="284" spans="1:24">
      <c r="A284" s="2">
        <f>HYPERLINK("https://finance.naver.com/item/coinfo.nhn?code=081660", "A081660")</f>
        <v>0</v>
      </c>
      <c r="B284">
        <f>HYPERLINK("http://comp.fnguide.com/SVO2/ASP/SVD_Consensus.asp?pGB=1&amp;gicode=A081660&amp;cID=&amp;MenuYn=Y&amp;ReportGB=&amp;NewMenuID=108&amp;stkGb=701", "휠라홀딩스")</f>
        <v>0</v>
      </c>
      <c r="C284">
        <v>1</v>
      </c>
      <c r="D284">
        <v>43500</v>
      </c>
      <c r="E284">
        <v>-0.7</v>
      </c>
      <c r="F284">
        <v>48219</v>
      </c>
      <c r="G284">
        <v>31750</v>
      </c>
      <c r="H284">
        <v>27053</v>
      </c>
      <c r="I284">
        <v>-10.85</v>
      </c>
      <c r="J284">
        <v>27.01</v>
      </c>
      <c r="K284">
        <v>37.81</v>
      </c>
      <c r="L284">
        <v>18.5</v>
      </c>
      <c r="M284" t="b">
        <v>1</v>
      </c>
      <c r="N284">
        <v>26427</v>
      </c>
      <c r="O284">
        <v>557813</v>
      </c>
      <c r="P284" t="s">
        <v>282</v>
      </c>
      <c r="Q284">
        <v>21.64</v>
      </c>
      <c r="R284" t="s">
        <v>598</v>
      </c>
      <c r="S284" t="s">
        <v>911</v>
      </c>
      <c r="T284">
        <v>34504</v>
      </c>
      <c r="U284">
        <v>4707</v>
      </c>
      <c r="V284">
        <v>4365</v>
      </c>
      <c r="W284">
        <v>657840</v>
      </c>
      <c r="X284">
        <v>0.41</v>
      </c>
    </row>
    <row r="285" spans="1:24">
      <c r="A285" s="2">
        <f>HYPERLINK("https://finance.naver.com/item/coinfo.nhn?code=281820", "A281820")</f>
        <v>0</v>
      </c>
      <c r="B285">
        <f>HYPERLINK("http://comp.fnguide.com/SVO2/ASP/SVD_Consensus.asp?pGB=1&amp;gicode=A281820&amp;cID=&amp;MenuYn=Y&amp;ReportGB=&amp;NewMenuID=108&amp;stkGb=701", "케이씨텍")</f>
        <v>0</v>
      </c>
      <c r="C285">
        <v>1</v>
      </c>
      <c r="D285">
        <v>25100</v>
      </c>
      <c r="E285">
        <v>0.41</v>
      </c>
      <c r="F285">
        <v>25319</v>
      </c>
      <c r="G285">
        <v>18421</v>
      </c>
      <c r="H285">
        <v>16453</v>
      </c>
      <c r="I285">
        <v>-0.87</v>
      </c>
      <c r="J285">
        <v>26.61</v>
      </c>
      <c r="K285">
        <v>34.45</v>
      </c>
      <c r="L285">
        <v>14.61</v>
      </c>
      <c r="M285" t="b">
        <v>1</v>
      </c>
      <c r="N285">
        <v>5236</v>
      </c>
      <c r="O285">
        <v>381129</v>
      </c>
      <c r="P285" t="s">
        <v>283</v>
      </c>
      <c r="Q285">
        <v>47.45</v>
      </c>
      <c r="R285" t="s">
        <v>599</v>
      </c>
      <c r="S285" t="s">
        <v>912</v>
      </c>
      <c r="T285">
        <v>2653</v>
      </c>
      <c r="U285">
        <v>491</v>
      </c>
      <c r="V285">
        <v>1858</v>
      </c>
      <c r="W285">
        <v>4778</v>
      </c>
      <c r="X285">
        <v>0.86</v>
      </c>
    </row>
    <row r="286" spans="1:24">
      <c r="A286" s="2">
        <f>HYPERLINK("https://finance.naver.com/item/coinfo.nhn?code=086280", "A086280")</f>
        <v>0</v>
      </c>
      <c r="B286">
        <f>HYPERLINK("http://comp.fnguide.com/SVO2/ASP/SVD_Consensus.asp?pGB=1&amp;gicode=A086280&amp;cID=&amp;MenuYn=Y&amp;ReportGB=&amp;NewMenuID=108&amp;stkGb=701", "현대글로비스")</f>
        <v>0</v>
      </c>
      <c r="C286">
        <v>1</v>
      </c>
      <c r="D286">
        <v>179500</v>
      </c>
      <c r="E286">
        <v>0.65</v>
      </c>
      <c r="F286">
        <v>190350</v>
      </c>
      <c r="G286">
        <v>150828</v>
      </c>
      <c r="H286">
        <v>139556</v>
      </c>
      <c r="I286">
        <v>-6.04</v>
      </c>
      <c r="J286">
        <v>15.97</v>
      </c>
      <c r="K286">
        <v>22.25</v>
      </c>
      <c r="L286">
        <v>12.2</v>
      </c>
      <c r="M286" t="b">
        <v>0</v>
      </c>
      <c r="N286">
        <v>67313</v>
      </c>
      <c r="O286">
        <v>308348</v>
      </c>
      <c r="P286" t="s">
        <v>284</v>
      </c>
      <c r="Q286">
        <v>51.39</v>
      </c>
      <c r="R286" t="s">
        <v>600</v>
      </c>
      <c r="S286" t="s">
        <v>913</v>
      </c>
      <c r="T286">
        <v>182701</v>
      </c>
      <c r="U286">
        <v>8765</v>
      </c>
      <c r="V286">
        <v>13395</v>
      </c>
      <c r="X286">
        <v>2.45</v>
      </c>
    </row>
    <row r="287" spans="1:24">
      <c r="A287" s="2">
        <f>HYPERLINK("https://finance.naver.com/item/coinfo.nhn?code=214180", "A214180")</f>
        <v>0</v>
      </c>
      <c r="B287">
        <f>HYPERLINK("http://comp.fnguide.com/SVO2/ASP/SVD_Consensus.asp?pGB=1&amp;gicode=A214180&amp;cID=&amp;MenuYn=Y&amp;ReportGB=&amp;NewMenuID=108&amp;stkGb=701", "민앤지")</f>
        <v>0</v>
      </c>
      <c r="C287">
        <v>1</v>
      </c>
      <c r="D287">
        <v>17400</v>
      </c>
      <c r="E287">
        <v>1.42</v>
      </c>
      <c r="F287">
        <v>21794</v>
      </c>
      <c r="G287">
        <v>15391</v>
      </c>
      <c r="H287">
        <v>13565</v>
      </c>
      <c r="I287">
        <v>-25.25</v>
      </c>
      <c r="J287">
        <v>11.55</v>
      </c>
      <c r="K287">
        <v>22.04</v>
      </c>
      <c r="L287">
        <v>15.62</v>
      </c>
      <c r="M287" t="b">
        <v>1</v>
      </c>
      <c r="N287">
        <v>2151</v>
      </c>
      <c r="O287">
        <v>421538</v>
      </c>
      <c r="P287" t="s">
        <v>285</v>
      </c>
      <c r="Q287">
        <v>25.94</v>
      </c>
      <c r="R287" t="s">
        <v>601</v>
      </c>
      <c r="S287" t="s">
        <v>914</v>
      </c>
      <c r="T287">
        <v>1237</v>
      </c>
      <c r="U287">
        <v>270</v>
      </c>
      <c r="V287">
        <v>1329</v>
      </c>
      <c r="W287">
        <v>998795</v>
      </c>
      <c r="X287">
        <v>1.54</v>
      </c>
    </row>
    <row r="288" spans="1:24">
      <c r="A288" s="2">
        <f>HYPERLINK("https://finance.naver.com/item/coinfo.nhn?code=100120", "A100120")</f>
        <v>0</v>
      </c>
      <c r="B288">
        <f>HYPERLINK("http://comp.fnguide.com/SVO2/ASP/SVD_Consensus.asp?pGB=1&amp;gicode=A100120&amp;cID=&amp;MenuYn=Y&amp;ReportGB=&amp;NewMenuID=108&amp;stkGb=701", "뷰웍스")</f>
        <v>0</v>
      </c>
      <c r="C288">
        <v>1</v>
      </c>
      <c r="D288">
        <v>29550</v>
      </c>
      <c r="E288">
        <v>1.37</v>
      </c>
      <c r="F288">
        <v>34181</v>
      </c>
      <c r="G288">
        <v>23912</v>
      </c>
      <c r="H288">
        <v>20983</v>
      </c>
      <c r="I288">
        <v>-15.67</v>
      </c>
      <c r="J288">
        <v>19.08</v>
      </c>
      <c r="K288">
        <v>28.99</v>
      </c>
      <c r="L288">
        <v>15.97</v>
      </c>
      <c r="M288" t="b">
        <v>1</v>
      </c>
      <c r="N288">
        <v>2956</v>
      </c>
      <c r="O288">
        <v>35097</v>
      </c>
      <c r="P288" t="s">
        <v>286</v>
      </c>
      <c r="Q288">
        <v>28.46</v>
      </c>
      <c r="R288" t="s">
        <v>602</v>
      </c>
      <c r="S288" t="s">
        <v>915</v>
      </c>
      <c r="T288">
        <v>1360</v>
      </c>
      <c r="U288">
        <v>264</v>
      </c>
      <c r="V288">
        <v>2421</v>
      </c>
      <c r="W288">
        <v>553176</v>
      </c>
      <c r="X288">
        <v>1.27</v>
      </c>
    </row>
    <row r="289" spans="1:24">
      <c r="A289" s="2">
        <f>HYPERLINK("https://finance.naver.com/item/coinfo.nhn?code=009190", "A009190")</f>
        <v>0</v>
      </c>
      <c r="B289">
        <f>HYPERLINK("http://comp.fnguide.com/SVO2/ASP/SVD_Consensus.asp?pGB=1&amp;gicode=A009190&amp;cID=&amp;MenuYn=Y&amp;ReportGB=&amp;NewMenuID=108&amp;stkGb=701", "대양금속")</f>
        <v>0</v>
      </c>
      <c r="C289">
        <v>1</v>
      </c>
      <c r="D289">
        <v>3400</v>
      </c>
      <c r="E289">
        <v>-3.54</v>
      </c>
      <c r="F289">
        <v>5007</v>
      </c>
      <c r="G289">
        <v>3355</v>
      </c>
      <c r="H289">
        <v>2884</v>
      </c>
      <c r="I289">
        <v>-47.25</v>
      </c>
      <c r="J289">
        <v>1.33</v>
      </c>
      <c r="K289">
        <v>15.18</v>
      </c>
      <c r="L289">
        <v>17.71</v>
      </c>
      <c r="M289" t="b">
        <v>0</v>
      </c>
      <c r="N289">
        <v>1005</v>
      </c>
      <c r="O289">
        <v>248663</v>
      </c>
      <c r="P289" t="s">
        <v>287</v>
      </c>
      <c r="Q289">
        <v>24.78</v>
      </c>
      <c r="R289" t="s">
        <v>603</v>
      </c>
      <c r="S289" t="s">
        <v>916</v>
      </c>
      <c r="T289">
        <v>1516</v>
      </c>
      <c r="U289">
        <v>32</v>
      </c>
      <c r="V289">
        <v>132</v>
      </c>
      <c r="W289">
        <v>4663</v>
      </c>
    </row>
    <row r="290" spans="1:24">
      <c r="A290" s="2">
        <f>HYPERLINK("https://finance.naver.com/item/coinfo.nhn?code=275630", "A275630")</f>
        <v>0</v>
      </c>
      <c r="B290">
        <f>HYPERLINK("http://comp.fnguide.com/SVO2/ASP/SVD_Consensus.asp?pGB=1&amp;gicode=A275630&amp;cID=&amp;MenuYn=Y&amp;ReportGB=&amp;NewMenuID=108&amp;stkGb=701", "에스에스알")</f>
        <v>0</v>
      </c>
      <c r="C290">
        <v>1</v>
      </c>
      <c r="D290">
        <v>5700</v>
      </c>
      <c r="E290">
        <v>0.41</v>
      </c>
      <c r="F290">
        <v>6216</v>
      </c>
      <c r="G290">
        <v>4984</v>
      </c>
      <c r="H290">
        <v>4633</v>
      </c>
      <c r="I290">
        <v>-9.050000000000001</v>
      </c>
      <c r="J290">
        <v>12.56</v>
      </c>
      <c r="K290">
        <v>18.72</v>
      </c>
      <c r="L290">
        <v>11.91</v>
      </c>
      <c r="M290" t="b">
        <v>1</v>
      </c>
      <c r="N290">
        <v>338</v>
      </c>
      <c r="O290">
        <v>318649</v>
      </c>
      <c r="P290" t="s">
        <v>288</v>
      </c>
      <c r="Q290">
        <v>34.83</v>
      </c>
      <c r="R290" t="s">
        <v>604</v>
      </c>
      <c r="S290" t="s">
        <v>917</v>
      </c>
      <c r="T290">
        <v>136</v>
      </c>
      <c r="U290">
        <v>6</v>
      </c>
      <c r="V290">
        <v>194</v>
      </c>
    </row>
    <row r="291" spans="1:24">
      <c r="A291" s="2">
        <f>HYPERLINK("https://finance.naver.com/item/coinfo.nhn?code=086390", "A086390")</f>
        <v>0</v>
      </c>
      <c r="B291">
        <f>HYPERLINK("http://comp.fnguide.com/SVO2/ASP/SVD_Consensus.asp?pGB=1&amp;gicode=A086390&amp;cID=&amp;MenuYn=Y&amp;ReportGB=&amp;NewMenuID=108&amp;stkGb=701", "유니테스트")</f>
        <v>0</v>
      </c>
      <c r="C291">
        <v>1</v>
      </c>
      <c r="D291">
        <v>24450</v>
      </c>
      <c r="E291">
        <v>-3.34</v>
      </c>
      <c r="F291">
        <v>27941</v>
      </c>
      <c r="G291">
        <v>15878</v>
      </c>
      <c r="H291">
        <v>12438</v>
      </c>
      <c r="I291">
        <v>-14.28</v>
      </c>
      <c r="J291">
        <v>35.06</v>
      </c>
      <c r="K291">
        <v>49.13</v>
      </c>
      <c r="L291">
        <v>28.39</v>
      </c>
      <c r="M291" t="b">
        <v>1</v>
      </c>
      <c r="N291">
        <v>5167</v>
      </c>
      <c r="O291">
        <v>576246</v>
      </c>
      <c r="P291" t="s">
        <v>289</v>
      </c>
      <c r="Q291">
        <v>21.07</v>
      </c>
      <c r="R291" t="s">
        <v>605</v>
      </c>
      <c r="S291" t="s">
        <v>918</v>
      </c>
      <c r="T291">
        <v>1983</v>
      </c>
      <c r="U291">
        <v>300</v>
      </c>
      <c r="V291">
        <v>1208</v>
      </c>
      <c r="W291">
        <v>839709</v>
      </c>
      <c r="X291">
        <v>1.74</v>
      </c>
    </row>
    <row r="292" spans="1:24">
      <c r="A292" s="2">
        <f>HYPERLINK("https://finance.naver.com/item/coinfo.nhn?code=036200", "A036200")</f>
        <v>0</v>
      </c>
      <c r="B292">
        <f>HYPERLINK("http://comp.fnguide.com/SVO2/ASP/SVD_Consensus.asp?pGB=1&amp;gicode=A036200&amp;cID=&amp;MenuYn=Y&amp;ReportGB=&amp;NewMenuID=108&amp;stkGb=701", "유니셈")</f>
        <v>0</v>
      </c>
      <c r="C292">
        <v>1</v>
      </c>
      <c r="D292">
        <v>7650</v>
      </c>
      <c r="E292">
        <v>0.12</v>
      </c>
      <c r="F292">
        <v>11967</v>
      </c>
      <c r="G292">
        <v>7408</v>
      </c>
      <c r="H292">
        <v>6107</v>
      </c>
      <c r="I292">
        <v>-56.43</v>
      </c>
      <c r="J292">
        <v>3.17</v>
      </c>
      <c r="K292">
        <v>20.17</v>
      </c>
      <c r="L292">
        <v>21.83</v>
      </c>
      <c r="M292" t="b">
        <v>1</v>
      </c>
      <c r="N292">
        <v>2346</v>
      </c>
      <c r="O292">
        <v>1479635</v>
      </c>
      <c r="P292" t="s">
        <v>290</v>
      </c>
      <c r="Q292">
        <v>29.03</v>
      </c>
      <c r="R292" t="s">
        <v>606</v>
      </c>
      <c r="S292" t="s">
        <v>919</v>
      </c>
      <c r="T292">
        <v>1790</v>
      </c>
      <c r="U292">
        <v>240</v>
      </c>
      <c r="V292">
        <v>718</v>
      </c>
      <c r="W292">
        <v>1248170</v>
      </c>
      <c r="X292">
        <v>0.92</v>
      </c>
    </row>
    <row r="293" spans="1:24">
      <c r="A293" s="2">
        <f>HYPERLINK("https://finance.naver.com/item/coinfo.nhn?code=044340", "A044340")</f>
        <v>0</v>
      </c>
      <c r="B293">
        <f>HYPERLINK("http://comp.fnguide.com/SVO2/ASP/SVD_Consensus.asp?pGB=1&amp;gicode=A044340&amp;cID=&amp;MenuYn=Y&amp;ReportGB=&amp;NewMenuID=108&amp;stkGb=701", "위닉스")</f>
        <v>0</v>
      </c>
      <c r="C293">
        <v>1</v>
      </c>
      <c r="D293">
        <v>20200</v>
      </c>
      <c r="E293">
        <v>0.24</v>
      </c>
      <c r="F293">
        <v>26626</v>
      </c>
      <c r="G293">
        <v>16247</v>
      </c>
      <c r="H293">
        <v>13287</v>
      </c>
      <c r="I293">
        <v>-31.81</v>
      </c>
      <c r="J293">
        <v>19.57</v>
      </c>
      <c r="K293">
        <v>34.22</v>
      </c>
      <c r="L293">
        <v>22.74</v>
      </c>
      <c r="M293" t="b">
        <v>1</v>
      </c>
      <c r="N293">
        <v>3610</v>
      </c>
      <c r="O293">
        <v>227540</v>
      </c>
      <c r="P293" t="s">
        <v>291</v>
      </c>
      <c r="Q293">
        <v>47.92</v>
      </c>
      <c r="R293" t="s">
        <v>607</v>
      </c>
      <c r="S293" t="s">
        <v>920</v>
      </c>
      <c r="T293">
        <v>3862</v>
      </c>
      <c r="U293">
        <v>514</v>
      </c>
      <c r="V293">
        <v>2266</v>
      </c>
      <c r="W293">
        <v>1530786</v>
      </c>
      <c r="X293">
        <v>1.92</v>
      </c>
    </row>
    <row r="294" spans="1:24">
      <c r="A294" s="2">
        <f>HYPERLINK("https://finance.naver.com/item/coinfo.nhn?code=101160", "A101160")</f>
        <v>0</v>
      </c>
      <c r="B294">
        <f>HYPERLINK("http://comp.fnguide.com/SVO2/ASP/SVD_Consensus.asp?pGB=1&amp;gicode=A101160&amp;cID=&amp;MenuYn=Y&amp;ReportGB=&amp;NewMenuID=108&amp;stkGb=701", "월덱스")</f>
        <v>0</v>
      </c>
      <c r="C294">
        <v>1</v>
      </c>
      <c r="D294">
        <v>15950</v>
      </c>
      <c r="E294">
        <v>0.04</v>
      </c>
      <c r="F294">
        <v>16232</v>
      </c>
      <c r="G294">
        <v>9747</v>
      </c>
      <c r="H294">
        <v>7897</v>
      </c>
      <c r="I294">
        <v>-1.77</v>
      </c>
      <c r="J294">
        <v>38.89</v>
      </c>
      <c r="K294">
        <v>50.49</v>
      </c>
      <c r="L294">
        <v>23.84</v>
      </c>
      <c r="M294" t="b">
        <v>1</v>
      </c>
      <c r="N294">
        <v>2634</v>
      </c>
      <c r="O294">
        <v>314907</v>
      </c>
      <c r="P294" t="s">
        <v>292</v>
      </c>
      <c r="Q294">
        <v>35.07</v>
      </c>
      <c r="R294" t="s">
        <v>608</v>
      </c>
      <c r="S294" t="s">
        <v>921</v>
      </c>
      <c r="T294">
        <v>1174</v>
      </c>
      <c r="U294">
        <v>234</v>
      </c>
      <c r="V294">
        <v>1180</v>
      </c>
      <c r="X294">
        <v>0.6</v>
      </c>
    </row>
    <row r="295" spans="1:24">
      <c r="A295" s="2">
        <f>HYPERLINK("https://finance.naver.com/item/coinfo.nhn?code=104830", "A104830")</f>
        <v>0</v>
      </c>
      <c r="B295">
        <f>HYPERLINK("http://comp.fnguide.com/SVO2/ASP/SVD_Consensus.asp?pGB=1&amp;gicode=A104830&amp;cID=&amp;MenuYn=Y&amp;ReportGB=&amp;NewMenuID=108&amp;stkGb=701", "원익머트리얼즈")</f>
        <v>0</v>
      </c>
      <c r="C295">
        <v>1</v>
      </c>
      <c r="D295">
        <v>32700</v>
      </c>
      <c r="E295">
        <v>2.19</v>
      </c>
      <c r="F295">
        <v>35784</v>
      </c>
      <c r="G295">
        <v>28941</v>
      </c>
      <c r="H295">
        <v>26989</v>
      </c>
      <c r="I295">
        <v>-9.43</v>
      </c>
      <c r="J295">
        <v>11.5</v>
      </c>
      <c r="K295">
        <v>17.46</v>
      </c>
      <c r="L295">
        <v>11.71</v>
      </c>
      <c r="M295" t="b">
        <v>1</v>
      </c>
      <c r="N295">
        <v>4123</v>
      </c>
      <c r="O295">
        <v>126472</v>
      </c>
      <c r="P295" t="s">
        <v>293</v>
      </c>
      <c r="Q295">
        <v>45.69</v>
      </c>
      <c r="R295" t="s">
        <v>609</v>
      </c>
      <c r="S295" t="s">
        <v>922</v>
      </c>
      <c r="T295">
        <v>2208</v>
      </c>
      <c r="U295">
        <v>360</v>
      </c>
      <c r="V295">
        <v>2229</v>
      </c>
      <c r="X295">
        <v>0.49</v>
      </c>
    </row>
    <row r="296" spans="1:24">
      <c r="A296" s="2">
        <f>HYPERLINK("https://finance.naver.com/item/coinfo.nhn?code=241790", "A241790")</f>
        <v>0</v>
      </c>
      <c r="B296">
        <f>HYPERLINK("http://comp.fnguide.com/SVO2/ASP/SVD_Consensus.asp?pGB=1&amp;gicode=A241790&amp;cID=&amp;MenuYn=Y&amp;ReportGB=&amp;NewMenuID=108&amp;stkGb=701", "오션브릿지")</f>
        <v>0</v>
      </c>
      <c r="C296">
        <v>1</v>
      </c>
      <c r="D296">
        <v>16650</v>
      </c>
      <c r="E296">
        <v>0.78</v>
      </c>
      <c r="F296">
        <v>18702</v>
      </c>
      <c r="G296">
        <v>11397</v>
      </c>
      <c r="H296">
        <v>9314</v>
      </c>
      <c r="I296">
        <v>-12.32</v>
      </c>
      <c r="J296">
        <v>31.55</v>
      </c>
      <c r="K296">
        <v>44.06</v>
      </c>
      <c r="L296">
        <v>22.82</v>
      </c>
      <c r="M296" t="b">
        <v>1</v>
      </c>
      <c r="N296">
        <v>1665</v>
      </c>
      <c r="O296">
        <v>544025</v>
      </c>
      <c r="P296" t="s">
        <v>294</v>
      </c>
      <c r="Q296">
        <v>24.2</v>
      </c>
      <c r="R296" t="s">
        <v>610</v>
      </c>
      <c r="S296" t="s">
        <v>923</v>
      </c>
      <c r="T296">
        <v>758</v>
      </c>
      <c r="U296">
        <v>128</v>
      </c>
      <c r="V296">
        <v>1024</v>
      </c>
      <c r="W296">
        <v>123197</v>
      </c>
      <c r="X296">
        <v>2.62</v>
      </c>
    </row>
    <row r="297" spans="1:24">
      <c r="A297" s="2">
        <f>HYPERLINK("https://finance.naver.com/item/coinfo.nhn?code=192080", "A192080")</f>
        <v>0</v>
      </c>
      <c r="B297">
        <f>HYPERLINK("http://comp.fnguide.com/SVO2/ASP/SVD_Consensus.asp?pGB=1&amp;gicode=A192080&amp;cID=&amp;MenuYn=Y&amp;ReportGB=&amp;NewMenuID=108&amp;stkGb=701", "더블유게임즈")</f>
        <v>0</v>
      </c>
      <c r="C297">
        <v>1</v>
      </c>
      <c r="D297">
        <v>57400</v>
      </c>
      <c r="E297">
        <v>0.46</v>
      </c>
      <c r="F297">
        <v>82709</v>
      </c>
      <c r="G297">
        <v>55934</v>
      </c>
      <c r="H297">
        <v>48298</v>
      </c>
      <c r="I297">
        <v>-44.09</v>
      </c>
      <c r="J297">
        <v>2.55</v>
      </c>
      <c r="K297">
        <v>15.86</v>
      </c>
      <c r="L297">
        <v>17.31</v>
      </c>
      <c r="M297" t="b">
        <v>1</v>
      </c>
      <c r="N297">
        <v>10547</v>
      </c>
      <c r="O297">
        <v>179738</v>
      </c>
      <c r="P297" t="s">
        <v>295</v>
      </c>
      <c r="Q297">
        <v>43.73</v>
      </c>
      <c r="R297" t="s">
        <v>611</v>
      </c>
      <c r="S297" t="s">
        <v>924</v>
      </c>
      <c r="T297">
        <v>5138</v>
      </c>
      <c r="U297">
        <v>1546</v>
      </c>
      <c r="V297">
        <v>6040</v>
      </c>
      <c r="W297">
        <v>1398976</v>
      </c>
      <c r="X297">
        <v>0.7</v>
      </c>
    </row>
    <row r="298" spans="1:24">
      <c r="A298" s="2">
        <f>HYPERLINK("https://finance.naver.com/item/coinfo.nhn?code=023450", "A023450")</f>
        <v>0</v>
      </c>
      <c r="B298">
        <f>HYPERLINK("http://comp.fnguide.com/SVO2/ASP/SVD_Consensus.asp?pGB=1&amp;gicode=A023450&amp;cID=&amp;MenuYn=Y&amp;ReportGB=&amp;NewMenuID=108&amp;stkGb=701", "동남합성")</f>
        <v>0</v>
      </c>
      <c r="C298">
        <v>1</v>
      </c>
      <c r="D298">
        <v>40400</v>
      </c>
      <c r="E298">
        <v>0.1</v>
      </c>
      <c r="F298">
        <v>44304</v>
      </c>
      <c r="G298">
        <v>30160</v>
      </c>
      <c r="H298">
        <v>26126</v>
      </c>
      <c r="I298">
        <v>-9.66</v>
      </c>
      <c r="J298">
        <v>25.35</v>
      </c>
      <c r="K298">
        <v>35.33</v>
      </c>
      <c r="L298">
        <v>17.04</v>
      </c>
      <c r="M298" t="b">
        <v>1</v>
      </c>
      <c r="N298">
        <v>1458</v>
      </c>
      <c r="O298">
        <v>6401</v>
      </c>
      <c r="P298" t="s">
        <v>296</v>
      </c>
      <c r="Q298">
        <v>55.01</v>
      </c>
      <c r="R298" t="s">
        <v>612</v>
      </c>
      <c r="S298" t="s">
        <v>925</v>
      </c>
      <c r="T298">
        <v>1261</v>
      </c>
      <c r="U298">
        <v>98</v>
      </c>
      <c r="V298">
        <v>4925</v>
      </c>
      <c r="W298">
        <v>20000</v>
      </c>
      <c r="X298">
        <v>0.8</v>
      </c>
    </row>
    <row r="299" spans="1:24">
      <c r="A299" s="2">
        <f>HYPERLINK("https://finance.naver.com/item/coinfo.nhn?code=097520", "A097520")</f>
        <v>0</v>
      </c>
      <c r="B299">
        <f>HYPERLINK("http://comp.fnguide.com/SVO2/ASP/SVD_Consensus.asp?pGB=1&amp;gicode=A097520&amp;cID=&amp;MenuYn=Y&amp;ReportGB=&amp;NewMenuID=108&amp;stkGb=701", "엠씨넥스")</f>
        <v>0</v>
      </c>
      <c r="C299">
        <v>1</v>
      </c>
      <c r="D299">
        <v>36550</v>
      </c>
      <c r="E299">
        <v>0.32</v>
      </c>
      <c r="F299">
        <v>52010</v>
      </c>
      <c r="G299">
        <v>28424</v>
      </c>
      <c r="H299">
        <v>21698</v>
      </c>
      <c r="I299">
        <v>-42.3</v>
      </c>
      <c r="J299">
        <v>22.23</v>
      </c>
      <c r="K299">
        <v>40.64</v>
      </c>
      <c r="L299">
        <v>32.59</v>
      </c>
      <c r="M299" t="b">
        <v>1</v>
      </c>
      <c r="N299">
        <v>6529</v>
      </c>
      <c r="O299">
        <v>248309</v>
      </c>
      <c r="P299" t="s">
        <v>297</v>
      </c>
      <c r="Q299">
        <v>27.99</v>
      </c>
      <c r="R299" t="s">
        <v>613</v>
      </c>
      <c r="S299" t="s">
        <v>926</v>
      </c>
      <c r="T299">
        <v>12677</v>
      </c>
      <c r="U299">
        <v>1131</v>
      </c>
      <c r="V299">
        <v>4731</v>
      </c>
      <c r="W299">
        <v>230000</v>
      </c>
      <c r="X299">
        <v>1.32</v>
      </c>
    </row>
    <row r="300" spans="1:24">
      <c r="A300" s="2">
        <f>HYPERLINK("https://finance.naver.com/item/coinfo.nhn?code=019590", "A019590")</f>
        <v>0</v>
      </c>
      <c r="B300">
        <f>HYPERLINK("http://comp.fnguide.com/SVO2/ASP/SVD_Consensus.asp?pGB=1&amp;gicode=A019590&amp;cID=&amp;MenuYn=Y&amp;ReportGB=&amp;NewMenuID=108&amp;stkGb=701", "엠벤처투자")</f>
        <v>0</v>
      </c>
      <c r="C300">
        <v>1</v>
      </c>
      <c r="D300">
        <v>1100</v>
      </c>
      <c r="E300">
        <v>0</v>
      </c>
      <c r="F300">
        <v>1150</v>
      </c>
      <c r="G300">
        <v>828</v>
      </c>
      <c r="H300">
        <v>736</v>
      </c>
      <c r="I300">
        <v>-4.52</v>
      </c>
      <c r="J300">
        <v>24.76</v>
      </c>
      <c r="K300">
        <v>33.11</v>
      </c>
      <c r="L300">
        <v>14.96</v>
      </c>
      <c r="M300" t="b">
        <v>1</v>
      </c>
      <c r="N300">
        <v>665</v>
      </c>
      <c r="O300">
        <v>560062</v>
      </c>
      <c r="P300" t="s">
        <v>298</v>
      </c>
      <c r="Q300">
        <v>16.33</v>
      </c>
      <c r="R300" t="s">
        <v>614</v>
      </c>
      <c r="S300" t="s">
        <v>927</v>
      </c>
      <c r="T300">
        <v>152</v>
      </c>
      <c r="U300">
        <v>94</v>
      </c>
      <c r="V300">
        <v>133</v>
      </c>
      <c r="W300">
        <v>3012</v>
      </c>
    </row>
    <row r="301" spans="1:24">
      <c r="A301" s="2">
        <f>HYPERLINK("https://finance.naver.com/item/coinfo.nhn?code=312610", "A312610")</f>
        <v>0</v>
      </c>
      <c r="B301">
        <f>HYPERLINK("http://comp.fnguide.com/SVO2/ASP/SVD_Consensus.asp?pGB=1&amp;gicode=A312610&amp;cID=&amp;MenuYn=Y&amp;ReportGB=&amp;NewMenuID=108&amp;stkGb=701", "에이에프더블류")</f>
        <v>0</v>
      </c>
      <c r="C301">
        <v>1</v>
      </c>
      <c r="D301">
        <v>13800</v>
      </c>
      <c r="E301">
        <v>-0.74</v>
      </c>
      <c r="F301">
        <v>20551</v>
      </c>
      <c r="G301">
        <v>12520</v>
      </c>
      <c r="H301">
        <v>10229</v>
      </c>
      <c r="I301">
        <v>-48.92</v>
      </c>
      <c r="J301">
        <v>9.279999999999999</v>
      </c>
      <c r="K301">
        <v>25.88</v>
      </c>
      <c r="L301">
        <v>22.85</v>
      </c>
      <c r="M301" t="b">
        <v>1</v>
      </c>
      <c r="N301">
        <v>1398</v>
      </c>
      <c r="O301">
        <v>87791</v>
      </c>
      <c r="P301" t="s">
        <v>299</v>
      </c>
      <c r="Q301">
        <v>52.75</v>
      </c>
      <c r="R301" t="s">
        <v>615</v>
      </c>
      <c r="S301" t="s">
        <v>928</v>
      </c>
      <c r="T301">
        <v>260</v>
      </c>
      <c r="U301">
        <v>72</v>
      </c>
      <c r="V301">
        <v>602</v>
      </c>
      <c r="X301">
        <v>0.79</v>
      </c>
    </row>
    <row r="302" spans="1:24">
      <c r="A302" s="2">
        <f>HYPERLINK("https://finance.naver.com/item/coinfo.nhn?code=306040", "A306040")</f>
        <v>0</v>
      </c>
      <c r="B302">
        <f>HYPERLINK("http://comp.fnguide.com/SVO2/ASP/SVD_Consensus.asp?pGB=1&amp;gicode=A306040&amp;cID=&amp;MenuYn=Y&amp;ReportGB=&amp;NewMenuID=108&amp;stkGb=701", "에스제이그룹")</f>
        <v>0</v>
      </c>
      <c r="C302">
        <v>1</v>
      </c>
      <c r="D302">
        <v>16000</v>
      </c>
      <c r="E302">
        <v>0.1</v>
      </c>
      <c r="F302">
        <v>27359</v>
      </c>
      <c r="G302">
        <v>15187</v>
      </c>
      <c r="H302">
        <v>11715</v>
      </c>
      <c r="I302">
        <v>-71</v>
      </c>
      <c r="J302">
        <v>5.08</v>
      </c>
      <c r="K302">
        <v>26.78</v>
      </c>
      <c r="L302">
        <v>30.79</v>
      </c>
      <c r="M302" t="b">
        <v>1</v>
      </c>
      <c r="N302">
        <v>1579</v>
      </c>
      <c r="O302">
        <v>263391</v>
      </c>
      <c r="P302" t="s">
        <v>300</v>
      </c>
      <c r="Q302">
        <v>51.79</v>
      </c>
      <c r="R302" t="s">
        <v>616</v>
      </c>
      <c r="S302" t="s">
        <v>929</v>
      </c>
      <c r="T302">
        <v>1095</v>
      </c>
      <c r="U302">
        <v>164</v>
      </c>
      <c r="V302">
        <v>1785</v>
      </c>
      <c r="W302">
        <v>78094</v>
      </c>
      <c r="X302">
        <v>0.66</v>
      </c>
    </row>
    <row r="303" spans="1:24">
      <c r="A303" s="2">
        <f>HYPERLINK("https://finance.naver.com/item/coinfo.nhn?code=040910", "A040910")</f>
        <v>0</v>
      </c>
      <c r="B303">
        <f>HYPERLINK("http://comp.fnguide.com/SVO2/ASP/SVD_Consensus.asp?pGB=1&amp;gicode=A040910&amp;cID=&amp;MenuYn=Y&amp;ReportGB=&amp;NewMenuID=108&amp;stkGb=701", "아이씨디")</f>
        <v>0</v>
      </c>
      <c r="C303">
        <v>1</v>
      </c>
      <c r="D303">
        <v>15650</v>
      </c>
      <c r="E303">
        <v>0.47</v>
      </c>
      <c r="F303">
        <v>16199</v>
      </c>
      <c r="G303">
        <v>11715</v>
      </c>
      <c r="H303">
        <v>10437</v>
      </c>
      <c r="I303">
        <v>-3.51</v>
      </c>
      <c r="J303">
        <v>25.14</v>
      </c>
      <c r="K303">
        <v>33.31</v>
      </c>
      <c r="L303">
        <v>14.8</v>
      </c>
      <c r="M303" t="b">
        <v>1</v>
      </c>
      <c r="N303">
        <v>2809</v>
      </c>
      <c r="O303">
        <v>253229</v>
      </c>
      <c r="P303" t="s">
        <v>301</v>
      </c>
      <c r="Q303">
        <v>24.08</v>
      </c>
      <c r="R303" t="s">
        <v>617</v>
      </c>
      <c r="S303" t="s">
        <v>930</v>
      </c>
      <c r="T303">
        <v>1216</v>
      </c>
      <c r="U303">
        <v>143</v>
      </c>
      <c r="V303">
        <v>639</v>
      </c>
      <c r="W303">
        <v>1104471</v>
      </c>
      <c r="X303">
        <v>0.76</v>
      </c>
    </row>
    <row r="304" spans="1:24">
      <c r="A304" s="2">
        <f>HYPERLINK("https://finance.naver.com/item/coinfo.nhn?code=251630", "A251630")</f>
        <v>0</v>
      </c>
      <c r="B304">
        <f>HYPERLINK("http://comp.fnguide.com/SVO2/ASP/SVD_Consensus.asp?pGB=1&amp;gicode=A251630&amp;cID=&amp;MenuYn=Y&amp;ReportGB=&amp;NewMenuID=108&amp;stkGb=701", "브이원텍")</f>
        <v>0</v>
      </c>
      <c r="C304">
        <v>1</v>
      </c>
      <c r="D304">
        <v>9880</v>
      </c>
      <c r="E304">
        <v>1.44</v>
      </c>
      <c r="F304">
        <v>11278</v>
      </c>
      <c r="G304">
        <v>7919</v>
      </c>
      <c r="H304">
        <v>6961</v>
      </c>
      <c r="I304">
        <v>-14.15</v>
      </c>
      <c r="J304">
        <v>19.85</v>
      </c>
      <c r="K304">
        <v>29.54</v>
      </c>
      <c r="L304">
        <v>15.83</v>
      </c>
      <c r="M304" t="b">
        <v>1</v>
      </c>
      <c r="N304">
        <v>1487</v>
      </c>
      <c r="O304">
        <v>114206</v>
      </c>
      <c r="P304" t="s">
        <v>302</v>
      </c>
      <c r="Q304">
        <v>52.04</v>
      </c>
      <c r="R304" t="s">
        <v>618</v>
      </c>
      <c r="S304" t="s">
        <v>931</v>
      </c>
      <c r="T304">
        <v>268</v>
      </c>
      <c r="U304">
        <v>48</v>
      </c>
      <c r="V304">
        <v>442</v>
      </c>
      <c r="W304">
        <v>680241</v>
      </c>
      <c r="X304">
        <v>1.08</v>
      </c>
    </row>
    <row r="305" spans="1:24">
      <c r="A305" s="2">
        <f>HYPERLINK("https://finance.naver.com/item/coinfo.nhn?code=289010", "A289010")</f>
        <v>0</v>
      </c>
      <c r="B305">
        <f>HYPERLINK("http://comp.fnguide.com/SVO2/ASP/SVD_Consensus.asp?pGB=1&amp;gicode=A289010&amp;cID=&amp;MenuYn=Y&amp;ReportGB=&amp;NewMenuID=108&amp;stkGb=701", "아이스크림에듀")</f>
        <v>0</v>
      </c>
      <c r="C305">
        <v>1</v>
      </c>
      <c r="D305">
        <v>9180</v>
      </c>
      <c r="E305">
        <v>21.84</v>
      </c>
      <c r="F305">
        <v>12236</v>
      </c>
      <c r="G305">
        <v>8457</v>
      </c>
      <c r="H305">
        <v>7380</v>
      </c>
      <c r="I305">
        <v>-33.29</v>
      </c>
      <c r="J305">
        <v>7.87</v>
      </c>
      <c r="K305">
        <v>19.61</v>
      </c>
      <c r="L305">
        <v>16.43</v>
      </c>
      <c r="M305" t="b">
        <v>1</v>
      </c>
      <c r="N305">
        <v>1181</v>
      </c>
      <c r="O305">
        <v>286015</v>
      </c>
      <c r="P305" t="s">
        <v>303</v>
      </c>
      <c r="Q305">
        <v>45.06</v>
      </c>
      <c r="R305" t="s">
        <v>619</v>
      </c>
      <c r="S305" t="s">
        <v>932</v>
      </c>
      <c r="T305">
        <v>1064</v>
      </c>
      <c r="U305">
        <v>54</v>
      </c>
      <c r="V305">
        <v>415</v>
      </c>
      <c r="W305">
        <v>330577</v>
      </c>
      <c r="X305">
        <v>1.25</v>
      </c>
    </row>
    <row r="306" spans="1:24">
      <c r="A306" s="2">
        <f>HYPERLINK("https://finance.naver.com/item/coinfo.nhn?code=339950", "A339950")</f>
        <v>0</v>
      </c>
      <c r="B306">
        <f>HYPERLINK("http://comp.fnguide.com/SVO2/ASP/SVD_Consensus.asp?pGB=1&amp;gicode=A339950&amp;cID=&amp;MenuYn=Y&amp;ReportGB=&amp;NewMenuID=108&amp;stkGb=701", "아이비김영")</f>
        <v>0</v>
      </c>
      <c r="C306">
        <v>1</v>
      </c>
      <c r="D306">
        <v>1630</v>
      </c>
      <c r="F306">
        <v>3435</v>
      </c>
      <c r="G306">
        <v>1607</v>
      </c>
      <c r="H306">
        <v>1086</v>
      </c>
      <c r="I306">
        <v>-110.76</v>
      </c>
      <c r="J306">
        <v>1.4</v>
      </c>
      <c r="K306">
        <v>33.39</v>
      </c>
      <c r="L306">
        <v>70.09999999999999</v>
      </c>
      <c r="M306" t="b">
        <v>0</v>
      </c>
      <c r="N306">
        <v>693</v>
      </c>
      <c r="O306">
        <v>108418</v>
      </c>
      <c r="P306" t="s">
        <v>304</v>
      </c>
      <c r="Q306">
        <v>67.97</v>
      </c>
      <c r="R306" t="s">
        <v>620</v>
      </c>
      <c r="S306" t="s">
        <v>830</v>
      </c>
      <c r="T306">
        <v>547</v>
      </c>
      <c r="U306">
        <v>73</v>
      </c>
      <c r="V306">
        <v>157</v>
      </c>
      <c r="W306">
        <v>1832829</v>
      </c>
    </row>
    <row r="307" spans="1:24">
      <c r="A307" s="2">
        <f>HYPERLINK("https://finance.naver.com/item/coinfo.nhn?code=290520", "A290520")</f>
        <v>0</v>
      </c>
      <c r="B307">
        <f>HYPERLINK("http://comp.fnguide.com/SVO2/ASP/SVD_Consensus.asp?pGB=1&amp;gicode=A290520&amp;cID=&amp;MenuYn=Y&amp;ReportGB=&amp;NewMenuID=108&amp;stkGb=701", "신도기연")</f>
        <v>0</v>
      </c>
      <c r="C307">
        <v>1</v>
      </c>
      <c r="D307">
        <v>19500</v>
      </c>
      <c r="F307">
        <v>28582</v>
      </c>
      <c r="G307">
        <v>14948</v>
      </c>
      <c r="H307">
        <v>11060</v>
      </c>
      <c r="I307">
        <v>-46.57</v>
      </c>
      <c r="J307">
        <v>23.34</v>
      </c>
      <c r="K307">
        <v>43.28</v>
      </c>
      <c r="L307">
        <v>38.79</v>
      </c>
      <c r="M307" t="b">
        <v>0</v>
      </c>
      <c r="N307">
        <v>1572</v>
      </c>
      <c r="O307">
        <v>77268</v>
      </c>
      <c r="P307" t="s">
        <v>305</v>
      </c>
      <c r="Q307">
        <v>59.79</v>
      </c>
      <c r="R307" t="s">
        <v>621</v>
      </c>
      <c r="S307" t="s">
        <v>830</v>
      </c>
      <c r="T307">
        <v>848</v>
      </c>
      <c r="U307">
        <v>169</v>
      </c>
      <c r="V307">
        <v>2179</v>
      </c>
    </row>
    <row r="308" spans="1:24">
      <c r="A308" s="2">
        <f>HYPERLINK("https://finance.naver.com/item/coinfo.nhn?code=317770", "A317770")</f>
        <v>0</v>
      </c>
      <c r="B308">
        <f>HYPERLINK("http://comp.fnguide.com/SVO2/ASP/SVD_Consensus.asp?pGB=1&amp;gicode=A317770&amp;cID=&amp;MenuYn=Y&amp;ReportGB=&amp;NewMenuID=108&amp;stkGb=701", "슈프리마아이디")</f>
        <v>0</v>
      </c>
      <c r="C308">
        <v>1</v>
      </c>
      <c r="D308">
        <v>14450</v>
      </c>
      <c r="E308">
        <v>-1.77</v>
      </c>
      <c r="F308">
        <v>14910</v>
      </c>
      <c r="G308">
        <v>13621</v>
      </c>
      <c r="H308">
        <v>13253</v>
      </c>
      <c r="I308">
        <v>-3.18</v>
      </c>
      <c r="J308">
        <v>5.74</v>
      </c>
      <c r="K308">
        <v>8.279999999999999</v>
      </c>
      <c r="L308">
        <v>9.32</v>
      </c>
      <c r="M308" t="b">
        <v>1</v>
      </c>
      <c r="N308">
        <v>438</v>
      </c>
      <c r="O308">
        <v>24925</v>
      </c>
      <c r="P308" t="s">
        <v>306</v>
      </c>
      <c r="Q308">
        <v>61.49</v>
      </c>
      <c r="R308" t="s">
        <v>622</v>
      </c>
      <c r="S308" t="s">
        <v>933</v>
      </c>
      <c r="T308">
        <v>121</v>
      </c>
      <c r="U308">
        <v>5</v>
      </c>
      <c r="V308">
        <v>397</v>
      </c>
    </row>
    <row r="309" spans="1:24">
      <c r="A309" s="2">
        <f>HYPERLINK("https://finance.naver.com/item/coinfo.nhn?code=236200", "A236200")</f>
        <v>0</v>
      </c>
      <c r="B309">
        <f>HYPERLINK("http://comp.fnguide.com/SVO2/ASP/SVD_Consensus.asp?pGB=1&amp;gicode=A236200&amp;cID=&amp;MenuYn=Y&amp;ReportGB=&amp;NewMenuID=108&amp;stkGb=701", "슈프리마")</f>
        <v>0</v>
      </c>
      <c r="C309">
        <v>1</v>
      </c>
      <c r="D309">
        <v>30700</v>
      </c>
      <c r="E309">
        <v>3.47</v>
      </c>
      <c r="F309">
        <v>38011</v>
      </c>
      <c r="G309">
        <v>26633</v>
      </c>
      <c r="H309">
        <v>23388</v>
      </c>
      <c r="I309">
        <v>-23.81</v>
      </c>
      <c r="J309">
        <v>13.25</v>
      </c>
      <c r="K309">
        <v>23.82</v>
      </c>
      <c r="L309">
        <v>15.91</v>
      </c>
      <c r="M309" t="b">
        <v>1</v>
      </c>
      <c r="N309">
        <v>2208</v>
      </c>
      <c r="O309">
        <v>337172</v>
      </c>
      <c r="P309" t="s">
        <v>307</v>
      </c>
      <c r="Q309">
        <v>30.38</v>
      </c>
      <c r="R309" t="s">
        <v>623</v>
      </c>
      <c r="S309" t="s">
        <v>934</v>
      </c>
      <c r="T309">
        <v>721</v>
      </c>
      <c r="U309">
        <v>246</v>
      </c>
      <c r="V309">
        <v>3643</v>
      </c>
      <c r="W309">
        <v>38881</v>
      </c>
    </row>
    <row r="310" spans="1:24">
      <c r="A310" s="2">
        <f>HYPERLINK("https://finance.naver.com/item/coinfo.nhn?code=234340", "A234340")</f>
        <v>0</v>
      </c>
      <c r="B310">
        <f>HYPERLINK("http://comp.fnguide.com/SVO2/ASP/SVD_Consensus.asp?pGB=1&amp;gicode=A234340&amp;cID=&amp;MenuYn=Y&amp;ReportGB=&amp;NewMenuID=108&amp;stkGb=701", "세틀뱅크")</f>
        <v>0</v>
      </c>
      <c r="C310">
        <v>1</v>
      </c>
      <c r="D310">
        <v>32200</v>
      </c>
      <c r="E310">
        <v>1.44</v>
      </c>
      <c r="F310">
        <v>32401</v>
      </c>
      <c r="G310">
        <v>20481</v>
      </c>
      <c r="H310">
        <v>17082</v>
      </c>
      <c r="I310">
        <v>-0.62</v>
      </c>
      <c r="J310">
        <v>36.39</v>
      </c>
      <c r="K310">
        <v>46.95</v>
      </c>
      <c r="L310">
        <v>20.6</v>
      </c>
      <c r="M310" t="b">
        <v>1</v>
      </c>
      <c r="N310">
        <v>2984</v>
      </c>
      <c r="O310">
        <v>120752</v>
      </c>
      <c r="P310" t="s">
        <v>308</v>
      </c>
      <c r="Q310">
        <v>40.81</v>
      </c>
      <c r="R310" t="s">
        <v>624</v>
      </c>
      <c r="S310" t="s">
        <v>935</v>
      </c>
      <c r="T310">
        <v>656</v>
      </c>
      <c r="U310">
        <v>134</v>
      </c>
      <c r="V310">
        <v>1466</v>
      </c>
      <c r="W310">
        <v>456646</v>
      </c>
      <c r="X310">
        <v>1.31</v>
      </c>
    </row>
    <row r="311" spans="1:24">
      <c r="A311" s="2">
        <f>HYPERLINK("https://finance.naver.com/item/coinfo.nhn?code=148150", "A148150")</f>
        <v>0</v>
      </c>
      <c r="B311">
        <f>HYPERLINK("http://comp.fnguide.com/SVO2/ASP/SVD_Consensus.asp?pGB=1&amp;gicode=A148150&amp;cID=&amp;MenuYn=Y&amp;ReportGB=&amp;NewMenuID=108&amp;stkGb=701", "세경하이테크")</f>
        <v>0</v>
      </c>
      <c r="C311">
        <v>1</v>
      </c>
      <c r="D311">
        <v>23400</v>
      </c>
      <c r="E311">
        <v>-0.4</v>
      </c>
      <c r="F311">
        <v>36763</v>
      </c>
      <c r="G311">
        <v>21814</v>
      </c>
      <c r="H311">
        <v>17550</v>
      </c>
      <c r="I311">
        <v>-57.11</v>
      </c>
      <c r="J311">
        <v>6.78</v>
      </c>
      <c r="K311">
        <v>25</v>
      </c>
      <c r="L311">
        <v>24.71</v>
      </c>
      <c r="M311" t="b">
        <v>1</v>
      </c>
      <c r="N311">
        <v>2724</v>
      </c>
      <c r="O311">
        <v>78508</v>
      </c>
      <c r="P311" t="s">
        <v>309</v>
      </c>
      <c r="Q311">
        <v>35.6</v>
      </c>
      <c r="R311" t="s">
        <v>625</v>
      </c>
      <c r="S311" t="s">
        <v>936</v>
      </c>
      <c r="T311">
        <v>2813</v>
      </c>
      <c r="U311">
        <v>234</v>
      </c>
      <c r="V311">
        <v>2013</v>
      </c>
      <c r="X311">
        <v>0.7</v>
      </c>
    </row>
    <row r="312" spans="1:24">
      <c r="A312" s="2">
        <f>HYPERLINK("https://finance.naver.com/item/coinfo.nhn?code=065710", "A065710")</f>
        <v>0</v>
      </c>
      <c r="B312">
        <f>HYPERLINK("http://comp.fnguide.com/SVO2/ASP/SVD_Consensus.asp?pGB=1&amp;gicode=A065710&amp;cID=&amp;MenuYn=Y&amp;ReportGB=&amp;NewMenuID=108&amp;stkGb=701", "서호전기")</f>
        <v>0</v>
      </c>
      <c r="C312">
        <v>1</v>
      </c>
      <c r="D312">
        <v>22000</v>
      </c>
      <c r="E312">
        <v>0.4</v>
      </c>
      <c r="F312">
        <v>28936</v>
      </c>
      <c r="G312">
        <v>20296</v>
      </c>
      <c r="H312">
        <v>17832</v>
      </c>
      <c r="I312">
        <v>-31.53</v>
      </c>
      <c r="J312">
        <v>7.74</v>
      </c>
      <c r="K312">
        <v>18.94</v>
      </c>
      <c r="L312">
        <v>15.87</v>
      </c>
      <c r="M312" t="b">
        <v>1</v>
      </c>
      <c r="N312">
        <v>1133</v>
      </c>
      <c r="O312">
        <v>24998</v>
      </c>
      <c r="P312" t="s">
        <v>310</v>
      </c>
      <c r="Q312">
        <v>58.01</v>
      </c>
      <c r="R312" t="s">
        <v>626</v>
      </c>
      <c r="S312" t="s">
        <v>937</v>
      </c>
      <c r="T312">
        <v>649</v>
      </c>
      <c r="U312">
        <v>122</v>
      </c>
      <c r="V312">
        <v>2973</v>
      </c>
      <c r="W312">
        <v>9078</v>
      </c>
      <c r="X312">
        <v>5.13</v>
      </c>
    </row>
    <row r="313" spans="1:24">
      <c r="A313" s="2">
        <f>HYPERLINK("https://finance.naver.com/item/coinfo.nhn?code=107590", "A107590")</f>
        <v>0</v>
      </c>
      <c r="B313">
        <f>HYPERLINK("http://comp.fnguide.com/SVO2/ASP/SVD_Consensus.asp?pGB=1&amp;gicode=A107590&amp;cID=&amp;MenuYn=Y&amp;ReportGB=&amp;NewMenuID=108&amp;stkGb=701", "미원홀딩스")</f>
        <v>0</v>
      </c>
      <c r="C313">
        <v>1</v>
      </c>
      <c r="D313">
        <v>68800</v>
      </c>
      <c r="E313">
        <v>0.47</v>
      </c>
      <c r="F313">
        <v>73782</v>
      </c>
      <c r="G313">
        <v>67473</v>
      </c>
      <c r="H313">
        <v>65673</v>
      </c>
      <c r="I313">
        <v>-7.24</v>
      </c>
      <c r="J313">
        <v>1.93</v>
      </c>
      <c r="K313">
        <v>4.55</v>
      </c>
      <c r="L313">
        <v>9.300000000000001</v>
      </c>
      <c r="M313" t="b">
        <v>1</v>
      </c>
      <c r="N313">
        <v>1596</v>
      </c>
      <c r="O313">
        <v>1443</v>
      </c>
      <c r="P313" t="s">
        <v>311</v>
      </c>
      <c r="Q313">
        <v>70.94</v>
      </c>
      <c r="R313" t="s">
        <v>627</v>
      </c>
      <c r="S313" t="s">
        <v>938</v>
      </c>
      <c r="T313">
        <v>1884</v>
      </c>
      <c r="U313">
        <v>78</v>
      </c>
      <c r="V313">
        <v>6591</v>
      </c>
      <c r="X313">
        <v>0.97</v>
      </c>
    </row>
    <row r="314" spans="1:24">
      <c r="A314" s="2">
        <f>HYPERLINK("https://finance.naver.com/item/coinfo.nhn?code=002410", "A002410")</f>
        <v>0</v>
      </c>
      <c r="B314">
        <f>HYPERLINK("http://comp.fnguide.com/SVO2/ASP/SVD_Consensus.asp?pGB=1&amp;gicode=A002410&amp;cID=&amp;MenuYn=Y&amp;ReportGB=&amp;NewMenuID=108&amp;stkGb=701", "범양건영")</f>
        <v>0</v>
      </c>
      <c r="C314">
        <v>1</v>
      </c>
      <c r="D314">
        <v>5330</v>
      </c>
      <c r="E314">
        <v>0.04</v>
      </c>
      <c r="F314">
        <v>7317</v>
      </c>
      <c r="G314">
        <v>4616</v>
      </c>
      <c r="H314">
        <v>3845</v>
      </c>
      <c r="I314">
        <v>-37.28</v>
      </c>
      <c r="J314">
        <v>13.4</v>
      </c>
      <c r="K314">
        <v>27.85</v>
      </c>
      <c r="L314">
        <v>20.71</v>
      </c>
      <c r="M314" t="b">
        <v>1</v>
      </c>
      <c r="N314">
        <v>1324</v>
      </c>
      <c r="O314">
        <v>435804</v>
      </c>
      <c r="P314" t="s">
        <v>312</v>
      </c>
      <c r="Q314">
        <v>33.22</v>
      </c>
      <c r="R314" t="s">
        <v>628</v>
      </c>
      <c r="S314" t="s">
        <v>939</v>
      </c>
      <c r="T314">
        <v>2761</v>
      </c>
      <c r="U314">
        <v>115</v>
      </c>
      <c r="V314">
        <v>794</v>
      </c>
      <c r="W314">
        <v>2030</v>
      </c>
    </row>
    <row r="315" spans="1:24">
      <c r="A315" s="2">
        <f>HYPERLINK("https://finance.naver.com/item/coinfo.nhn?code=090460", "A090460")</f>
        <v>0</v>
      </c>
      <c r="B315">
        <f>HYPERLINK("http://comp.fnguide.com/SVO2/ASP/SVD_Consensus.asp?pGB=1&amp;gicode=A090460&amp;cID=&amp;MenuYn=Y&amp;ReportGB=&amp;NewMenuID=108&amp;stkGb=701", "비에이치")</f>
        <v>0</v>
      </c>
      <c r="C315">
        <v>1</v>
      </c>
      <c r="D315">
        <v>22050</v>
      </c>
      <c r="E315">
        <v>-0.91</v>
      </c>
      <c r="F315">
        <v>39131</v>
      </c>
      <c r="G315">
        <v>21065</v>
      </c>
      <c r="H315">
        <v>15913</v>
      </c>
      <c r="I315">
        <v>-77.45999999999999</v>
      </c>
      <c r="J315">
        <v>4.47</v>
      </c>
      <c r="K315">
        <v>27.83</v>
      </c>
      <c r="L315">
        <v>34.51</v>
      </c>
      <c r="M315" t="b">
        <v>1</v>
      </c>
      <c r="N315">
        <v>7381</v>
      </c>
      <c r="O315">
        <v>801243</v>
      </c>
      <c r="P315" t="s">
        <v>313</v>
      </c>
      <c r="Q315">
        <v>22</v>
      </c>
      <c r="R315" t="s">
        <v>629</v>
      </c>
      <c r="S315" t="s">
        <v>940</v>
      </c>
      <c r="T315">
        <v>6549</v>
      </c>
      <c r="U315">
        <v>626</v>
      </c>
      <c r="V315">
        <v>1732</v>
      </c>
      <c r="W315">
        <v>2586488</v>
      </c>
    </row>
    <row r="316" spans="1:24">
      <c r="A316" s="2">
        <f>HYPERLINK("https://finance.naver.com/item/coinfo.nhn?code=121800", "A121800")</f>
        <v>0</v>
      </c>
      <c r="B316">
        <f>HYPERLINK("http://comp.fnguide.com/SVO2/ASP/SVD_Consensus.asp?pGB=1&amp;gicode=A121800&amp;cID=&amp;MenuYn=Y&amp;ReportGB=&amp;NewMenuID=108&amp;stkGb=701", "비덴트")</f>
        <v>0</v>
      </c>
      <c r="C316">
        <v>1</v>
      </c>
      <c r="D316">
        <v>9680</v>
      </c>
      <c r="F316">
        <v>15535</v>
      </c>
      <c r="G316">
        <v>9493</v>
      </c>
      <c r="H316">
        <v>7770</v>
      </c>
      <c r="I316">
        <v>-60.49</v>
      </c>
      <c r="J316">
        <v>1.93</v>
      </c>
      <c r="K316">
        <v>19.73</v>
      </c>
      <c r="L316">
        <v>22.64</v>
      </c>
      <c r="M316" t="b">
        <v>0</v>
      </c>
      <c r="N316">
        <v>4099</v>
      </c>
      <c r="O316">
        <v>3156295</v>
      </c>
      <c r="P316" t="s">
        <v>314</v>
      </c>
      <c r="Q316">
        <v>23.04</v>
      </c>
      <c r="R316" t="s">
        <v>630</v>
      </c>
      <c r="S316" t="s">
        <v>941</v>
      </c>
      <c r="T316">
        <v>187</v>
      </c>
      <c r="U316">
        <v>-18</v>
      </c>
      <c r="V316">
        <v>-258</v>
      </c>
      <c r="W316">
        <v>4015</v>
      </c>
    </row>
    <row r="317" spans="1:24">
      <c r="A317" s="2">
        <f>HYPERLINK("https://finance.naver.com/item/coinfo.nhn?code=298540", "A298540")</f>
        <v>0</v>
      </c>
      <c r="B317">
        <f>HYPERLINK("http://comp.fnguide.com/SVO2/ASP/SVD_Consensus.asp?pGB=1&amp;gicode=A298540&amp;cID=&amp;MenuYn=Y&amp;ReportGB=&amp;NewMenuID=108&amp;stkGb=701", "더네이쳐홀딩스")</f>
        <v>0</v>
      </c>
      <c r="C317">
        <v>1</v>
      </c>
      <c r="D317">
        <v>43700</v>
      </c>
      <c r="F317">
        <v>62646</v>
      </c>
      <c r="G317">
        <v>31250</v>
      </c>
      <c r="H317">
        <v>22296</v>
      </c>
      <c r="I317">
        <v>-43.35</v>
      </c>
      <c r="J317">
        <v>28.49</v>
      </c>
      <c r="K317">
        <v>48.98</v>
      </c>
      <c r="L317">
        <v>48.22</v>
      </c>
      <c r="M317" t="b">
        <v>0</v>
      </c>
      <c r="N317">
        <v>3178</v>
      </c>
      <c r="O317">
        <v>35263</v>
      </c>
      <c r="P317" t="s">
        <v>315</v>
      </c>
      <c r="Q317">
        <v>37.49</v>
      </c>
      <c r="R317" t="s">
        <v>631</v>
      </c>
      <c r="S317" t="s">
        <v>942</v>
      </c>
      <c r="T317">
        <v>2353</v>
      </c>
      <c r="U317">
        <v>398</v>
      </c>
      <c r="V317">
        <v>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91"/>
  <sheetViews>
    <sheetView workbookViewId="0"/>
  </sheetViews>
  <sheetFormatPr defaultRowHeight="15"/>
  <sheetData>
    <row r="1" spans="1:24">
      <c r="A1" s="2" t="s">
        <v>966</v>
      </c>
      <c r="B1" s="1" t="s">
        <v>943</v>
      </c>
      <c r="C1" s="1" t="s">
        <v>944</v>
      </c>
      <c r="D1" s="1" t="s">
        <v>945</v>
      </c>
      <c r="E1" s="1" t="s">
        <v>946</v>
      </c>
      <c r="F1" s="1" t="s">
        <v>947</v>
      </c>
      <c r="G1" s="1" t="s">
        <v>948</v>
      </c>
      <c r="H1" s="1" t="s">
        <v>949</v>
      </c>
      <c r="I1" s="1" t="s">
        <v>950</v>
      </c>
      <c r="J1" s="1" t="s">
        <v>951</v>
      </c>
      <c r="K1" s="1" t="s">
        <v>952</v>
      </c>
      <c r="L1" s="1" t="s">
        <v>953</v>
      </c>
      <c r="M1" s="1" t="s">
        <v>954</v>
      </c>
      <c r="N1" s="1" t="s">
        <v>967</v>
      </c>
      <c r="O1" s="1" t="s">
        <v>956</v>
      </c>
      <c r="P1" s="1" t="s">
        <v>957</v>
      </c>
      <c r="Q1" s="1" t="s">
        <v>958</v>
      </c>
      <c r="R1" s="1" t="s">
        <v>959</v>
      </c>
      <c r="S1" s="1" t="s">
        <v>960</v>
      </c>
      <c r="T1" s="1" t="s">
        <v>961</v>
      </c>
      <c r="U1" s="1" t="s">
        <v>962</v>
      </c>
      <c r="V1" s="1" t="s">
        <v>963</v>
      </c>
      <c r="W1" s="1" t="s">
        <v>964</v>
      </c>
      <c r="X1" s="1" t="s">
        <v>965</v>
      </c>
    </row>
    <row r="2" spans="1:24">
      <c r="A2" s="2">
        <f>HYPERLINK("https://finance.naver.com/item/coinfo.nhn?code=005960", "A005960")</f>
        <v>0</v>
      </c>
      <c r="B2">
        <f>HYPERLINK("http://comp.fnguide.com/SVO2/ASP/SVD_Consensus.asp?pGB=1&amp;gicode=A005960&amp;cID=&amp;MenuYn=Y&amp;ReportGB=&amp;NewMenuID=108&amp;stkGb=701", "동부건설")</f>
        <v>0</v>
      </c>
      <c r="C2">
        <v>3</v>
      </c>
      <c r="D2">
        <v>12150</v>
      </c>
      <c r="E2">
        <v>-0.21</v>
      </c>
      <c r="F2">
        <v>48285</v>
      </c>
      <c r="G2">
        <v>30408</v>
      </c>
      <c r="H2">
        <v>25309</v>
      </c>
      <c r="I2">
        <v>-297.41</v>
      </c>
      <c r="J2">
        <v>-150.27</v>
      </c>
      <c r="K2">
        <v>-108.31</v>
      </c>
      <c r="L2">
        <v>20.81</v>
      </c>
      <c r="M2" t="b">
        <v>1</v>
      </c>
      <c r="N2">
        <v>2758</v>
      </c>
      <c r="O2">
        <v>62309</v>
      </c>
      <c r="P2" t="s">
        <v>181</v>
      </c>
      <c r="Q2">
        <v>62.19</v>
      </c>
      <c r="R2" t="s">
        <v>497</v>
      </c>
      <c r="S2" t="s">
        <v>813</v>
      </c>
      <c r="T2">
        <v>11554</v>
      </c>
      <c r="U2">
        <v>555</v>
      </c>
      <c r="V2">
        <v>2803</v>
      </c>
      <c r="W2">
        <v>4291</v>
      </c>
      <c r="X2">
        <v>8.199999999999999</v>
      </c>
    </row>
    <row r="3" spans="1:24">
      <c r="A3" s="2">
        <f>HYPERLINK("https://finance.naver.com/item/coinfo.nhn?code=225190", "A225190")</f>
        <v>0</v>
      </c>
      <c r="B3">
        <f>HYPERLINK("http://comp.fnguide.com/SVO2/ASP/SVD_Consensus.asp?pGB=1&amp;gicode=A225190&amp;cID=&amp;MenuYn=Y&amp;ReportGB=&amp;NewMenuID=108&amp;stkGb=701", "삼양옵틱스")</f>
        <v>0</v>
      </c>
      <c r="C3">
        <v>2</v>
      </c>
      <c r="D3">
        <v>9490</v>
      </c>
      <c r="E3">
        <v>-0.35</v>
      </c>
      <c r="F3">
        <v>18642</v>
      </c>
      <c r="G3">
        <v>9792</v>
      </c>
      <c r="H3">
        <v>7267</v>
      </c>
      <c r="I3">
        <v>-96.44</v>
      </c>
      <c r="J3">
        <v>-3.18</v>
      </c>
      <c r="K3">
        <v>23.42</v>
      </c>
      <c r="L3">
        <v>38.1</v>
      </c>
      <c r="M3" t="b">
        <v>1</v>
      </c>
      <c r="N3">
        <v>958</v>
      </c>
      <c r="O3">
        <v>31695</v>
      </c>
      <c r="P3" t="s">
        <v>229</v>
      </c>
      <c r="Q3">
        <v>68.13</v>
      </c>
      <c r="R3" t="s">
        <v>545</v>
      </c>
      <c r="S3" t="s">
        <v>860</v>
      </c>
      <c r="T3">
        <v>636</v>
      </c>
      <c r="U3">
        <v>157</v>
      </c>
      <c r="V3">
        <v>1347</v>
      </c>
      <c r="W3">
        <v>28580</v>
      </c>
      <c r="X3">
        <v>7.84</v>
      </c>
    </row>
    <row r="4" spans="1:24">
      <c r="A4" s="2">
        <f>HYPERLINK("https://finance.naver.com/item/coinfo.nhn?code=007330", "A007330")</f>
        <v>0</v>
      </c>
      <c r="B4">
        <f>HYPERLINK("http://comp.fnguide.com/SVO2/ASP/SVD_Consensus.asp?pGB=1&amp;gicode=A007330&amp;cID=&amp;MenuYn=Y&amp;ReportGB=&amp;NewMenuID=108&amp;stkGb=701", "푸른저축은행")</f>
        <v>0</v>
      </c>
      <c r="C4">
        <v>3</v>
      </c>
      <c r="D4">
        <v>8950</v>
      </c>
      <c r="E4">
        <v>0</v>
      </c>
      <c r="F4">
        <v>27379</v>
      </c>
      <c r="G4">
        <v>24399</v>
      </c>
      <c r="H4">
        <v>23549</v>
      </c>
      <c r="I4">
        <v>-205.91</v>
      </c>
      <c r="J4">
        <v>-172.61</v>
      </c>
      <c r="K4">
        <v>-163.12</v>
      </c>
      <c r="L4">
        <v>9.75</v>
      </c>
      <c r="M4" t="b">
        <v>1</v>
      </c>
      <c r="N4">
        <v>1350</v>
      </c>
      <c r="O4">
        <v>32751</v>
      </c>
      <c r="P4" t="s">
        <v>72</v>
      </c>
      <c r="Q4">
        <v>62.3</v>
      </c>
      <c r="R4" t="s">
        <v>388</v>
      </c>
      <c r="S4" t="s">
        <v>704</v>
      </c>
      <c r="T4">
        <v>559</v>
      </c>
      <c r="U4">
        <v>321</v>
      </c>
      <c r="V4">
        <v>1631</v>
      </c>
      <c r="W4">
        <v>3243332</v>
      </c>
      <c r="X4">
        <v>7.02</v>
      </c>
    </row>
    <row r="5" spans="1:24">
      <c r="A5" s="2">
        <f>HYPERLINK("https://finance.naver.com/item/coinfo.nhn?code=031330", "A031330")</f>
        <v>0</v>
      </c>
      <c r="B5">
        <f>HYPERLINK("http://comp.fnguide.com/SVO2/ASP/SVD_Consensus.asp?pGB=1&amp;gicode=A031330&amp;cID=&amp;MenuYn=Y&amp;ReportGB=&amp;NewMenuID=108&amp;stkGb=701", "에스에이엠티")</f>
        <v>0</v>
      </c>
      <c r="C5">
        <v>3</v>
      </c>
      <c r="D5">
        <v>2360</v>
      </c>
      <c r="E5">
        <v>-3.91</v>
      </c>
      <c r="F5">
        <v>4950</v>
      </c>
      <c r="G5">
        <v>3438</v>
      </c>
      <c r="H5">
        <v>3006</v>
      </c>
      <c r="I5">
        <v>-109.76</v>
      </c>
      <c r="J5">
        <v>-45.67</v>
      </c>
      <c r="K5">
        <v>-27.39</v>
      </c>
      <c r="L5">
        <v>16.25</v>
      </c>
      <c r="M5" t="b">
        <v>1</v>
      </c>
      <c r="N5">
        <v>2360</v>
      </c>
      <c r="O5">
        <v>406580</v>
      </c>
      <c r="P5" t="s">
        <v>91</v>
      </c>
      <c r="Q5">
        <v>50.02</v>
      </c>
      <c r="R5" t="s">
        <v>407</v>
      </c>
      <c r="S5" t="s">
        <v>723</v>
      </c>
      <c r="T5">
        <v>12138</v>
      </c>
      <c r="U5">
        <v>337</v>
      </c>
      <c r="V5">
        <v>376</v>
      </c>
      <c r="W5">
        <v>2000000</v>
      </c>
      <c r="X5">
        <v>6.38</v>
      </c>
    </row>
    <row r="6" spans="1:24">
      <c r="A6" s="2">
        <f>HYPERLINK("https://finance.naver.com/item/coinfo.nhn?code=078020", "A078020")</f>
        <v>0</v>
      </c>
      <c r="B6">
        <f>HYPERLINK("http://comp.fnguide.com/SVO2/ASP/SVD_Consensus.asp?pGB=1&amp;gicode=A078020&amp;cID=&amp;MenuYn=Y&amp;ReportGB=&amp;NewMenuID=108&amp;stkGb=701", "이베스트투자증권")</f>
        <v>0</v>
      </c>
      <c r="C6">
        <v>3</v>
      </c>
      <c r="D6">
        <v>7030</v>
      </c>
      <c r="E6">
        <v>0.54</v>
      </c>
      <c r="F6">
        <v>13000</v>
      </c>
      <c r="G6">
        <v>11317</v>
      </c>
      <c r="H6">
        <v>10837</v>
      </c>
      <c r="I6">
        <v>-84.92</v>
      </c>
      <c r="J6">
        <v>-60.98</v>
      </c>
      <c r="K6">
        <v>-54.15</v>
      </c>
      <c r="L6">
        <v>10.17</v>
      </c>
      <c r="M6" t="b">
        <v>1</v>
      </c>
      <c r="N6">
        <v>3900</v>
      </c>
      <c r="O6">
        <v>147656</v>
      </c>
      <c r="P6" t="s">
        <v>103</v>
      </c>
      <c r="Q6">
        <v>62.48</v>
      </c>
      <c r="R6" t="s">
        <v>419</v>
      </c>
      <c r="S6" t="s">
        <v>735</v>
      </c>
      <c r="T6">
        <v>1893</v>
      </c>
      <c r="U6">
        <v>705</v>
      </c>
      <c r="V6">
        <v>1020</v>
      </c>
      <c r="W6">
        <v>5075498</v>
      </c>
      <c r="X6">
        <v>6.16</v>
      </c>
    </row>
    <row r="7" spans="1:24">
      <c r="A7" s="2">
        <f>HYPERLINK("https://finance.naver.com/item/coinfo.nhn?code=095570", "A095570")</f>
        <v>0</v>
      </c>
      <c r="B7">
        <f>HYPERLINK("http://comp.fnguide.com/SVO2/ASP/SVD_Consensus.asp?pGB=1&amp;gicode=A095570&amp;cID=&amp;MenuYn=Y&amp;ReportGB=&amp;NewMenuID=108&amp;stkGb=701", "AJ네트웍스")</f>
        <v>0</v>
      </c>
      <c r="C7">
        <v>3</v>
      </c>
      <c r="D7">
        <v>4365</v>
      </c>
      <c r="E7">
        <v>0.25</v>
      </c>
      <c r="F7">
        <v>7536</v>
      </c>
      <c r="G7">
        <v>7211</v>
      </c>
      <c r="H7">
        <v>7118</v>
      </c>
      <c r="I7">
        <v>-72.65000000000001</v>
      </c>
      <c r="J7">
        <v>-65.19</v>
      </c>
      <c r="K7">
        <v>-63.07</v>
      </c>
      <c r="L7">
        <v>8.6</v>
      </c>
      <c r="M7" t="b">
        <v>1</v>
      </c>
      <c r="N7">
        <v>2044</v>
      </c>
      <c r="O7">
        <v>243752</v>
      </c>
      <c r="P7" t="s">
        <v>0</v>
      </c>
      <c r="Q7">
        <v>72.18000000000001</v>
      </c>
      <c r="R7" t="s">
        <v>316</v>
      </c>
      <c r="S7" t="s">
        <v>632</v>
      </c>
      <c r="T7">
        <v>12028</v>
      </c>
      <c r="U7">
        <v>178</v>
      </c>
      <c r="V7">
        <v>982</v>
      </c>
      <c r="W7">
        <v>1284859</v>
      </c>
      <c r="X7">
        <v>6.04</v>
      </c>
    </row>
    <row r="8" spans="1:24">
      <c r="A8" s="2">
        <f>HYPERLINK("https://finance.naver.com/item/coinfo.nhn?code=152330", "A152330")</f>
        <v>0</v>
      </c>
      <c r="B8">
        <f>HYPERLINK("http://comp.fnguide.com/SVO2/ASP/SVD_Consensus.asp?pGB=1&amp;gicode=A152330&amp;cID=&amp;MenuYn=Y&amp;ReportGB=&amp;NewMenuID=108&amp;stkGb=701", "코리아오토글라스")</f>
        <v>0</v>
      </c>
      <c r="C8">
        <v>3</v>
      </c>
      <c r="D8">
        <v>16550</v>
      </c>
      <c r="E8">
        <v>-54.09</v>
      </c>
      <c r="F8">
        <v>26080</v>
      </c>
      <c r="G8">
        <v>21255</v>
      </c>
      <c r="H8">
        <v>19878</v>
      </c>
      <c r="I8">
        <v>-57.58</v>
      </c>
      <c r="J8">
        <v>-28.43</v>
      </c>
      <c r="K8">
        <v>-20.11</v>
      </c>
      <c r="L8">
        <v>11.53</v>
      </c>
      <c r="M8" t="b">
        <v>1</v>
      </c>
      <c r="N8">
        <v>3310</v>
      </c>
      <c r="O8">
        <v>0</v>
      </c>
      <c r="P8" t="s">
        <v>159</v>
      </c>
      <c r="Q8">
        <v>50.05</v>
      </c>
      <c r="R8" t="s">
        <v>475</v>
      </c>
      <c r="S8" t="s">
        <v>791</v>
      </c>
      <c r="T8">
        <v>4560</v>
      </c>
      <c r="U8">
        <v>575</v>
      </c>
      <c r="V8">
        <v>1651</v>
      </c>
      <c r="X8">
        <v>5.57</v>
      </c>
    </row>
    <row r="9" spans="1:24">
      <c r="A9" s="2">
        <f>HYPERLINK("https://finance.naver.com/item/coinfo.nhn?code=190650", "A190650")</f>
        <v>0</v>
      </c>
      <c r="B9">
        <f>HYPERLINK("http://comp.fnguide.com/SVO2/ASP/SVD_Consensus.asp?pGB=1&amp;gicode=A190650&amp;cID=&amp;MenuYn=Y&amp;ReportGB=&amp;NewMenuID=108&amp;stkGb=701", "코리아에셋투자증권")</f>
        <v>0</v>
      </c>
      <c r="C9">
        <v>3</v>
      </c>
      <c r="D9">
        <v>7630</v>
      </c>
      <c r="E9">
        <v>0.34</v>
      </c>
      <c r="F9">
        <v>15563</v>
      </c>
      <c r="G9">
        <v>12760</v>
      </c>
      <c r="H9">
        <v>11960</v>
      </c>
      <c r="I9">
        <v>-103.97</v>
      </c>
      <c r="J9">
        <v>-67.23</v>
      </c>
      <c r="K9">
        <v>-56.75</v>
      </c>
      <c r="L9">
        <v>11.4</v>
      </c>
      <c r="M9" t="b">
        <v>1</v>
      </c>
      <c r="N9">
        <v>487</v>
      </c>
      <c r="O9">
        <v>43173</v>
      </c>
      <c r="P9" t="s">
        <v>58</v>
      </c>
      <c r="Q9">
        <v>51.42</v>
      </c>
      <c r="R9" t="s">
        <v>374</v>
      </c>
      <c r="S9" t="s">
        <v>690</v>
      </c>
      <c r="T9">
        <v>560</v>
      </c>
      <c r="U9">
        <v>94</v>
      </c>
      <c r="V9">
        <v>1207</v>
      </c>
      <c r="X9">
        <v>5.52</v>
      </c>
    </row>
    <row r="10" spans="1:24">
      <c r="A10" s="2">
        <f>HYPERLINK("https://finance.naver.com/item/coinfo.nhn?code=123890", "A123890")</f>
        <v>0</v>
      </c>
      <c r="B10">
        <f>HYPERLINK("http://comp.fnguide.com/SVO2/ASP/SVD_Consensus.asp?pGB=1&amp;gicode=A123890&amp;cID=&amp;MenuYn=Y&amp;ReportGB=&amp;NewMenuID=108&amp;stkGb=701", "한국자산신탁")</f>
        <v>0</v>
      </c>
      <c r="C10">
        <v>3</v>
      </c>
      <c r="D10">
        <v>4040</v>
      </c>
      <c r="E10">
        <v>0</v>
      </c>
      <c r="F10">
        <v>12090</v>
      </c>
      <c r="G10">
        <v>8078</v>
      </c>
      <c r="H10">
        <v>6934</v>
      </c>
      <c r="I10">
        <v>-199.26</v>
      </c>
      <c r="J10">
        <v>-99.95999999999999</v>
      </c>
      <c r="K10">
        <v>-71.64</v>
      </c>
      <c r="L10">
        <v>17.83</v>
      </c>
      <c r="M10" t="b">
        <v>1</v>
      </c>
      <c r="N10">
        <v>5009</v>
      </c>
      <c r="O10">
        <v>453413</v>
      </c>
      <c r="P10" t="s">
        <v>110</v>
      </c>
      <c r="Q10">
        <v>53.62</v>
      </c>
      <c r="R10" t="s">
        <v>426</v>
      </c>
      <c r="S10" t="s">
        <v>742</v>
      </c>
      <c r="T10">
        <v>2233</v>
      </c>
      <c r="U10">
        <v>1141</v>
      </c>
      <c r="V10">
        <v>723</v>
      </c>
      <c r="W10">
        <v>1610697</v>
      </c>
      <c r="X10">
        <v>5.4</v>
      </c>
    </row>
    <row r="11" spans="1:24">
      <c r="A11" s="2">
        <f>HYPERLINK("https://finance.naver.com/item/coinfo.nhn?code=033660", "A033660")</f>
        <v>0</v>
      </c>
      <c r="B11">
        <f>HYPERLINK("http://comp.fnguide.com/SVO2/ASP/SVD_Consensus.asp?pGB=1&amp;gicode=A033660&amp;cID=&amp;MenuYn=Y&amp;ReportGB=&amp;NewMenuID=108&amp;stkGb=701", "아주캐피탈")</f>
        <v>0</v>
      </c>
      <c r="C11">
        <v>3</v>
      </c>
      <c r="D11">
        <v>13200</v>
      </c>
      <c r="E11">
        <v>0</v>
      </c>
      <c r="F11">
        <v>21800</v>
      </c>
      <c r="G11">
        <v>17519</v>
      </c>
      <c r="H11">
        <v>16299</v>
      </c>
      <c r="I11">
        <v>-65.15000000000001</v>
      </c>
      <c r="J11">
        <v>-32.72</v>
      </c>
      <c r="K11">
        <v>-23.47</v>
      </c>
      <c r="L11">
        <v>11.86</v>
      </c>
      <c r="M11" t="b">
        <v>1</v>
      </c>
      <c r="N11">
        <v>7596</v>
      </c>
      <c r="O11">
        <v>55112</v>
      </c>
      <c r="P11" t="s">
        <v>193</v>
      </c>
      <c r="Q11">
        <v>74.05</v>
      </c>
      <c r="R11" t="s">
        <v>509</v>
      </c>
      <c r="S11" t="s">
        <v>825</v>
      </c>
      <c r="T11">
        <v>2293</v>
      </c>
      <c r="U11">
        <v>1338</v>
      </c>
      <c r="V11">
        <v>1765</v>
      </c>
      <c r="W11">
        <v>2067090</v>
      </c>
      <c r="X11">
        <v>5.22</v>
      </c>
    </row>
    <row r="12" spans="1:24">
      <c r="A12" s="2">
        <f>HYPERLINK("https://finance.naver.com/item/coinfo.nhn?code=046110", "A046110")</f>
        <v>0</v>
      </c>
      <c r="B12">
        <f>HYPERLINK("http://comp.fnguide.com/SVO2/ASP/SVD_Consensus.asp?pGB=1&amp;gicode=A046110&amp;cID=&amp;MenuYn=Y&amp;ReportGB=&amp;NewMenuID=108&amp;stkGb=701", "한일네트웍스")</f>
        <v>0</v>
      </c>
      <c r="C12">
        <v>3</v>
      </c>
      <c r="D12">
        <v>5000</v>
      </c>
      <c r="E12">
        <v>0.26</v>
      </c>
      <c r="F12">
        <v>9663</v>
      </c>
      <c r="G12">
        <v>7246</v>
      </c>
      <c r="H12">
        <v>6557</v>
      </c>
      <c r="I12">
        <v>-93.26000000000001</v>
      </c>
      <c r="J12">
        <v>-44.92</v>
      </c>
      <c r="K12">
        <v>-31.13</v>
      </c>
      <c r="L12">
        <v>13.68</v>
      </c>
      <c r="M12" t="b">
        <v>1</v>
      </c>
      <c r="N12">
        <v>598</v>
      </c>
      <c r="O12">
        <v>242133</v>
      </c>
      <c r="P12" t="s">
        <v>77</v>
      </c>
      <c r="Q12">
        <v>50.1</v>
      </c>
      <c r="R12" t="s">
        <v>393</v>
      </c>
      <c r="S12" t="s">
        <v>709</v>
      </c>
      <c r="T12">
        <v>1216</v>
      </c>
      <c r="U12">
        <v>87</v>
      </c>
      <c r="V12">
        <v>589</v>
      </c>
      <c r="X12">
        <v>5.19</v>
      </c>
    </row>
    <row r="13" spans="1:24">
      <c r="A13" s="2">
        <f>HYPERLINK("https://finance.naver.com/item/coinfo.nhn?code=065710", "A065710")</f>
        <v>0</v>
      </c>
      <c r="B13">
        <f>HYPERLINK("http://comp.fnguide.com/SVO2/ASP/SVD_Consensus.asp?pGB=1&amp;gicode=A065710&amp;cID=&amp;MenuYn=Y&amp;ReportGB=&amp;NewMenuID=108&amp;stkGb=701", "서호전기")</f>
        <v>0</v>
      </c>
      <c r="C13">
        <v>1</v>
      </c>
      <c r="D13">
        <v>22000</v>
      </c>
      <c r="E13">
        <v>0.4</v>
      </c>
      <c r="F13">
        <v>28936</v>
      </c>
      <c r="G13">
        <v>20296</v>
      </c>
      <c r="H13">
        <v>17832</v>
      </c>
      <c r="I13">
        <v>-31.53</v>
      </c>
      <c r="J13">
        <v>7.74</v>
      </c>
      <c r="K13">
        <v>18.94</v>
      </c>
      <c r="L13">
        <v>15.87</v>
      </c>
      <c r="M13" t="b">
        <v>1</v>
      </c>
      <c r="N13">
        <v>1133</v>
      </c>
      <c r="O13">
        <v>24998</v>
      </c>
      <c r="P13" t="s">
        <v>310</v>
      </c>
      <c r="Q13">
        <v>58.01</v>
      </c>
      <c r="R13" t="s">
        <v>626</v>
      </c>
      <c r="S13" t="s">
        <v>937</v>
      </c>
      <c r="T13">
        <v>649</v>
      </c>
      <c r="U13">
        <v>122</v>
      </c>
      <c r="V13">
        <v>2973</v>
      </c>
      <c r="W13">
        <v>9078</v>
      </c>
      <c r="X13">
        <v>5.13</v>
      </c>
    </row>
    <row r="14" spans="1:24">
      <c r="A14" s="2">
        <f>HYPERLINK("https://finance.naver.com/item/coinfo.nhn?code=038390", "A038390")</f>
        <v>0</v>
      </c>
      <c r="B14">
        <f>HYPERLINK("http://comp.fnguide.com/SVO2/ASP/SVD_Consensus.asp?pGB=1&amp;gicode=A038390&amp;cID=&amp;MenuYn=Y&amp;ReportGB=&amp;NewMenuID=108&amp;stkGb=701", "레드캡투어")</f>
        <v>0</v>
      </c>
      <c r="C14">
        <v>3</v>
      </c>
      <c r="D14">
        <v>21450</v>
      </c>
      <c r="E14">
        <v>4.13</v>
      </c>
      <c r="F14">
        <v>29129</v>
      </c>
      <c r="G14">
        <v>23883</v>
      </c>
      <c r="H14">
        <v>22386</v>
      </c>
      <c r="I14">
        <v>-35.8</v>
      </c>
      <c r="J14">
        <v>-11.34</v>
      </c>
      <c r="K14">
        <v>-4.37</v>
      </c>
      <c r="L14">
        <v>11.4</v>
      </c>
      <c r="M14" t="b">
        <v>0</v>
      </c>
      <c r="N14">
        <v>1842</v>
      </c>
      <c r="O14">
        <v>112680</v>
      </c>
      <c r="P14" t="s">
        <v>9</v>
      </c>
      <c r="Q14">
        <v>74.58</v>
      </c>
      <c r="R14" t="s">
        <v>325</v>
      </c>
      <c r="S14" t="s">
        <v>641</v>
      </c>
      <c r="T14">
        <v>2588</v>
      </c>
      <c r="U14">
        <v>350</v>
      </c>
      <c r="V14">
        <v>2589</v>
      </c>
      <c r="W14">
        <v>552500</v>
      </c>
      <c r="X14">
        <v>5.11</v>
      </c>
    </row>
    <row r="15" spans="1:24">
      <c r="A15" s="2">
        <f>HYPERLINK("https://finance.naver.com/item/coinfo.nhn?code=007340", "A007340")</f>
        <v>0</v>
      </c>
      <c r="B15">
        <f>HYPERLINK("http://comp.fnguide.com/SVO2/ASP/SVD_Consensus.asp?pGB=1&amp;gicode=A007340&amp;cID=&amp;MenuYn=Y&amp;ReportGB=&amp;NewMenuID=108&amp;stkGb=701", "디티알오토모티브")</f>
        <v>0</v>
      </c>
      <c r="C15">
        <v>3</v>
      </c>
      <c r="D15">
        <v>24350</v>
      </c>
      <c r="E15">
        <v>0.48</v>
      </c>
      <c r="F15">
        <v>93064</v>
      </c>
      <c r="G15">
        <v>79124</v>
      </c>
      <c r="H15">
        <v>75149</v>
      </c>
      <c r="I15">
        <v>-282.19</v>
      </c>
      <c r="J15">
        <v>-224.95</v>
      </c>
      <c r="K15">
        <v>-208.62</v>
      </c>
      <c r="L15">
        <v>10.63</v>
      </c>
      <c r="M15" t="b">
        <v>1</v>
      </c>
      <c r="N15">
        <v>2434</v>
      </c>
      <c r="O15">
        <v>30067</v>
      </c>
      <c r="P15" t="s">
        <v>139</v>
      </c>
      <c r="Q15">
        <v>51.25</v>
      </c>
      <c r="R15" t="s">
        <v>455</v>
      </c>
      <c r="S15" t="s">
        <v>771</v>
      </c>
      <c r="T15">
        <v>9298</v>
      </c>
      <c r="U15">
        <v>802</v>
      </c>
      <c r="V15">
        <v>6584</v>
      </c>
      <c r="W15">
        <v>1375880</v>
      </c>
      <c r="X15">
        <v>5.11</v>
      </c>
    </row>
    <row r="16" spans="1:24">
      <c r="A16" s="2">
        <f>HYPERLINK("https://finance.naver.com/item/coinfo.nhn?code=051600", "A051600")</f>
        <v>0</v>
      </c>
      <c r="B16">
        <f>HYPERLINK("http://comp.fnguide.com/SVO2/ASP/SVD_Consensus.asp?pGB=1&amp;gicode=A051600&amp;cID=&amp;MenuYn=Y&amp;ReportGB=&amp;NewMenuID=108&amp;stkGb=701", "한전KPS")</f>
        <v>0</v>
      </c>
      <c r="C16">
        <v>2</v>
      </c>
      <c r="D16">
        <v>29300</v>
      </c>
      <c r="E16">
        <v>-1.24</v>
      </c>
      <c r="F16">
        <v>46956</v>
      </c>
      <c r="G16">
        <v>32948</v>
      </c>
      <c r="H16">
        <v>28953</v>
      </c>
      <c r="I16">
        <v>-60.26</v>
      </c>
      <c r="J16">
        <v>-12.45</v>
      </c>
      <c r="K16">
        <v>1.18</v>
      </c>
      <c r="L16">
        <v>15.86</v>
      </c>
      <c r="M16" t="b">
        <v>0</v>
      </c>
      <c r="N16">
        <v>13185</v>
      </c>
      <c r="O16">
        <v>165293</v>
      </c>
      <c r="P16" t="s">
        <v>230</v>
      </c>
      <c r="Q16">
        <v>51</v>
      </c>
      <c r="R16" t="s">
        <v>546</v>
      </c>
      <c r="S16" t="s">
        <v>861</v>
      </c>
      <c r="T16">
        <v>12469</v>
      </c>
      <c r="U16">
        <v>1939</v>
      </c>
      <c r="V16">
        <v>3407</v>
      </c>
      <c r="X16">
        <v>4.9</v>
      </c>
    </row>
    <row r="17" spans="1:24">
      <c r="A17" s="2">
        <f>HYPERLINK("https://finance.naver.com/item/coinfo.nhn?code=272550", "A272550")</f>
        <v>0</v>
      </c>
      <c r="B17">
        <f>HYPERLINK("http://comp.fnguide.com/SVO2/ASP/SVD_Consensus.asp?pGB=1&amp;gicode=A272550&amp;cID=&amp;MenuYn=Y&amp;ReportGB=&amp;NewMenuID=108&amp;stkGb=701", "삼양패키징")</f>
        <v>0</v>
      </c>
      <c r="C17">
        <v>3</v>
      </c>
      <c r="D17">
        <v>20850</v>
      </c>
      <c r="E17">
        <v>0.26</v>
      </c>
      <c r="F17">
        <v>25105</v>
      </c>
      <c r="G17">
        <v>22124</v>
      </c>
      <c r="H17">
        <v>21274</v>
      </c>
      <c r="I17">
        <v>-20.41</v>
      </c>
      <c r="J17">
        <v>-6.11</v>
      </c>
      <c r="K17">
        <v>-2.03</v>
      </c>
      <c r="L17">
        <v>9.949999999999999</v>
      </c>
      <c r="M17" t="b">
        <v>1</v>
      </c>
      <c r="N17">
        <v>2963</v>
      </c>
      <c r="O17">
        <v>36159</v>
      </c>
      <c r="P17" t="s">
        <v>121</v>
      </c>
      <c r="Q17">
        <v>71.01000000000001</v>
      </c>
      <c r="R17" t="s">
        <v>437</v>
      </c>
      <c r="S17" t="s">
        <v>753</v>
      </c>
      <c r="T17">
        <v>3754</v>
      </c>
      <c r="U17">
        <v>416</v>
      </c>
      <c r="V17">
        <v>1998</v>
      </c>
      <c r="X17">
        <v>4.76</v>
      </c>
    </row>
    <row r="18" spans="1:24">
      <c r="A18" s="2">
        <f>HYPERLINK("https://finance.naver.com/item/coinfo.nhn?code=000060", "A000060")</f>
        <v>0</v>
      </c>
      <c r="B18">
        <f>HYPERLINK("http://comp.fnguide.com/SVO2/ASP/SVD_Consensus.asp?pGB=1&amp;gicode=A000060&amp;cID=&amp;MenuYn=Y&amp;ReportGB=&amp;NewMenuID=108&amp;stkGb=701", "메리츠화재")</f>
        <v>0</v>
      </c>
      <c r="C18">
        <v>3</v>
      </c>
      <c r="D18">
        <v>15050</v>
      </c>
      <c r="E18">
        <v>0.43</v>
      </c>
      <c r="F18">
        <v>36122</v>
      </c>
      <c r="G18">
        <v>26806</v>
      </c>
      <c r="H18">
        <v>24149</v>
      </c>
      <c r="I18">
        <v>-140.02</v>
      </c>
      <c r="J18">
        <v>-78.11</v>
      </c>
      <c r="K18">
        <v>-60.46</v>
      </c>
      <c r="L18">
        <v>13.99</v>
      </c>
      <c r="M18" t="b">
        <v>1</v>
      </c>
      <c r="N18">
        <v>18154</v>
      </c>
      <c r="O18">
        <v>387582</v>
      </c>
      <c r="P18" t="s">
        <v>146</v>
      </c>
      <c r="Q18">
        <v>56.32</v>
      </c>
      <c r="R18" t="s">
        <v>462</v>
      </c>
      <c r="S18" t="s">
        <v>778</v>
      </c>
      <c r="T18">
        <v>80830</v>
      </c>
      <c r="U18">
        <v>3528</v>
      </c>
      <c r="V18">
        <v>2643</v>
      </c>
      <c r="W18">
        <v>2600822</v>
      </c>
      <c r="X18">
        <v>4.76</v>
      </c>
    </row>
    <row r="19" spans="1:24">
      <c r="A19" s="2">
        <f>HYPERLINK("https://finance.naver.com/item/coinfo.nhn?code=138040", "A138040")</f>
        <v>0</v>
      </c>
      <c r="B19">
        <f>HYPERLINK("http://comp.fnguide.com/SVO2/ASP/SVD_Consensus.asp?pGB=1&amp;gicode=A138040&amp;cID=&amp;MenuYn=Y&amp;ReportGB=&amp;NewMenuID=108&amp;stkGb=701", "메리츠금융지주")</f>
        <v>0</v>
      </c>
      <c r="C19">
        <v>3</v>
      </c>
      <c r="D19">
        <v>10050</v>
      </c>
      <c r="E19">
        <v>0.91</v>
      </c>
      <c r="F19">
        <v>40524</v>
      </c>
      <c r="G19">
        <v>28727</v>
      </c>
      <c r="H19">
        <v>25363</v>
      </c>
      <c r="I19">
        <v>-303.22</v>
      </c>
      <c r="J19">
        <v>-185.84</v>
      </c>
      <c r="K19">
        <v>-152.37</v>
      </c>
      <c r="L19">
        <v>15.49</v>
      </c>
      <c r="M19" t="b">
        <v>1</v>
      </c>
      <c r="N19">
        <v>13468</v>
      </c>
      <c r="O19">
        <v>230092</v>
      </c>
      <c r="P19" t="s">
        <v>144</v>
      </c>
      <c r="Q19">
        <v>72.25</v>
      </c>
      <c r="R19" t="s">
        <v>460</v>
      </c>
      <c r="S19" t="s">
        <v>776</v>
      </c>
      <c r="T19">
        <v>18316</v>
      </c>
      <c r="U19">
        <v>9623</v>
      </c>
      <c r="V19">
        <v>2841</v>
      </c>
      <c r="W19">
        <v>2385670</v>
      </c>
      <c r="X19">
        <v>4.66</v>
      </c>
    </row>
    <row r="20" spans="1:24">
      <c r="A20" s="2">
        <f>HYPERLINK("https://finance.naver.com/item/coinfo.nhn?code=010470", "A010470")</f>
        <v>0</v>
      </c>
      <c r="B20">
        <f>HYPERLINK("http://comp.fnguide.com/SVO2/ASP/SVD_Consensus.asp?pGB=1&amp;gicode=A010470&amp;cID=&amp;MenuYn=Y&amp;ReportGB=&amp;NewMenuID=108&amp;stkGb=701", "오리콤")</f>
        <v>0</v>
      </c>
      <c r="C20">
        <v>3</v>
      </c>
      <c r="D20">
        <v>6020</v>
      </c>
      <c r="E20">
        <v>0.5</v>
      </c>
      <c r="F20">
        <v>7768</v>
      </c>
      <c r="G20">
        <v>7442</v>
      </c>
      <c r="H20">
        <v>7349</v>
      </c>
      <c r="I20">
        <v>-29.03</v>
      </c>
      <c r="J20">
        <v>-23.61</v>
      </c>
      <c r="K20">
        <v>-22.07</v>
      </c>
      <c r="L20">
        <v>8.58</v>
      </c>
      <c r="M20" t="b">
        <v>0</v>
      </c>
      <c r="N20">
        <v>705</v>
      </c>
      <c r="O20">
        <v>5289036</v>
      </c>
      <c r="P20" t="s">
        <v>99</v>
      </c>
      <c r="Q20">
        <v>62.87</v>
      </c>
      <c r="R20" t="s">
        <v>415</v>
      </c>
      <c r="S20" t="s">
        <v>731</v>
      </c>
      <c r="T20">
        <v>1985</v>
      </c>
      <c r="U20">
        <v>80</v>
      </c>
      <c r="V20">
        <v>515</v>
      </c>
      <c r="W20">
        <v>370315</v>
      </c>
      <c r="X20">
        <v>4.41</v>
      </c>
    </row>
    <row r="21" spans="1:24">
      <c r="A21" s="2">
        <f>HYPERLINK("https://finance.naver.com/item/coinfo.nhn?code=030610", "A030610")</f>
        <v>0</v>
      </c>
      <c r="B21">
        <f>HYPERLINK("http://comp.fnguide.com/SVO2/ASP/SVD_Consensus.asp?pGB=1&amp;gicode=A030610&amp;cID=&amp;MenuYn=Y&amp;ReportGB=&amp;NewMenuID=108&amp;stkGb=701", "교보증권")</f>
        <v>0</v>
      </c>
      <c r="C21">
        <v>3</v>
      </c>
      <c r="D21">
        <v>7980</v>
      </c>
      <c r="E21">
        <v>0.45</v>
      </c>
      <c r="F21">
        <v>17300</v>
      </c>
      <c r="G21">
        <v>15990</v>
      </c>
      <c r="H21">
        <v>15616</v>
      </c>
      <c r="I21">
        <v>-116.79</v>
      </c>
      <c r="J21">
        <v>-100.37</v>
      </c>
      <c r="K21">
        <v>-95.69</v>
      </c>
      <c r="L21">
        <v>9.130000000000001</v>
      </c>
      <c r="M21" t="b">
        <v>1</v>
      </c>
      <c r="N21">
        <v>5159</v>
      </c>
      <c r="O21">
        <v>123173</v>
      </c>
      <c r="P21" t="s">
        <v>137</v>
      </c>
      <c r="Q21">
        <v>73.16</v>
      </c>
      <c r="R21" t="s">
        <v>453</v>
      </c>
      <c r="S21" t="s">
        <v>769</v>
      </c>
      <c r="T21">
        <v>3064</v>
      </c>
      <c r="U21">
        <v>1104</v>
      </c>
      <c r="V21">
        <v>2319</v>
      </c>
      <c r="W21">
        <v>1093598</v>
      </c>
      <c r="X21">
        <v>4.34</v>
      </c>
    </row>
    <row r="22" spans="1:24">
      <c r="A22" s="2">
        <f>HYPERLINK("https://finance.naver.com/item/coinfo.nhn?code=013120", "A013120")</f>
        <v>0</v>
      </c>
      <c r="B22">
        <f>HYPERLINK("http://comp.fnguide.com/SVO2/ASP/SVD_Consensus.asp?pGB=1&amp;gicode=A013120&amp;cID=&amp;MenuYn=Y&amp;ReportGB=&amp;NewMenuID=108&amp;stkGb=701", "동원개발")</f>
        <v>0</v>
      </c>
      <c r="C22">
        <v>3</v>
      </c>
      <c r="D22">
        <v>4395</v>
      </c>
      <c r="E22">
        <v>0.72</v>
      </c>
      <c r="F22">
        <v>16025</v>
      </c>
      <c r="G22">
        <v>11501</v>
      </c>
      <c r="H22">
        <v>10210</v>
      </c>
      <c r="I22">
        <v>-264.63</v>
      </c>
      <c r="J22">
        <v>-161.68</v>
      </c>
      <c r="K22">
        <v>-132.32</v>
      </c>
      <c r="L22">
        <v>15.06</v>
      </c>
      <c r="M22" t="b">
        <v>1</v>
      </c>
      <c r="N22">
        <v>3991</v>
      </c>
      <c r="O22">
        <v>131368</v>
      </c>
      <c r="P22" t="s">
        <v>7</v>
      </c>
      <c r="Q22">
        <v>61.17</v>
      </c>
      <c r="R22" t="s">
        <v>323</v>
      </c>
      <c r="S22" t="s">
        <v>639</v>
      </c>
      <c r="T22">
        <v>6426</v>
      </c>
      <c r="U22">
        <v>1061</v>
      </c>
      <c r="V22">
        <v>933</v>
      </c>
      <c r="X22">
        <v>4.16</v>
      </c>
    </row>
    <row r="23" spans="1:24">
      <c r="A23" s="2">
        <f>HYPERLINK("https://finance.naver.com/item/coinfo.nhn?code=221980", "A221980")</f>
        <v>0</v>
      </c>
      <c r="B23">
        <f>HYPERLINK("http://comp.fnguide.com/SVO2/ASP/SVD_Consensus.asp?pGB=1&amp;gicode=A221980&amp;cID=&amp;MenuYn=Y&amp;ReportGB=&amp;NewMenuID=108&amp;stkGb=701", "케이디켐")</f>
        <v>0</v>
      </c>
      <c r="C23">
        <v>3</v>
      </c>
      <c r="D23">
        <v>12850</v>
      </c>
      <c r="E23">
        <v>-0.77</v>
      </c>
      <c r="F23">
        <v>25222</v>
      </c>
      <c r="G23">
        <v>22223</v>
      </c>
      <c r="H23">
        <v>21368</v>
      </c>
      <c r="I23">
        <v>-96.28</v>
      </c>
      <c r="J23">
        <v>-72.94</v>
      </c>
      <c r="K23">
        <v>-66.29000000000001</v>
      </c>
      <c r="L23">
        <v>9.949999999999999</v>
      </c>
      <c r="M23" t="b">
        <v>1</v>
      </c>
      <c r="N23">
        <v>518</v>
      </c>
      <c r="O23">
        <v>1733</v>
      </c>
      <c r="P23" t="s">
        <v>82</v>
      </c>
      <c r="Q23">
        <v>71.06999999999999</v>
      </c>
      <c r="R23" t="s">
        <v>398</v>
      </c>
      <c r="S23" t="s">
        <v>714</v>
      </c>
      <c r="T23">
        <v>488</v>
      </c>
      <c r="U23">
        <v>64</v>
      </c>
      <c r="V23">
        <v>1857</v>
      </c>
      <c r="W23">
        <v>213443</v>
      </c>
      <c r="X23">
        <v>4.07</v>
      </c>
    </row>
    <row r="24" spans="1:24">
      <c r="A24" s="2">
        <f>HYPERLINK("https://finance.naver.com/item/coinfo.nhn?code=100790", "A100790")</f>
        <v>0</v>
      </c>
      <c r="B24">
        <f>HYPERLINK("http://comp.fnguide.com/SVO2/ASP/SVD_Consensus.asp?pGB=1&amp;gicode=A100790&amp;cID=&amp;MenuYn=Y&amp;ReportGB=&amp;NewMenuID=108&amp;stkGb=701", "미래에셋벤처투자")</f>
        <v>0</v>
      </c>
      <c r="C24">
        <v>1</v>
      </c>
      <c r="D24">
        <v>4405</v>
      </c>
      <c r="E24">
        <v>0</v>
      </c>
      <c r="F24">
        <v>4586</v>
      </c>
      <c r="G24">
        <v>3839</v>
      </c>
      <c r="H24">
        <v>3625</v>
      </c>
      <c r="I24">
        <v>-4.11</v>
      </c>
      <c r="J24">
        <v>12.86</v>
      </c>
      <c r="K24">
        <v>17.7</v>
      </c>
      <c r="L24">
        <v>10.95</v>
      </c>
      <c r="M24" t="b">
        <v>1</v>
      </c>
      <c r="N24">
        <v>2026</v>
      </c>
      <c r="O24">
        <v>386498</v>
      </c>
      <c r="P24" t="s">
        <v>260</v>
      </c>
      <c r="Q24">
        <v>64.01000000000001</v>
      </c>
      <c r="R24" t="s">
        <v>576</v>
      </c>
      <c r="S24" t="s">
        <v>890</v>
      </c>
      <c r="T24">
        <v>921</v>
      </c>
      <c r="U24">
        <v>163</v>
      </c>
      <c r="V24">
        <v>310</v>
      </c>
      <c r="X24">
        <v>3.81</v>
      </c>
    </row>
    <row r="25" spans="1:24">
      <c r="A25" s="2">
        <f>HYPERLINK("https://finance.naver.com/item/coinfo.nhn?code=024120", "A024120")</f>
        <v>0</v>
      </c>
      <c r="B25">
        <f>HYPERLINK("http://comp.fnguide.com/SVO2/ASP/SVD_Consensus.asp?pGB=1&amp;gicode=A024120&amp;cID=&amp;MenuYn=Y&amp;ReportGB=&amp;NewMenuID=108&amp;stkGb=701", "KB오토시스")</f>
        <v>0</v>
      </c>
      <c r="C25">
        <v>3</v>
      </c>
      <c r="D25">
        <v>6340</v>
      </c>
      <c r="E25">
        <v>-0.45</v>
      </c>
      <c r="F25">
        <v>14159</v>
      </c>
      <c r="G25">
        <v>11008</v>
      </c>
      <c r="H25">
        <v>10110</v>
      </c>
      <c r="I25">
        <v>-123.33</v>
      </c>
      <c r="J25">
        <v>-73.63</v>
      </c>
      <c r="K25">
        <v>-59.46</v>
      </c>
      <c r="L25">
        <v>12.68</v>
      </c>
      <c r="M25" t="b">
        <v>1</v>
      </c>
      <c r="N25">
        <v>729</v>
      </c>
      <c r="O25">
        <v>11279</v>
      </c>
      <c r="P25" t="s">
        <v>44</v>
      </c>
      <c r="Q25">
        <v>72.06999999999999</v>
      </c>
      <c r="R25" t="s">
        <v>360</v>
      </c>
      <c r="S25" t="s">
        <v>676</v>
      </c>
      <c r="T25">
        <v>1478</v>
      </c>
      <c r="U25">
        <v>127</v>
      </c>
      <c r="V25">
        <v>930</v>
      </c>
      <c r="X25">
        <v>3.72</v>
      </c>
    </row>
    <row r="26" spans="1:24">
      <c r="A26" s="2">
        <f>HYPERLINK("https://finance.naver.com/item/coinfo.nhn?code=078930", "A078930")</f>
        <v>0</v>
      </c>
      <c r="B26">
        <f>HYPERLINK("http://comp.fnguide.com/SVO2/ASP/SVD_Consensus.asp?pGB=1&amp;gicode=A078930&amp;cID=&amp;MenuYn=Y&amp;ReportGB=&amp;NewMenuID=108&amp;stkGb=701", "GS")</f>
        <v>0</v>
      </c>
      <c r="C26">
        <v>3</v>
      </c>
      <c r="D26">
        <v>37050</v>
      </c>
      <c r="E26">
        <v>3.56</v>
      </c>
      <c r="F26">
        <v>108741</v>
      </c>
      <c r="G26">
        <v>100830</v>
      </c>
      <c r="H26">
        <v>98573</v>
      </c>
      <c r="I26">
        <v>-193.5</v>
      </c>
      <c r="J26">
        <v>-172.14</v>
      </c>
      <c r="K26">
        <v>-166.05</v>
      </c>
      <c r="L26">
        <v>9.08</v>
      </c>
      <c r="M26" t="b">
        <v>0</v>
      </c>
      <c r="N26">
        <v>34425</v>
      </c>
      <c r="O26">
        <v>402973</v>
      </c>
      <c r="P26" t="s">
        <v>167</v>
      </c>
      <c r="Q26">
        <v>52.12</v>
      </c>
      <c r="R26" t="s">
        <v>483</v>
      </c>
      <c r="S26" t="s">
        <v>799</v>
      </c>
      <c r="T26">
        <v>177861</v>
      </c>
      <c r="U26">
        <v>20331</v>
      </c>
      <c r="V26">
        <v>5744</v>
      </c>
      <c r="W26">
        <v>19883</v>
      </c>
      <c r="X26">
        <v>3.68</v>
      </c>
    </row>
    <row r="27" spans="1:24">
      <c r="A27" s="2">
        <f>HYPERLINK("https://finance.naver.com/item/coinfo.nhn?code=001800", "A001800")</f>
        <v>0</v>
      </c>
      <c r="B27">
        <f>HYPERLINK("http://comp.fnguide.com/SVO2/ASP/SVD_Consensus.asp?pGB=1&amp;gicode=A001800&amp;cID=&amp;MenuYn=Y&amp;ReportGB=&amp;NewMenuID=108&amp;stkGb=701", "오리온홀딩스")</f>
        <v>0</v>
      </c>
      <c r="C27">
        <v>3</v>
      </c>
      <c r="D27">
        <v>13350</v>
      </c>
      <c r="E27">
        <v>-1.5</v>
      </c>
      <c r="F27">
        <v>66577</v>
      </c>
      <c r="G27">
        <v>45823</v>
      </c>
      <c r="H27">
        <v>39903</v>
      </c>
      <c r="I27">
        <v>-398.71</v>
      </c>
      <c r="J27">
        <v>-243.24</v>
      </c>
      <c r="K27">
        <v>-198.9</v>
      </c>
      <c r="L27">
        <v>16.59</v>
      </c>
      <c r="M27" t="b">
        <v>0</v>
      </c>
      <c r="N27">
        <v>8363</v>
      </c>
      <c r="O27">
        <v>182357</v>
      </c>
      <c r="P27" t="s">
        <v>161</v>
      </c>
      <c r="Q27">
        <v>63.85</v>
      </c>
      <c r="R27" t="s">
        <v>477</v>
      </c>
      <c r="S27" t="s">
        <v>793</v>
      </c>
      <c r="T27">
        <v>21036</v>
      </c>
      <c r="U27">
        <v>2667</v>
      </c>
      <c r="V27">
        <v>772</v>
      </c>
      <c r="W27">
        <v>2488769</v>
      </c>
      <c r="X27">
        <v>3.65</v>
      </c>
    </row>
    <row r="28" spans="1:24">
      <c r="A28" s="2">
        <f>HYPERLINK("https://finance.naver.com/item/coinfo.nhn?code=016800", "A016800")</f>
        <v>0</v>
      </c>
      <c r="B28">
        <f>HYPERLINK("http://comp.fnguide.com/SVO2/ASP/SVD_Consensus.asp?pGB=1&amp;gicode=A016800&amp;cID=&amp;MenuYn=Y&amp;ReportGB=&amp;NewMenuID=108&amp;stkGb=701", "퍼시스")</f>
        <v>0</v>
      </c>
      <c r="C28">
        <v>3</v>
      </c>
      <c r="D28">
        <v>29400</v>
      </c>
      <c r="E28">
        <v>2.12</v>
      </c>
      <c r="F28">
        <v>52543</v>
      </c>
      <c r="G28">
        <v>50020</v>
      </c>
      <c r="H28">
        <v>49301</v>
      </c>
      <c r="I28">
        <v>-78.72</v>
      </c>
      <c r="J28">
        <v>-70.14</v>
      </c>
      <c r="K28">
        <v>-67.69</v>
      </c>
      <c r="L28">
        <v>8.67</v>
      </c>
      <c r="M28" t="b">
        <v>1</v>
      </c>
      <c r="N28">
        <v>3381</v>
      </c>
      <c r="O28">
        <v>936</v>
      </c>
      <c r="P28" t="s">
        <v>185</v>
      </c>
      <c r="Q28">
        <v>54.71</v>
      </c>
      <c r="R28" t="s">
        <v>501</v>
      </c>
      <c r="S28" t="s">
        <v>817</v>
      </c>
      <c r="T28">
        <v>3047</v>
      </c>
      <c r="U28">
        <v>251</v>
      </c>
      <c r="V28">
        <v>2953</v>
      </c>
      <c r="W28">
        <v>2317576</v>
      </c>
      <c r="X28">
        <v>3.39</v>
      </c>
    </row>
    <row r="29" spans="1:24">
      <c r="A29" s="2">
        <f>HYPERLINK("https://finance.naver.com/item/coinfo.nhn?code=010240", "A010240")</f>
        <v>0</v>
      </c>
      <c r="B29">
        <f>HYPERLINK("http://comp.fnguide.com/SVO2/ASP/SVD_Consensus.asp?pGB=1&amp;gicode=A010240&amp;cID=&amp;MenuYn=Y&amp;ReportGB=&amp;NewMenuID=108&amp;stkGb=701", "흥국")</f>
        <v>0</v>
      </c>
      <c r="C29">
        <v>3</v>
      </c>
      <c r="D29">
        <v>5810</v>
      </c>
      <c r="E29">
        <v>0.15</v>
      </c>
      <c r="F29">
        <v>9060</v>
      </c>
      <c r="G29">
        <v>7129</v>
      </c>
      <c r="H29">
        <v>6578</v>
      </c>
      <c r="I29">
        <v>-55.95</v>
      </c>
      <c r="J29">
        <v>-22.7</v>
      </c>
      <c r="K29">
        <v>-13.22</v>
      </c>
      <c r="L29">
        <v>12.37</v>
      </c>
      <c r="M29" t="b">
        <v>1</v>
      </c>
      <c r="N29">
        <v>716</v>
      </c>
      <c r="O29">
        <v>41549</v>
      </c>
      <c r="P29" t="s">
        <v>111</v>
      </c>
      <c r="Q29">
        <v>51.18</v>
      </c>
      <c r="R29" t="s">
        <v>427</v>
      </c>
      <c r="S29" t="s">
        <v>743</v>
      </c>
      <c r="T29">
        <v>1045</v>
      </c>
      <c r="U29">
        <v>89</v>
      </c>
      <c r="V29">
        <v>568</v>
      </c>
      <c r="W29">
        <v>772811</v>
      </c>
      <c r="X29">
        <v>3.39</v>
      </c>
    </row>
    <row r="30" spans="1:24">
      <c r="A30" s="2">
        <f>HYPERLINK("https://finance.naver.com/item/coinfo.nhn?code=005190", "A005190")</f>
        <v>0</v>
      </c>
      <c r="B30">
        <f>HYPERLINK("http://comp.fnguide.com/SVO2/ASP/SVD_Consensus.asp?pGB=1&amp;gicode=A005190&amp;cID=&amp;MenuYn=Y&amp;ReportGB=&amp;NewMenuID=108&amp;stkGb=701", "동성화학")</f>
        <v>0</v>
      </c>
      <c r="C30">
        <v>3</v>
      </c>
      <c r="D30">
        <v>16000</v>
      </c>
      <c r="E30">
        <v>0.95</v>
      </c>
      <c r="F30">
        <v>24785</v>
      </c>
      <c r="G30">
        <v>23569</v>
      </c>
      <c r="H30">
        <v>23222</v>
      </c>
      <c r="I30">
        <v>-54.91</v>
      </c>
      <c r="J30">
        <v>-47.31</v>
      </c>
      <c r="K30">
        <v>-45.14</v>
      </c>
      <c r="L30">
        <v>8.69</v>
      </c>
      <c r="M30" t="b">
        <v>1</v>
      </c>
      <c r="N30">
        <v>854</v>
      </c>
      <c r="O30">
        <v>40077</v>
      </c>
      <c r="P30" t="s">
        <v>128</v>
      </c>
      <c r="Q30">
        <v>51.23</v>
      </c>
      <c r="R30" t="s">
        <v>444</v>
      </c>
      <c r="S30" t="s">
        <v>760</v>
      </c>
      <c r="T30">
        <v>2010</v>
      </c>
      <c r="U30">
        <v>253</v>
      </c>
      <c r="V30">
        <v>2492</v>
      </c>
      <c r="W30">
        <v>186177</v>
      </c>
      <c r="X30">
        <v>3.3</v>
      </c>
    </row>
    <row r="31" spans="1:24">
      <c r="A31" s="2">
        <f>HYPERLINK("https://finance.naver.com/item/coinfo.nhn?code=003800", "A003800")</f>
        <v>0</v>
      </c>
      <c r="B31">
        <f>HYPERLINK("http://comp.fnguide.com/SVO2/ASP/SVD_Consensus.asp?pGB=1&amp;gicode=A003800&amp;cID=&amp;MenuYn=Y&amp;ReportGB=&amp;NewMenuID=108&amp;stkGb=701", "에이스침대")</f>
        <v>0</v>
      </c>
      <c r="C31">
        <v>3</v>
      </c>
      <c r="D31">
        <v>40400</v>
      </c>
      <c r="E31">
        <v>1.46</v>
      </c>
      <c r="F31">
        <v>48791</v>
      </c>
      <c r="G31">
        <v>46934</v>
      </c>
      <c r="H31">
        <v>46404</v>
      </c>
      <c r="I31">
        <v>-20.77</v>
      </c>
      <c r="J31">
        <v>-16.17</v>
      </c>
      <c r="K31">
        <v>-14.86</v>
      </c>
      <c r="L31">
        <v>8.52</v>
      </c>
      <c r="M31" t="b">
        <v>1</v>
      </c>
      <c r="N31">
        <v>4480</v>
      </c>
      <c r="O31">
        <v>2153</v>
      </c>
      <c r="P31" t="s">
        <v>94</v>
      </c>
      <c r="Q31">
        <v>79.56</v>
      </c>
      <c r="R31" t="s">
        <v>410</v>
      </c>
      <c r="S31" t="s">
        <v>726</v>
      </c>
      <c r="T31">
        <v>2774</v>
      </c>
      <c r="U31">
        <v>499</v>
      </c>
      <c r="V31">
        <v>3987</v>
      </c>
      <c r="W31">
        <v>838055</v>
      </c>
      <c r="X31">
        <v>3.15</v>
      </c>
    </row>
    <row r="32" spans="1:24">
      <c r="A32" s="2">
        <f>HYPERLINK("https://finance.naver.com/item/coinfo.nhn?code=011170", "A011170")</f>
        <v>0</v>
      </c>
      <c r="B32">
        <f>HYPERLINK("http://comp.fnguide.com/SVO2/ASP/SVD_Consensus.asp?pGB=1&amp;gicode=A011170&amp;cID=&amp;MenuYn=Y&amp;ReportGB=&amp;NewMenuID=108&amp;stkGb=701", "롯데케미칼")</f>
        <v>0</v>
      </c>
      <c r="C32">
        <v>3</v>
      </c>
      <c r="D32">
        <v>287500</v>
      </c>
      <c r="E32">
        <v>-0.28</v>
      </c>
      <c r="F32">
        <v>515992</v>
      </c>
      <c r="G32">
        <v>437471</v>
      </c>
      <c r="H32">
        <v>415076</v>
      </c>
      <c r="I32">
        <v>-79.48</v>
      </c>
      <c r="J32">
        <v>-52.16</v>
      </c>
      <c r="K32">
        <v>-44.37</v>
      </c>
      <c r="L32">
        <v>10.69</v>
      </c>
      <c r="M32" t="b">
        <v>1</v>
      </c>
      <c r="N32">
        <v>98542</v>
      </c>
      <c r="O32">
        <v>189814</v>
      </c>
      <c r="P32" t="s">
        <v>142</v>
      </c>
      <c r="Q32">
        <v>54.92</v>
      </c>
      <c r="R32" t="s">
        <v>458</v>
      </c>
      <c r="S32" t="s">
        <v>774</v>
      </c>
      <c r="T32">
        <v>151235</v>
      </c>
      <c r="U32">
        <v>11073</v>
      </c>
      <c r="V32">
        <v>20860</v>
      </c>
      <c r="X32">
        <v>2.99</v>
      </c>
    </row>
    <row r="33" spans="1:24">
      <c r="A33" s="2">
        <f>HYPERLINK("https://finance.naver.com/item/coinfo.nhn?code=084690", "A084690")</f>
        <v>0</v>
      </c>
      <c r="B33">
        <f>HYPERLINK("http://comp.fnguide.com/SVO2/ASP/SVD_Consensus.asp?pGB=1&amp;gicode=A084690&amp;cID=&amp;MenuYn=Y&amp;ReportGB=&amp;NewMenuID=108&amp;stkGb=701", "대상홀딩스")</f>
        <v>0</v>
      </c>
      <c r="C33">
        <v>3</v>
      </c>
      <c r="D33">
        <v>9960</v>
      </c>
      <c r="E33">
        <v>0.07000000000000001</v>
      </c>
      <c r="F33">
        <v>17979</v>
      </c>
      <c r="G33">
        <v>16850</v>
      </c>
      <c r="H33">
        <v>16528</v>
      </c>
      <c r="I33">
        <v>-80.51000000000001</v>
      </c>
      <c r="J33">
        <v>-69.18000000000001</v>
      </c>
      <c r="K33">
        <v>-65.95</v>
      </c>
      <c r="L33">
        <v>8.91</v>
      </c>
      <c r="M33" t="b">
        <v>1</v>
      </c>
      <c r="N33">
        <v>3607</v>
      </c>
      <c r="O33">
        <v>98493</v>
      </c>
      <c r="P33" t="s">
        <v>176</v>
      </c>
      <c r="Q33">
        <v>67.3</v>
      </c>
      <c r="R33" t="s">
        <v>492</v>
      </c>
      <c r="S33" t="s">
        <v>808</v>
      </c>
      <c r="T33">
        <v>35525</v>
      </c>
      <c r="U33">
        <v>1555</v>
      </c>
      <c r="V33">
        <v>1946</v>
      </c>
      <c r="X33">
        <v>2.97</v>
      </c>
    </row>
    <row r="34" spans="1:24">
      <c r="A34" s="2">
        <f>HYPERLINK("https://finance.naver.com/item/coinfo.nhn?code=264900", "A264900")</f>
        <v>0</v>
      </c>
      <c r="B34">
        <f>HYPERLINK("http://comp.fnguide.com/SVO2/ASP/SVD_Consensus.asp?pGB=1&amp;gicode=A264900&amp;cID=&amp;MenuYn=Y&amp;ReportGB=&amp;NewMenuID=108&amp;stkGb=701", "크라운제과")</f>
        <v>0</v>
      </c>
      <c r="C34">
        <v>3</v>
      </c>
      <c r="D34">
        <v>8780</v>
      </c>
      <c r="E34">
        <v>0.67</v>
      </c>
      <c r="F34">
        <v>15806</v>
      </c>
      <c r="G34">
        <v>13411</v>
      </c>
      <c r="H34">
        <v>12727</v>
      </c>
      <c r="I34">
        <v>-80.02</v>
      </c>
      <c r="J34">
        <v>-52.74</v>
      </c>
      <c r="K34">
        <v>-44.96</v>
      </c>
      <c r="L34">
        <v>10.67</v>
      </c>
      <c r="M34" t="b">
        <v>1</v>
      </c>
      <c r="N34">
        <v>1100</v>
      </c>
      <c r="O34">
        <v>6547</v>
      </c>
      <c r="P34" t="s">
        <v>162</v>
      </c>
      <c r="Q34">
        <v>61.68</v>
      </c>
      <c r="R34" t="s">
        <v>478</v>
      </c>
      <c r="S34" t="s">
        <v>794</v>
      </c>
      <c r="T34">
        <v>3866</v>
      </c>
      <c r="U34">
        <v>265</v>
      </c>
      <c r="V34">
        <v>1424</v>
      </c>
      <c r="W34">
        <v>507681</v>
      </c>
      <c r="X34">
        <v>2.88</v>
      </c>
    </row>
    <row r="35" spans="1:24">
      <c r="A35" s="2">
        <f>HYPERLINK("https://finance.naver.com/item/coinfo.nhn?code=192400", "A192400")</f>
        <v>0</v>
      </c>
      <c r="B35">
        <f>HYPERLINK("http://comp.fnguide.com/SVO2/ASP/SVD_Consensus.asp?pGB=1&amp;gicode=A192400&amp;cID=&amp;MenuYn=Y&amp;ReportGB=&amp;NewMenuID=108&amp;stkGb=701", "쿠쿠홀딩스")</f>
        <v>0</v>
      </c>
      <c r="C35">
        <v>3</v>
      </c>
      <c r="D35">
        <v>96800</v>
      </c>
      <c r="E35">
        <v>0.62</v>
      </c>
      <c r="F35">
        <v>382751</v>
      </c>
      <c r="G35">
        <v>217980</v>
      </c>
      <c r="H35">
        <v>170987</v>
      </c>
      <c r="I35">
        <v>-295.4</v>
      </c>
      <c r="J35">
        <v>-125.19</v>
      </c>
      <c r="K35">
        <v>-76.64</v>
      </c>
      <c r="L35">
        <v>28.18</v>
      </c>
      <c r="M35" t="b">
        <v>0</v>
      </c>
      <c r="N35">
        <v>6885</v>
      </c>
      <c r="O35">
        <v>9160</v>
      </c>
      <c r="P35" t="s">
        <v>164</v>
      </c>
      <c r="Q35">
        <v>69.06999999999999</v>
      </c>
      <c r="R35" t="s">
        <v>480</v>
      </c>
      <c r="S35" t="s">
        <v>796</v>
      </c>
      <c r="T35">
        <v>5283</v>
      </c>
      <c r="U35">
        <v>745</v>
      </c>
      <c r="V35">
        <v>11168</v>
      </c>
      <c r="W35">
        <v>896760</v>
      </c>
      <c r="X35">
        <v>2.86</v>
      </c>
    </row>
    <row r="36" spans="1:24">
      <c r="A36" s="2">
        <f>HYPERLINK("https://finance.naver.com/item/coinfo.nhn?code=290120", "A290120")</f>
        <v>0</v>
      </c>
      <c r="B36">
        <f>HYPERLINK("http://comp.fnguide.com/SVO2/ASP/SVD_Consensus.asp?pGB=1&amp;gicode=A290120&amp;cID=&amp;MenuYn=Y&amp;ReportGB=&amp;NewMenuID=108&amp;stkGb=701", "대유에이피")</f>
        <v>0</v>
      </c>
      <c r="C36">
        <v>1</v>
      </c>
      <c r="D36">
        <v>7750</v>
      </c>
      <c r="E36">
        <v>0.15</v>
      </c>
      <c r="F36">
        <v>12029</v>
      </c>
      <c r="G36">
        <v>7381</v>
      </c>
      <c r="H36">
        <v>6056</v>
      </c>
      <c r="I36">
        <v>-55.21</v>
      </c>
      <c r="J36">
        <v>4.76</v>
      </c>
      <c r="K36">
        <v>21.86</v>
      </c>
      <c r="L36">
        <v>22.37</v>
      </c>
      <c r="M36" t="b">
        <v>1</v>
      </c>
      <c r="N36">
        <v>844</v>
      </c>
      <c r="O36">
        <v>1883527</v>
      </c>
      <c r="P36" t="s">
        <v>270</v>
      </c>
      <c r="Q36">
        <v>73.5</v>
      </c>
      <c r="R36" t="s">
        <v>586</v>
      </c>
      <c r="S36" t="s">
        <v>900</v>
      </c>
      <c r="T36">
        <v>1575</v>
      </c>
      <c r="U36">
        <v>101</v>
      </c>
      <c r="V36">
        <v>733</v>
      </c>
      <c r="X36">
        <v>2.81</v>
      </c>
    </row>
    <row r="37" spans="1:24">
      <c r="A37" s="2">
        <f>HYPERLINK("https://finance.naver.com/item/coinfo.nhn?code=010640", "A010640")</f>
        <v>0</v>
      </c>
      <c r="B37">
        <f>HYPERLINK("http://comp.fnguide.com/SVO2/ASP/SVD_Consensus.asp?pGB=1&amp;gicode=A010640&amp;cID=&amp;MenuYn=Y&amp;ReportGB=&amp;NewMenuID=108&amp;stkGb=701", "진양폴리")</f>
        <v>0</v>
      </c>
      <c r="C37">
        <v>2</v>
      </c>
      <c r="D37">
        <v>3550</v>
      </c>
      <c r="E37">
        <v>-0.17</v>
      </c>
      <c r="F37">
        <v>6258</v>
      </c>
      <c r="G37">
        <v>4097</v>
      </c>
      <c r="H37">
        <v>3481</v>
      </c>
      <c r="I37">
        <v>-76.29000000000001</v>
      </c>
      <c r="J37">
        <v>-15.42</v>
      </c>
      <c r="K37">
        <v>1.94</v>
      </c>
      <c r="L37">
        <v>18.77</v>
      </c>
      <c r="M37" t="b">
        <v>1</v>
      </c>
      <c r="N37">
        <v>355</v>
      </c>
      <c r="O37">
        <v>141709</v>
      </c>
      <c r="P37" t="s">
        <v>222</v>
      </c>
      <c r="Q37">
        <v>50.5</v>
      </c>
      <c r="R37" t="s">
        <v>538</v>
      </c>
      <c r="S37" t="s">
        <v>853</v>
      </c>
      <c r="T37">
        <v>351</v>
      </c>
      <c r="U37">
        <v>31</v>
      </c>
      <c r="V37">
        <v>755</v>
      </c>
      <c r="X37">
        <v>2.56</v>
      </c>
    </row>
    <row r="38" spans="1:24">
      <c r="A38" s="2">
        <f>HYPERLINK("https://finance.naver.com/item/coinfo.nhn?code=092780", "A092780")</f>
        <v>0</v>
      </c>
      <c r="B38">
        <f>HYPERLINK("http://comp.fnguide.com/SVO2/ASP/SVD_Consensus.asp?pGB=1&amp;gicode=A092780&amp;cID=&amp;MenuYn=Y&amp;ReportGB=&amp;NewMenuID=108&amp;stkGb=701", "동양피스톤")</f>
        <v>0</v>
      </c>
      <c r="C38">
        <v>3</v>
      </c>
      <c r="D38">
        <v>5700</v>
      </c>
      <c r="E38">
        <v>2.83</v>
      </c>
      <c r="F38">
        <v>11963</v>
      </c>
      <c r="G38">
        <v>9868</v>
      </c>
      <c r="H38">
        <v>9270</v>
      </c>
      <c r="I38">
        <v>-109.89</v>
      </c>
      <c r="J38">
        <v>-73.12</v>
      </c>
      <c r="K38">
        <v>-62.63</v>
      </c>
      <c r="L38">
        <v>11.27</v>
      </c>
      <c r="M38" t="b">
        <v>1</v>
      </c>
      <c r="N38">
        <v>751</v>
      </c>
      <c r="O38">
        <v>62591</v>
      </c>
      <c r="P38" t="s">
        <v>118</v>
      </c>
      <c r="Q38">
        <v>55.79</v>
      </c>
      <c r="R38" t="s">
        <v>434</v>
      </c>
      <c r="S38" t="s">
        <v>750</v>
      </c>
      <c r="T38">
        <v>3648</v>
      </c>
      <c r="U38">
        <v>185</v>
      </c>
      <c r="V38">
        <v>738</v>
      </c>
      <c r="W38">
        <v>647132</v>
      </c>
      <c r="X38">
        <v>2.49</v>
      </c>
    </row>
    <row r="39" spans="1:24">
      <c r="A39" s="2">
        <f>HYPERLINK("https://finance.naver.com/item/coinfo.nhn?code=086280", "A086280")</f>
        <v>0</v>
      </c>
      <c r="B39">
        <f>HYPERLINK("http://comp.fnguide.com/SVO2/ASP/SVD_Consensus.asp?pGB=1&amp;gicode=A086280&amp;cID=&amp;MenuYn=Y&amp;ReportGB=&amp;NewMenuID=108&amp;stkGb=701", "현대글로비스")</f>
        <v>0</v>
      </c>
      <c r="C39">
        <v>1</v>
      </c>
      <c r="D39">
        <v>179500</v>
      </c>
      <c r="E39">
        <v>0.65</v>
      </c>
      <c r="F39">
        <v>190350</v>
      </c>
      <c r="G39">
        <v>150828</v>
      </c>
      <c r="H39">
        <v>139556</v>
      </c>
      <c r="I39">
        <v>-6.04</v>
      </c>
      <c r="J39">
        <v>15.97</v>
      </c>
      <c r="K39">
        <v>22.25</v>
      </c>
      <c r="L39">
        <v>12.2</v>
      </c>
      <c r="M39" t="b">
        <v>0</v>
      </c>
      <c r="N39">
        <v>67313</v>
      </c>
      <c r="O39">
        <v>308348</v>
      </c>
      <c r="P39" t="s">
        <v>284</v>
      </c>
      <c r="Q39">
        <v>51.39</v>
      </c>
      <c r="R39" t="s">
        <v>600</v>
      </c>
      <c r="S39" t="s">
        <v>913</v>
      </c>
      <c r="T39">
        <v>182701</v>
      </c>
      <c r="U39">
        <v>8765</v>
      </c>
      <c r="V39">
        <v>13395</v>
      </c>
      <c r="X39">
        <v>2.45</v>
      </c>
    </row>
    <row r="40" spans="1:24">
      <c r="A40" s="2">
        <f>HYPERLINK("https://finance.naver.com/item/coinfo.nhn?code=015710", "A015710")</f>
        <v>0</v>
      </c>
      <c r="B40">
        <f>HYPERLINK("http://comp.fnguide.com/SVO2/ASP/SVD_Consensus.asp?pGB=1&amp;gicode=A015710&amp;cID=&amp;MenuYn=Y&amp;ReportGB=&amp;NewMenuID=108&amp;stkGb=701", "코콤")</f>
        <v>0</v>
      </c>
      <c r="C40">
        <v>3</v>
      </c>
      <c r="D40">
        <v>6850</v>
      </c>
      <c r="E40">
        <v>-5.45</v>
      </c>
      <c r="F40">
        <v>8611</v>
      </c>
      <c r="G40">
        <v>7705</v>
      </c>
      <c r="H40">
        <v>7447</v>
      </c>
      <c r="I40">
        <v>-25.7</v>
      </c>
      <c r="J40">
        <v>-12.49</v>
      </c>
      <c r="K40">
        <v>-8.720000000000001</v>
      </c>
      <c r="L40">
        <v>9.67</v>
      </c>
      <c r="M40" t="b">
        <v>1</v>
      </c>
      <c r="N40">
        <v>1201</v>
      </c>
      <c r="O40">
        <v>120027</v>
      </c>
      <c r="P40" t="s">
        <v>62</v>
      </c>
      <c r="Q40">
        <v>59.2</v>
      </c>
      <c r="R40" t="s">
        <v>378</v>
      </c>
      <c r="S40" t="s">
        <v>694</v>
      </c>
      <c r="T40">
        <v>1339</v>
      </c>
      <c r="U40">
        <v>133</v>
      </c>
      <c r="V40">
        <v>469</v>
      </c>
      <c r="W40">
        <v>932563</v>
      </c>
      <c r="X40">
        <v>2.44</v>
      </c>
    </row>
    <row r="41" spans="1:24">
      <c r="A41" s="2">
        <f>HYPERLINK("https://finance.naver.com/item/coinfo.nhn?code=056190", "A056190")</f>
        <v>0</v>
      </c>
      <c r="B41">
        <f>HYPERLINK("http://comp.fnguide.com/SVO2/ASP/SVD_Consensus.asp?pGB=1&amp;gicode=A056190&amp;cID=&amp;MenuYn=Y&amp;ReportGB=&amp;NewMenuID=108&amp;stkGb=701", "에스에프에이")</f>
        <v>0</v>
      </c>
      <c r="C41">
        <v>2</v>
      </c>
      <c r="D41">
        <v>37400</v>
      </c>
      <c r="E41">
        <v>0.4</v>
      </c>
      <c r="F41">
        <v>59775</v>
      </c>
      <c r="G41">
        <v>38517</v>
      </c>
      <c r="H41">
        <v>32455</v>
      </c>
      <c r="I41">
        <v>-59.83</v>
      </c>
      <c r="J41">
        <v>-2.99</v>
      </c>
      <c r="K41">
        <v>13.22</v>
      </c>
      <c r="L41">
        <v>19.57</v>
      </c>
      <c r="M41" t="b">
        <v>1</v>
      </c>
      <c r="N41">
        <v>13430</v>
      </c>
      <c r="O41">
        <v>174150</v>
      </c>
      <c r="P41" t="s">
        <v>204</v>
      </c>
      <c r="Q41">
        <v>54.02</v>
      </c>
      <c r="R41" t="s">
        <v>520</v>
      </c>
      <c r="S41" t="s">
        <v>835</v>
      </c>
      <c r="T41">
        <v>15777</v>
      </c>
      <c r="U41">
        <v>2142</v>
      </c>
      <c r="V41">
        <v>3676</v>
      </c>
      <c r="X41">
        <v>2.28</v>
      </c>
    </row>
    <row r="42" spans="1:24">
      <c r="A42" s="2">
        <f>HYPERLINK("https://finance.naver.com/item/coinfo.nhn?code=228850", "A228850")</f>
        <v>0</v>
      </c>
      <c r="B42">
        <f>HYPERLINK("http://comp.fnguide.com/SVO2/ASP/SVD_Consensus.asp?pGB=1&amp;gicode=A228850&amp;cID=&amp;MenuYn=Y&amp;ReportGB=&amp;NewMenuID=108&amp;stkGb=701", "레이언스")</f>
        <v>0</v>
      </c>
      <c r="C42">
        <v>3</v>
      </c>
      <c r="D42">
        <v>11150</v>
      </c>
      <c r="E42">
        <v>-0.61</v>
      </c>
      <c r="F42">
        <v>12770</v>
      </c>
      <c r="G42">
        <v>12516</v>
      </c>
      <c r="H42">
        <v>12444</v>
      </c>
      <c r="I42">
        <v>-14.53</v>
      </c>
      <c r="J42">
        <v>-12.25</v>
      </c>
      <c r="K42">
        <v>-11.6</v>
      </c>
      <c r="L42">
        <v>8.25</v>
      </c>
      <c r="M42" t="b">
        <v>1</v>
      </c>
      <c r="N42">
        <v>1850</v>
      </c>
      <c r="O42">
        <v>35685</v>
      </c>
      <c r="P42" t="s">
        <v>10</v>
      </c>
      <c r="Q42">
        <v>64.86</v>
      </c>
      <c r="R42" t="s">
        <v>326</v>
      </c>
      <c r="S42" t="s">
        <v>642</v>
      </c>
      <c r="T42">
        <v>1262</v>
      </c>
      <c r="U42">
        <v>228</v>
      </c>
      <c r="V42">
        <v>885</v>
      </c>
      <c r="W42">
        <v>854574</v>
      </c>
      <c r="X42">
        <v>2.26</v>
      </c>
    </row>
    <row r="43" spans="1:24">
      <c r="A43" s="2">
        <f>HYPERLINK("https://finance.naver.com/item/coinfo.nhn?code=008260", "A008260")</f>
        <v>0</v>
      </c>
      <c r="B43">
        <f>HYPERLINK("http://comp.fnguide.com/SVO2/ASP/SVD_Consensus.asp?pGB=1&amp;gicode=A008260&amp;cID=&amp;MenuYn=Y&amp;ReportGB=&amp;NewMenuID=108&amp;stkGb=701", "NI스틸")</f>
        <v>0</v>
      </c>
      <c r="C43">
        <v>3</v>
      </c>
      <c r="D43">
        <v>2635</v>
      </c>
      <c r="E43">
        <v>7.09</v>
      </c>
      <c r="F43">
        <v>4014</v>
      </c>
      <c r="G43">
        <v>3932</v>
      </c>
      <c r="H43">
        <v>3909</v>
      </c>
      <c r="I43">
        <v>-52.32</v>
      </c>
      <c r="J43">
        <v>-49.22</v>
      </c>
      <c r="K43">
        <v>-48.34</v>
      </c>
      <c r="L43">
        <v>8.26</v>
      </c>
      <c r="M43" t="b">
        <v>1</v>
      </c>
      <c r="N43">
        <v>754</v>
      </c>
      <c r="O43">
        <v>2202653</v>
      </c>
      <c r="P43" t="s">
        <v>117</v>
      </c>
      <c r="Q43">
        <v>59.16</v>
      </c>
      <c r="R43" t="s">
        <v>433</v>
      </c>
      <c r="S43" t="s">
        <v>749</v>
      </c>
      <c r="T43">
        <v>1482</v>
      </c>
      <c r="U43">
        <v>121</v>
      </c>
      <c r="V43">
        <v>224</v>
      </c>
      <c r="X43">
        <v>2.26</v>
      </c>
    </row>
    <row r="44" spans="1:24">
      <c r="A44" s="2">
        <f>HYPERLINK("https://finance.naver.com/item/coinfo.nhn?code=134380", "A134380")</f>
        <v>0</v>
      </c>
      <c r="B44">
        <f>HYPERLINK("http://comp.fnguide.com/SVO2/ASP/SVD_Consensus.asp?pGB=1&amp;gicode=A134380&amp;cID=&amp;MenuYn=Y&amp;ReportGB=&amp;NewMenuID=108&amp;stkGb=701", "미원화학")</f>
        <v>0</v>
      </c>
      <c r="C44">
        <v>2</v>
      </c>
      <c r="D44">
        <v>61500</v>
      </c>
      <c r="E44">
        <v>1.01</v>
      </c>
      <c r="F44">
        <v>78856</v>
      </c>
      <c r="G44">
        <v>61711</v>
      </c>
      <c r="H44">
        <v>56822</v>
      </c>
      <c r="I44">
        <v>-28.22</v>
      </c>
      <c r="J44">
        <v>-0.34</v>
      </c>
      <c r="K44">
        <v>7.61</v>
      </c>
      <c r="L44">
        <v>12.51</v>
      </c>
      <c r="M44" t="b">
        <v>1</v>
      </c>
      <c r="N44">
        <v>1353</v>
      </c>
      <c r="O44">
        <v>1326</v>
      </c>
      <c r="P44" t="s">
        <v>228</v>
      </c>
      <c r="Q44">
        <v>54.91</v>
      </c>
      <c r="R44" t="s">
        <v>544</v>
      </c>
      <c r="S44" t="s">
        <v>859</v>
      </c>
      <c r="T44">
        <v>1547</v>
      </c>
      <c r="U44">
        <v>155</v>
      </c>
      <c r="V44">
        <v>6167</v>
      </c>
      <c r="W44">
        <v>169768</v>
      </c>
      <c r="X44">
        <v>2.24</v>
      </c>
    </row>
    <row r="45" spans="1:24">
      <c r="A45" s="2">
        <f>HYPERLINK("https://finance.naver.com/item/coinfo.nhn?code=109860", "A109860")</f>
        <v>0</v>
      </c>
      <c r="B45">
        <f>HYPERLINK("http://comp.fnguide.com/SVO2/ASP/SVD_Consensus.asp?pGB=1&amp;gicode=A109860&amp;cID=&amp;MenuYn=Y&amp;ReportGB=&amp;NewMenuID=108&amp;stkGb=701", "동일금속")</f>
        <v>0</v>
      </c>
      <c r="C45">
        <v>3</v>
      </c>
      <c r="D45">
        <v>10700</v>
      </c>
      <c r="E45">
        <v>-1.57</v>
      </c>
      <c r="F45">
        <v>24779</v>
      </c>
      <c r="G45">
        <v>21485</v>
      </c>
      <c r="H45">
        <v>20546</v>
      </c>
      <c r="I45">
        <v>-131.58</v>
      </c>
      <c r="J45">
        <v>-100.8</v>
      </c>
      <c r="K45">
        <v>-92.02</v>
      </c>
      <c r="L45">
        <v>10.25</v>
      </c>
      <c r="M45" t="b">
        <v>1</v>
      </c>
      <c r="N45">
        <v>749</v>
      </c>
      <c r="O45">
        <v>15069</v>
      </c>
      <c r="P45" t="s">
        <v>8</v>
      </c>
      <c r="Q45">
        <v>57.72</v>
      </c>
      <c r="R45" t="s">
        <v>324</v>
      </c>
      <c r="S45" t="s">
        <v>640</v>
      </c>
      <c r="T45">
        <v>866</v>
      </c>
      <c r="U45">
        <v>126</v>
      </c>
      <c r="V45">
        <v>2226</v>
      </c>
      <c r="W45">
        <v>563000</v>
      </c>
      <c r="X45">
        <v>2.24</v>
      </c>
    </row>
    <row r="46" spans="1:24">
      <c r="A46" s="2">
        <f>HYPERLINK("https://finance.naver.com/item/coinfo.nhn?code=032190", "A032190")</f>
        <v>0</v>
      </c>
      <c r="B46">
        <f>HYPERLINK("http://comp.fnguide.com/SVO2/ASP/SVD_Consensus.asp?pGB=1&amp;gicode=A032190&amp;cID=&amp;MenuYn=Y&amp;ReportGB=&amp;NewMenuID=108&amp;stkGb=701", "다우데이타")</f>
        <v>0</v>
      </c>
      <c r="C46">
        <v>3</v>
      </c>
      <c r="D46">
        <v>13200</v>
      </c>
      <c r="E46">
        <v>0.83</v>
      </c>
      <c r="F46">
        <v>20470</v>
      </c>
      <c r="G46">
        <v>17717</v>
      </c>
      <c r="H46">
        <v>16931</v>
      </c>
      <c r="I46">
        <v>-55.08</v>
      </c>
      <c r="J46">
        <v>-34.22</v>
      </c>
      <c r="K46">
        <v>-28.27</v>
      </c>
      <c r="L46">
        <v>10.28</v>
      </c>
      <c r="M46" t="b">
        <v>1</v>
      </c>
      <c r="N46">
        <v>5056</v>
      </c>
      <c r="O46">
        <v>802704</v>
      </c>
      <c r="P46" t="s">
        <v>27</v>
      </c>
      <c r="Q46">
        <v>67.34999999999999</v>
      </c>
      <c r="R46" t="s">
        <v>343</v>
      </c>
      <c r="S46" t="s">
        <v>659</v>
      </c>
      <c r="T46">
        <v>36056</v>
      </c>
      <c r="U46">
        <v>5590</v>
      </c>
      <c r="V46">
        <v>1782</v>
      </c>
      <c r="X46">
        <v>2.17</v>
      </c>
    </row>
    <row r="47" spans="1:24">
      <c r="A47" s="2">
        <f>HYPERLINK("https://finance.naver.com/item/coinfo.nhn?code=010780", "A010780")</f>
        <v>0</v>
      </c>
      <c r="B47">
        <f>HYPERLINK("http://comp.fnguide.com/SVO2/ASP/SVD_Consensus.asp?pGB=1&amp;gicode=A010780&amp;cID=&amp;MenuYn=Y&amp;ReportGB=&amp;NewMenuID=108&amp;stkGb=701", "아이에스동서")</f>
        <v>0</v>
      </c>
      <c r="C47">
        <v>1</v>
      </c>
      <c r="D47">
        <v>48050</v>
      </c>
      <c r="E47">
        <v>2.89</v>
      </c>
      <c r="F47">
        <v>63433</v>
      </c>
      <c r="G47">
        <v>47003</v>
      </c>
      <c r="H47">
        <v>42317</v>
      </c>
      <c r="I47">
        <v>-32.01</v>
      </c>
      <c r="J47">
        <v>2.18</v>
      </c>
      <c r="K47">
        <v>11.93</v>
      </c>
      <c r="L47">
        <v>14.03</v>
      </c>
      <c r="M47" t="b">
        <v>1</v>
      </c>
      <c r="N47">
        <v>14844</v>
      </c>
      <c r="O47">
        <v>277219</v>
      </c>
      <c r="P47" t="s">
        <v>275</v>
      </c>
      <c r="Q47">
        <v>54.69</v>
      </c>
      <c r="R47" t="s">
        <v>591</v>
      </c>
      <c r="S47" t="s">
        <v>904</v>
      </c>
      <c r="T47">
        <v>9641</v>
      </c>
      <c r="U47">
        <v>662</v>
      </c>
      <c r="V47">
        <v>2138</v>
      </c>
      <c r="W47">
        <v>447941</v>
      </c>
      <c r="X47">
        <v>2.12</v>
      </c>
    </row>
    <row r="48" spans="1:24">
      <c r="A48" s="2">
        <f>HYPERLINK("https://finance.naver.com/item/coinfo.nhn?code=005710", "A005710")</f>
        <v>0</v>
      </c>
      <c r="B48">
        <f>HYPERLINK("http://comp.fnguide.com/SVO2/ASP/SVD_Consensus.asp?pGB=1&amp;gicode=A005710&amp;cID=&amp;MenuYn=Y&amp;ReportGB=&amp;NewMenuID=108&amp;stkGb=701", "대원산업")</f>
        <v>0</v>
      </c>
      <c r="C48">
        <v>3</v>
      </c>
      <c r="D48">
        <v>5700</v>
      </c>
      <c r="E48">
        <v>0.05</v>
      </c>
      <c r="F48">
        <v>24541</v>
      </c>
      <c r="G48">
        <v>19136</v>
      </c>
      <c r="H48">
        <v>17594</v>
      </c>
      <c r="I48">
        <v>-330.55</v>
      </c>
      <c r="J48">
        <v>-235.72</v>
      </c>
      <c r="K48">
        <v>-208.67</v>
      </c>
      <c r="L48">
        <v>12.6</v>
      </c>
      <c r="M48" t="b">
        <v>1</v>
      </c>
      <c r="N48">
        <v>1142</v>
      </c>
      <c r="O48">
        <v>10498</v>
      </c>
      <c r="P48" t="s">
        <v>2</v>
      </c>
      <c r="Q48">
        <v>61.55</v>
      </c>
      <c r="R48" t="s">
        <v>318</v>
      </c>
      <c r="S48" t="s">
        <v>634</v>
      </c>
      <c r="T48">
        <v>6610</v>
      </c>
      <c r="U48">
        <v>263</v>
      </c>
      <c r="V48">
        <v>1950</v>
      </c>
      <c r="X48">
        <v>2.11</v>
      </c>
    </row>
    <row r="49" spans="1:24">
      <c r="A49" s="2">
        <f>HYPERLINK("https://finance.naver.com/item/coinfo.nhn?code=043370", "A043370")</f>
        <v>0</v>
      </c>
      <c r="B49">
        <f>HYPERLINK("http://comp.fnguide.com/SVO2/ASP/SVD_Consensus.asp?pGB=1&amp;gicode=A043370&amp;cID=&amp;MenuYn=Y&amp;ReportGB=&amp;NewMenuID=108&amp;stkGb=701", "평화정공")</f>
        <v>0</v>
      </c>
      <c r="C49">
        <v>3</v>
      </c>
      <c r="D49">
        <v>8350</v>
      </c>
      <c r="E49">
        <v>-0.47</v>
      </c>
      <c r="F49">
        <v>28781</v>
      </c>
      <c r="G49">
        <v>28355</v>
      </c>
      <c r="H49">
        <v>28234</v>
      </c>
      <c r="I49">
        <v>-244.69</v>
      </c>
      <c r="J49">
        <v>-239.58</v>
      </c>
      <c r="K49">
        <v>-238.13</v>
      </c>
      <c r="L49">
        <v>8.18</v>
      </c>
      <c r="M49" t="b">
        <v>1</v>
      </c>
      <c r="N49">
        <v>1754</v>
      </c>
      <c r="O49">
        <v>102840</v>
      </c>
      <c r="P49" t="s">
        <v>69</v>
      </c>
      <c r="Q49">
        <v>54.63</v>
      </c>
      <c r="R49" t="s">
        <v>385</v>
      </c>
      <c r="S49" t="s">
        <v>701</v>
      </c>
      <c r="T49">
        <v>10884</v>
      </c>
      <c r="U49">
        <v>156</v>
      </c>
      <c r="V49">
        <v>1506</v>
      </c>
      <c r="W49">
        <v>463438</v>
      </c>
      <c r="X49">
        <v>2.09</v>
      </c>
    </row>
    <row r="50" spans="1:24">
      <c r="A50" s="2">
        <f>HYPERLINK("https://finance.naver.com/item/coinfo.nhn?code=307930", "A307930")</f>
        <v>0</v>
      </c>
      <c r="B50">
        <f>HYPERLINK("http://comp.fnguide.com/SVO2/ASP/SVD_Consensus.asp?pGB=1&amp;gicode=A307930&amp;cID=&amp;MenuYn=Y&amp;ReportGB=&amp;NewMenuID=108&amp;stkGb=701", "컴퍼니케이")</f>
        <v>0</v>
      </c>
      <c r="C50">
        <v>1</v>
      </c>
      <c r="D50">
        <v>6680</v>
      </c>
      <c r="E50">
        <v>0</v>
      </c>
      <c r="F50">
        <v>8200</v>
      </c>
      <c r="G50">
        <v>5245</v>
      </c>
      <c r="H50">
        <v>4402</v>
      </c>
      <c r="I50">
        <v>-22.75</v>
      </c>
      <c r="J50">
        <v>21.48</v>
      </c>
      <c r="K50">
        <v>34.09</v>
      </c>
      <c r="L50">
        <v>19.95</v>
      </c>
      <c r="M50" t="b">
        <v>1</v>
      </c>
      <c r="N50">
        <v>1043</v>
      </c>
      <c r="O50">
        <v>137310</v>
      </c>
      <c r="P50" t="s">
        <v>252</v>
      </c>
      <c r="Q50">
        <v>73.61</v>
      </c>
      <c r="R50" t="s">
        <v>568</v>
      </c>
      <c r="S50" t="s">
        <v>883</v>
      </c>
      <c r="T50">
        <v>169</v>
      </c>
      <c r="U50">
        <v>108</v>
      </c>
      <c r="V50">
        <v>605</v>
      </c>
      <c r="X50">
        <v>2.06</v>
      </c>
    </row>
    <row r="51" spans="1:24">
      <c r="A51" s="2">
        <f>HYPERLINK("https://finance.naver.com/item/coinfo.nhn?code=009160", "A009160")</f>
        <v>0</v>
      </c>
      <c r="B51">
        <f>HYPERLINK("http://comp.fnguide.com/SVO2/ASP/SVD_Consensus.asp?pGB=1&amp;gicode=A009160&amp;cID=&amp;MenuYn=Y&amp;ReportGB=&amp;NewMenuID=108&amp;stkGb=701", "SIMPAC")</f>
        <v>0</v>
      </c>
      <c r="C51">
        <v>3</v>
      </c>
      <c r="D51">
        <v>2455</v>
      </c>
      <c r="E51">
        <v>-0.62</v>
      </c>
      <c r="F51">
        <v>8468</v>
      </c>
      <c r="G51">
        <v>7992</v>
      </c>
      <c r="H51">
        <v>7856</v>
      </c>
      <c r="I51">
        <v>-244.94</v>
      </c>
      <c r="J51">
        <v>-225.53</v>
      </c>
      <c r="K51">
        <v>-220</v>
      </c>
      <c r="L51">
        <v>8.800000000000001</v>
      </c>
      <c r="M51" t="b">
        <v>1</v>
      </c>
      <c r="N51">
        <v>1606</v>
      </c>
      <c r="O51">
        <v>27228</v>
      </c>
      <c r="P51" t="s">
        <v>136</v>
      </c>
      <c r="Q51">
        <v>60.01</v>
      </c>
      <c r="R51" t="s">
        <v>452</v>
      </c>
      <c r="S51" t="s">
        <v>768</v>
      </c>
      <c r="T51">
        <v>4301</v>
      </c>
      <c r="U51">
        <v>111</v>
      </c>
      <c r="V51">
        <v>145</v>
      </c>
      <c r="W51">
        <v>7943224</v>
      </c>
      <c r="X51">
        <v>2.04</v>
      </c>
    </row>
    <row r="52" spans="1:24">
      <c r="A52" s="2">
        <f>HYPERLINK("https://finance.naver.com/item/coinfo.nhn?code=293480", "A293480")</f>
        <v>0</v>
      </c>
      <c r="B52">
        <f>HYPERLINK("http://comp.fnguide.com/SVO2/ASP/SVD_Consensus.asp?pGB=1&amp;gicode=A293480&amp;cID=&amp;MenuYn=Y&amp;ReportGB=&amp;NewMenuID=108&amp;stkGb=701", "하나제약")</f>
        <v>0</v>
      </c>
      <c r="C52">
        <v>1</v>
      </c>
      <c r="D52">
        <v>24900</v>
      </c>
      <c r="E52">
        <v>-1.46</v>
      </c>
      <c r="F52">
        <v>32788</v>
      </c>
      <c r="G52">
        <v>21508</v>
      </c>
      <c r="H52">
        <v>18291</v>
      </c>
      <c r="I52">
        <v>-31.68</v>
      </c>
      <c r="J52">
        <v>13.62</v>
      </c>
      <c r="K52">
        <v>26.54</v>
      </c>
      <c r="L52">
        <v>18.68</v>
      </c>
      <c r="M52" t="b">
        <v>1</v>
      </c>
      <c r="N52">
        <v>4034</v>
      </c>
      <c r="O52">
        <v>53016</v>
      </c>
      <c r="P52" t="s">
        <v>255</v>
      </c>
      <c r="Q52">
        <v>58.69</v>
      </c>
      <c r="R52" t="s">
        <v>571</v>
      </c>
      <c r="S52" t="s">
        <v>886</v>
      </c>
      <c r="T52">
        <v>1663</v>
      </c>
      <c r="U52">
        <v>336</v>
      </c>
      <c r="V52">
        <v>1747</v>
      </c>
      <c r="W52">
        <v>470540</v>
      </c>
      <c r="X52">
        <v>2.04</v>
      </c>
    </row>
    <row r="53" spans="1:24">
      <c r="A53" s="2">
        <f>HYPERLINK("https://finance.naver.com/item/coinfo.nhn?code=001880", "A001880")</f>
        <v>0</v>
      </c>
      <c r="B53">
        <f>HYPERLINK("http://comp.fnguide.com/SVO2/ASP/SVD_Consensus.asp?pGB=1&amp;gicode=A001880&amp;cID=&amp;MenuYn=Y&amp;ReportGB=&amp;NewMenuID=108&amp;stkGb=701", "대림건설")</f>
        <v>0</v>
      </c>
      <c r="C53">
        <v>2</v>
      </c>
      <c r="D53">
        <v>29200</v>
      </c>
      <c r="E53">
        <v>0.13</v>
      </c>
      <c r="F53">
        <v>55826</v>
      </c>
      <c r="G53">
        <v>34766</v>
      </c>
      <c r="H53">
        <v>28760</v>
      </c>
      <c r="I53">
        <v>-91.18000000000001</v>
      </c>
      <c r="J53">
        <v>-19.06</v>
      </c>
      <c r="K53">
        <v>1.51</v>
      </c>
      <c r="L53">
        <v>21.46</v>
      </c>
      <c r="M53" t="b">
        <v>1</v>
      </c>
      <c r="N53">
        <v>6440</v>
      </c>
      <c r="O53">
        <v>145316</v>
      </c>
      <c r="P53" t="s">
        <v>210</v>
      </c>
      <c r="Q53">
        <v>66.36</v>
      </c>
      <c r="R53" t="s">
        <v>526</v>
      </c>
      <c r="S53" t="s">
        <v>841</v>
      </c>
      <c r="T53">
        <v>12799</v>
      </c>
      <c r="U53">
        <v>1430</v>
      </c>
      <c r="V53">
        <v>6265</v>
      </c>
      <c r="W53">
        <v>371</v>
      </c>
      <c r="X53">
        <v>2.02</v>
      </c>
    </row>
    <row r="54" spans="1:24">
      <c r="A54" s="2">
        <f>HYPERLINK("https://finance.naver.com/item/coinfo.nhn?code=002310", "A002310")</f>
        <v>0</v>
      </c>
      <c r="B54">
        <f>HYPERLINK("http://comp.fnguide.com/SVO2/ASP/SVD_Consensus.asp?pGB=1&amp;gicode=A002310&amp;cID=&amp;MenuYn=Y&amp;ReportGB=&amp;NewMenuID=108&amp;stkGb=701", "아세아제지")</f>
        <v>0</v>
      </c>
      <c r="C54">
        <v>3</v>
      </c>
      <c r="D54">
        <v>39400</v>
      </c>
      <c r="E54">
        <v>0.22</v>
      </c>
      <c r="F54">
        <v>89637</v>
      </c>
      <c r="G54">
        <v>75024</v>
      </c>
      <c r="H54">
        <v>70856</v>
      </c>
      <c r="I54">
        <v>-127.5</v>
      </c>
      <c r="J54">
        <v>-90.42</v>
      </c>
      <c r="K54">
        <v>-79.84</v>
      </c>
      <c r="L54">
        <v>10.95</v>
      </c>
      <c r="M54" t="b">
        <v>1</v>
      </c>
      <c r="N54">
        <v>3529</v>
      </c>
      <c r="O54">
        <v>163978</v>
      </c>
      <c r="P54" t="s">
        <v>189</v>
      </c>
      <c r="Q54">
        <v>50.07</v>
      </c>
      <c r="R54" t="s">
        <v>505</v>
      </c>
      <c r="S54" t="s">
        <v>821</v>
      </c>
      <c r="T54">
        <v>6977</v>
      </c>
      <c r="U54">
        <v>711</v>
      </c>
      <c r="V54">
        <v>6860</v>
      </c>
      <c r="X54">
        <v>2</v>
      </c>
    </row>
    <row r="55" spans="1:24">
      <c r="A55" s="2">
        <f>HYPERLINK("https://finance.naver.com/item/coinfo.nhn?code=089600", "A089600")</f>
        <v>0</v>
      </c>
      <c r="B55">
        <f>HYPERLINK("http://comp.fnguide.com/SVO2/ASP/SVD_Consensus.asp?pGB=1&amp;gicode=A089600&amp;cID=&amp;MenuYn=Y&amp;ReportGB=&amp;NewMenuID=108&amp;stkGb=701", "나스미디어")</f>
        <v>0</v>
      </c>
      <c r="C55">
        <v>1</v>
      </c>
      <c r="D55">
        <v>30000</v>
      </c>
      <c r="E55">
        <v>0.89</v>
      </c>
      <c r="F55">
        <v>34005</v>
      </c>
      <c r="G55">
        <v>23578</v>
      </c>
      <c r="H55">
        <v>20604</v>
      </c>
      <c r="I55">
        <v>-13.35</v>
      </c>
      <c r="J55">
        <v>21.41</v>
      </c>
      <c r="K55">
        <v>31.32</v>
      </c>
      <c r="L55">
        <v>16.3</v>
      </c>
      <c r="M55" t="b">
        <v>0</v>
      </c>
      <c r="N55">
        <v>2626</v>
      </c>
      <c r="O55">
        <v>54975</v>
      </c>
      <c r="P55" t="s">
        <v>274</v>
      </c>
      <c r="Q55">
        <v>59.59</v>
      </c>
      <c r="R55" t="s">
        <v>590</v>
      </c>
      <c r="S55" t="s">
        <v>903</v>
      </c>
      <c r="T55">
        <v>1170</v>
      </c>
      <c r="U55">
        <v>306</v>
      </c>
      <c r="V55">
        <v>2355</v>
      </c>
      <c r="W55">
        <v>252500</v>
      </c>
      <c r="X55">
        <v>1.98</v>
      </c>
    </row>
    <row r="56" spans="1:24">
      <c r="A56" s="2">
        <f>HYPERLINK("https://finance.naver.com/item/coinfo.nhn?code=027410", "A027410")</f>
        <v>0</v>
      </c>
      <c r="B56">
        <f>HYPERLINK("http://comp.fnguide.com/SVO2/ASP/SVD_Consensus.asp?pGB=1&amp;gicode=A027410&amp;cID=&amp;MenuYn=Y&amp;ReportGB=&amp;NewMenuID=108&amp;stkGb=701", "BGF")</f>
        <v>0</v>
      </c>
      <c r="C56">
        <v>3</v>
      </c>
      <c r="D56">
        <v>4590</v>
      </c>
      <c r="E56">
        <v>-0.52</v>
      </c>
      <c r="F56">
        <v>145153</v>
      </c>
      <c r="G56">
        <v>67409</v>
      </c>
      <c r="H56">
        <v>45236</v>
      </c>
      <c r="I56">
        <v>-3062.38</v>
      </c>
      <c r="J56">
        <v>-1368.61</v>
      </c>
      <c r="K56">
        <v>-885.54</v>
      </c>
      <c r="L56">
        <v>73.78</v>
      </c>
      <c r="M56" t="b">
        <v>0</v>
      </c>
      <c r="N56">
        <v>4393</v>
      </c>
      <c r="O56">
        <v>181165</v>
      </c>
      <c r="P56" t="s">
        <v>4</v>
      </c>
      <c r="Q56">
        <v>69.70999999999999</v>
      </c>
      <c r="R56" t="s">
        <v>320</v>
      </c>
      <c r="S56" t="s">
        <v>636</v>
      </c>
      <c r="T56">
        <v>2403</v>
      </c>
      <c r="U56">
        <v>294</v>
      </c>
      <c r="V56">
        <v>281</v>
      </c>
      <c r="W56">
        <v>8024</v>
      </c>
      <c r="X56">
        <v>1.96</v>
      </c>
    </row>
    <row r="57" spans="1:24">
      <c r="A57" s="2">
        <f>HYPERLINK("https://finance.naver.com/item/coinfo.nhn?code=036670", "A036670")</f>
        <v>0</v>
      </c>
      <c r="B57">
        <f>HYPERLINK("http://comp.fnguide.com/SVO2/ASP/SVD_Consensus.asp?pGB=1&amp;gicode=A036670&amp;cID=&amp;MenuYn=Y&amp;ReportGB=&amp;NewMenuID=108&amp;stkGb=701", "KCI")</f>
        <v>0</v>
      </c>
      <c r="C57">
        <v>1</v>
      </c>
      <c r="D57">
        <v>10200</v>
      </c>
      <c r="E57">
        <v>0.6</v>
      </c>
      <c r="F57">
        <v>12539</v>
      </c>
      <c r="G57">
        <v>8642</v>
      </c>
      <c r="H57">
        <v>7531</v>
      </c>
      <c r="I57">
        <v>-22.93</v>
      </c>
      <c r="J57">
        <v>15.28</v>
      </c>
      <c r="K57">
        <v>26.17</v>
      </c>
      <c r="L57">
        <v>16.54</v>
      </c>
      <c r="M57" t="b">
        <v>1</v>
      </c>
      <c r="N57">
        <v>1150</v>
      </c>
      <c r="O57">
        <v>33365</v>
      </c>
      <c r="P57" t="s">
        <v>278</v>
      </c>
      <c r="Q57">
        <v>50.02</v>
      </c>
      <c r="R57" t="s">
        <v>594</v>
      </c>
      <c r="S57" t="s">
        <v>907</v>
      </c>
      <c r="T57">
        <v>696</v>
      </c>
      <c r="U57">
        <v>145</v>
      </c>
      <c r="V57">
        <v>1013</v>
      </c>
      <c r="W57">
        <v>509800</v>
      </c>
      <c r="X57">
        <v>1.84</v>
      </c>
    </row>
    <row r="58" spans="1:24">
      <c r="A58" s="2">
        <f>HYPERLINK("https://finance.naver.com/item/coinfo.nhn?code=120030", "A120030")</f>
        <v>0</v>
      </c>
      <c r="B58">
        <f>HYPERLINK("http://comp.fnguide.com/SVO2/ASP/SVD_Consensus.asp?pGB=1&amp;gicode=A120030&amp;cID=&amp;MenuYn=Y&amp;ReportGB=&amp;NewMenuID=108&amp;stkGb=701", "조선선재")</f>
        <v>0</v>
      </c>
      <c r="C58">
        <v>3</v>
      </c>
      <c r="D58">
        <v>108000</v>
      </c>
      <c r="E58">
        <v>-1.57</v>
      </c>
      <c r="F58">
        <v>168325</v>
      </c>
      <c r="G58">
        <v>130805</v>
      </c>
      <c r="H58">
        <v>120104</v>
      </c>
      <c r="I58">
        <v>-55.86</v>
      </c>
      <c r="J58">
        <v>-21.12</v>
      </c>
      <c r="K58">
        <v>-11.21</v>
      </c>
      <c r="L58">
        <v>12.69</v>
      </c>
      <c r="M58" t="b">
        <v>1</v>
      </c>
      <c r="N58">
        <v>1358</v>
      </c>
      <c r="O58">
        <v>10894</v>
      </c>
      <c r="P58" t="s">
        <v>168</v>
      </c>
      <c r="Q58">
        <v>51.84</v>
      </c>
      <c r="R58" t="s">
        <v>484</v>
      </c>
      <c r="S58" t="s">
        <v>800</v>
      </c>
      <c r="T58">
        <v>640</v>
      </c>
      <c r="U58">
        <v>141</v>
      </c>
      <c r="V58">
        <v>10187</v>
      </c>
      <c r="W58">
        <v>213717</v>
      </c>
      <c r="X58">
        <v>1.82</v>
      </c>
    </row>
    <row r="59" spans="1:24">
      <c r="A59" s="2">
        <f>HYPERLINK("https://finance.naver.com/item/coinfo.nhn?code=251970", "A251970")</f>
        <v>0</v>
      </c>
      <c r="B59">
        <f>HYPERLINK("http://comp.fnguide.com/SVO2/ASP/SVD_Consensus.asp?pGB=1&amp;gicode=A251970&amp;cID=&amp;MenuYn=Y&amp;ReportGB=&amp;NewMenuID=108&amp;stkGb=701", "펌텍코리아")</f>
        <v>0</v>
      </c>
      <c r="C59">
        <v>3</v>
      </c>
      <c r="D59">
        <v>14400</v>
      </c>
      <c r="E59">
        <v>-2.33</v>
      </c>
      <c r="F59">
        <v>35401</v>
      </c>
      <c r="G59">
        <v>21300</v>
      </c>
      <c r="H59">
        <v>17279</v>
      </c>
      <c r="I59">
        <v>-145.84</v>
      </c>
      <c r="J59">
        <v>-47.92</v>
      </c>
      <c r="K59">
        <v>-19.99</v>
      </c>
      <c r="L59">
        <v>23.7</v>
      </c>
      <c r="M59" t="b">
        <v>1</v>
      </c>
      <c r="N59">
        <v>1786</v>
      </c>
      <c r="O59">
        <v>20729</v>
      </c>
      <c r="P59" t="s">
        <v>57</v>
      </c>
      <c r="Q59">
        <v>61.4</v>
      </c>
      <c r="R59" t="s">
        <v>373</v>
      </c>
      <c r="S59" t="s">
        <v>689</v>
      </c>
      <c r="T59">
        <v>1754</v>
      </c>
      <c r="U59">
        <v>269</v>
      </c>
      <c r="V59">
        <v>1661</v>
      </c>
      <c r="W59">
        <v>287382</v>
      </c>
      <c r="X59">
        <v>1.79</v>
      </c>
    </row>
    <row r="60" spans="1:24">
      <c r="A60" s="2">
        <f>HYPERLINK("https://finance.naver.com/item/coinfo.nhn?code=033290", "A033290")</f>
        <v>0</v>
      </c>
      <c r="B60">
        <f>HYPERLINK("http://comp.fnguide.com/SVO2/ASP/SVD_Consensus.asp?pGB=1&amp;gicode=A033290&amp;cID=&amp;MenuYn=Y&amp;ReportGB=&amp;NewMenuID=108&amp;stkGb=701", "코웰패션")</f>
        <v>0</v>
      </c>
      <c r="C60">
        <v>1</v>
      </c>
      <c r="D60">
        <v>5570</v>
      </c>
      <c r="E60">
        <v>0.24</v>
      </c>
      <c r="F60">
        <v>9259</v>
      </c>
      <c r="G60">
        <v>5456</v>
      </c>
      <c r="H60">
        <v>4372</v>
      </c>
      <c r="I60">
        <v>-66.23999999999999</v>
      </c>
      <c r="J60">
        <v>2.04</v>
      </c>
      <c r="K60">
        <v>21.51</v>
      </c>
      <c r="L60">
        <v>25.25</v>
      </c>
      <c r="M60" t="b">
        <v>1</v>
      </c>
      <c r="N60">
        <v>4929</v>
      </c>
      <c r="O60">
        <v>284708</v>
      </c>
      <c r="P60" t="s">
        <v>253</v>
      </c>
      <c r="Q60">
        <v>70.83</v>
      </c>
      <c r="R60" t="s">
        <v>569</v>
      </c>
      <c r="S60" t="s">
        <v>884</v>
      </c>
      <c r="T60">
        <v>3947</v>
      </c>
      <c r="U60">
        <v>761</v>
      </c>
      <c r="V60">
        <v>568</v>
      </c>
      <c r="W60">
        <v>5171107</v>
      </c>
      <c r="X60">
        <v>1.77</v>
      </c>
    </row>
    <row r="61" spans="1:24">
      <c r="A61" s="2">
        <f>HYPERLINK("https://finance.naver.com/item/coinfo.nhn?code=066620", "A066620")</f>
        <v>0</v>
      </c>
      <c r="B61">
        <f>HYPERLINK("http://comp.fnguide.com/SVO2/ASP/SVD_Consensus.asp?pGB=1&amp;gicode=A066620&amp;cID=&amp;MenuYn=Y&amp;ReportGB=&amp;NewMenuID=108&amp;stkGb=701", "국보디자인")</f>
        <v>0</v>
      </c>
      <c r="C61">
        <v>3</v>
      </c>
      <c r="D61">
        <v>17650</v>
      </c>
      <c r="E61">
        <v>0.65</v>
      </c>
      <c r="F61">
        <v>30855</v>
      </c>
      <c r="G61">
        <v>23108</v>
      </c>
      <c r="H61">
        <v>20898</v>
      </c>
      <c r="I61">
        <v>-74.81999999999999</v>
      </c>
      <c r="J61">
        <v>-30.92</v>
      </c>
      <c r="K61">
        <v>-18.4</v>
      </c>
      <c r="L61">
        <v>13.71</v>
      </c>
      <c r="M61" t="b">
        <v>1</v>
      </c>
      <c r="N61">
        <v>1324</v>
      </c>
      <c r="O61">
        <v>62103</v>
      </c>
      <c r="P61" t="s">
        <v>51</v>
      </c>
      <c r="Q61">
        <v>53.09</v>
      </c>
      <c r="R61" t="s">
        <v>367</v>
      </c>
      <c r="S61" t="s">
        <v>683</v>
      </c>
      <c r="T61">
        <v>2690</v>
      </c>
      <c r="U61">
        <v>116</v>
      </c>
      <c r="V61">
        <v>2126</v>
      </c>
      <c r="W61">
        <v>627314</v>
      </c>
      <c r="X61">
        <v>1.76</v>
      </c>
    </row>
    <row r="62" spans="1:24">
      <c r="A62" s="2">
        <f>HYPERLINK("https://finance.naver.com/item/coinfo.nhn?code=317400", "A317400")</f>
        <v>0</v>
      </c>
      <c r="B62">
        <f>HYPERLINK("http://comp.fnguide.com/SVO2/ASP/SVD_Consensus.asp?pGB=1&amp;gicode=A317400&amp;cID=&amp;MenuYn=Y&amp;ReportGB=&amp;NewMenuID=108&amp;stkGb=701", "자이에스앤디")</f>
        <v>0</v>
      </c>
      <c r="C62">
        <v>1</v>
      </c>
      <c r="D62">
        <v>9630</v>
      </c>
      <c r="E62">
        <v>-2.62</v>
      </c>
      <c r="F62">
        <v>11910</v>
      </c>
      <c r="G62">
        <v>8011</v>
      </c>
      <c r="H62">
        <v>6899</v>
      </c>
      <c r="I62">
        <v>-23.68</v>
      </c>
      <c r="J62">
        <v>16.81</v>
      </c>
      <c r="K62">
        <v>28.36</v>
      </c>
      <c r="L62">
        <v>17.54</v>
      </c>
      <c r="M62" t="b">
        <v>1</v>
      </c>
      <c r="N62">
        <v>2579</v>
      </c>
      <c r="O62">
        <v>269381</v>
      </c>
      <c r="P62" t="s">
        <v>279</v>
      </c>
      <c r="Q62">
        <v>61.17</v>
      </c>
      <c r="R62" t="s">
        <v>595</v>
      </c>
      <c r="S62" t="s">
        <v>908</v>
      </c>
      <c r="T62">
        <v>2779</v>
      </c>
      <c r="U62">
        <v>165</v>
      </c>
      <c r="V62">
        <v>676</v>
      </c>
      <c r="X62">
        <v>1.75</v>
      </c>
    </row>
    <row r="63" spans="1:24">
      <c r="A63" s="2">
        <f>HYPERLINK("https://finance.naver.com/item/coinfo.nhn?code=067280", "A067280")</f>
        <v>0</v>
      </c>
      <c r="B63">
        <f>HYPERLINK("http://comp.fnguide.com/SVO2/ASP/SVD_Consensus.asp?pGB=1&amp;gicode=A067280&amp;cID=&amp;MenuYn=Y&amp;ReportGB=&amp;NewMenuID=108&amp;stkGb=701", "멀티캠퍼스")</f>
        <v>0</v>
      </c>
      <c r="C63">
        <v>1</v>
      </c>
      <c r="D63">
        <v>33800</v>
      </c>
      <c r="E63">
        <v>-1.49</v>
      </c>
      <c r="F63">
        <v>41974</v>
      </c>
      <c r="G63">
        <v>27882</v>
      </c>
      <c r="H63">
        <v>23863</v>
      </c>
      <c r="I63">
        <v>-24.18</v>
      </c>
      <c r="J63">
        <v>17.51</v>
      </c>
      <c r="K63">
        <v>29.4</v>
      </c>
      <c r="L63">
        <v>18.1</v>
      </c>
      <c r="M63" t="b">
        <v>1</v>
      </c>
      <c r="N63">
        <v>2003</v>
      </c>
      <c r="O63">
        <v>13041</v>
      </c>
      <c r="P63" t="s">
        <v>264</v>
      </c>
      <c r="Q63">
        <v>62.44</v>
      </c>
      <c r="R63" t="s">
        <v>580</v>
      </c>
      <c r="S63" t="s">
        <v>894</v>
      </c>
      <c r="T63">
        <v>2880</v>
      </c>
      <c r="U63">
        <v>242</v>
      </c>
      <c r="V63">
        <v>3143</v>
      </c>
      <c r="X63">
        <v>1.73</v>
      </c>
    </row>
    <row r="64" spans="1:24">
      <c r="A64" s="2">
        <f>HYPERLINK("https://finance.naver.com/item/coinfo.nhn?code=318010", "A318010")</f>
        <v>0</v>
      </c>
      <c r="B64">
        <f>HYPERLINK("http://comp.fnguide.com/SVO2/ASP/SVD_Consensus.asp?pGB=1&amp;gicode=A318010&amp;cID=&amp;MenuYn=Y&amp;ReportGB=&amp;NewMenuID=108&amp;stkGb=701", "팜스빌")</f>
        <v>0</v>
      </c>
      <c r="C64">
        <v>1</v>
      </c>
      <c r="D64">
        <v>11400</v>
      </c>
      <c r="E64">
        <v>-2.45</v>
      </c>
      <c r="F64">
        <v>14008</v>
      </c>
      <c r="G64">
        <v>9835</v>
      </c>
      <c r="H64">
        <v>8646</v>
      </c>
      <c r="I64">
        <v>-22.87</v>
      </c>
      <c r="J64">
        <v>13.72</v>
      </c>
      <c r="K64">
        <v>24.16</v>
      </c>
      <c r="L64">
        <v>15.83</v>
      </c>
      <c r="M64" t="b">
        <v>1</v>
      </c>
      <c r="N64">
        <v>904</v>
      </c>
      <c r="O64">
        <v>125561</v>
      </c>
      <c r="P64" t="s">
        <v>247</v>
      </c>
      <c r="Q64">
        <v>70.37</v>
      </c>
      <c r="R64" t="s">
        <v>563</v>
      </c>
      <c r="S64" t="s">
        <v>878</v>
      </c>
      <c r="T64">
        <v>300</v>
      </c>
      <c r="U64">
        <v>71</v>
      </c>
      <c r="V64">
        <v>1092</v>
      </c>
      <c r="W64">
        <v>82908</v>
      </c>
      <c r="X64">
        <v>1.71</v>
      </c>
    </row>
    <row r="65" spans="1:24">
      <c r="A65" s="2">
        <f>HYPERLINK("https://finance.naver.com/item/coinfo.nhn?code=002170", "A002170")</f>
        <v>0</v>
      </c>
      <c r="B65">
        <f>HYPERLINK("http://comp.fnguide.com/SVO2/ASP/SVD_Consensus.asp?pGB=1&amp;gicode=A002170&amp;cID=&amp;MenuYn=Y&amp;ReportGB=&amp;NewMenuID=108&amp;stkGb=701", "삼양통상")</f>
        <v>0</v>
      </c>
      <c r="C65">
        <v>3</v>
      </c>
      <c r="D65">
        <v>63500</v>
      </c>
      <c r="E65">
        <v>0.12</v>
      </c>
      <c r="F65">
        <v>168987</v>
      </c>
      <c r="G65">
        <v>136779</v>
      </c>
      <c r="H65">
        <v>127593</v>
      </c>
      <c r="I65">
        <v>-166.12</v>
      </c>
      <c r="J65">
        <v>-115.4</v>
      </c>
      <c r="K65">
        <v>-100.93</v>
      </c>
      <c r="L65">
        <v>11.69</v>
      </c>
      <c r="M65" t="b">
        <v>1</v>
      </c>
      <c r="N65">
        <v>1905</v>
      </c>
      <c r="O65">
        <v>8329</v>
      </c>
      <c r="P65" t="s">
        <v>120</v>
      </c>
      <c r="Q65">
        <v>54.39</v>
      </c>
      <c r="R65" t="s">
        <v>436</v>
      </c>
      <c r="S65" t="s">
        <v>752</v>
      </c>
      <c r="T65">
        <v>1921</v>
      </c>
      <c r="U65">
        <v>494</v>
      </c>
      <c r="V65">
        <v>14733</v>
      </c>
      <c r="W65">
        <v>150575</v>
      </c>
      <c r="X65">
        <v>1.67</v>
      </c>
    </row>
    <row r="66" spans="1:24">
      <c r="A66" s="2">
        <f>HYPERLINK("https://finance.naver.com/item/coinfo.nhn?code=018250", "A018250")</f>
        <v>0</v>
      </c>
      <c r="B66">
        <f>HYPERLINK("http://comp.fnguide.com/SVO2/ASP/SVD_Consensus.asp?pGB=1&amp;gicode=A018250&amp;cID=&amp;MenuYn=Y&amp;ReportGB=&amp;NewMenuID=108&amp;stkGb=701", "애경산업")</f>
        <v>0</v>
      </c>
      <c r="C66">
        <v>1</v>
      </c>
      <c r="D66">
        <v>25600</v>
      </c>
      <c r="E66">
        <v>-1.67</v>
      </c>
      <c r="F66">
        <v>35807</v>
      </c>
      <c r="G66">
        <v>22059</v>
      </c>
      <c r="H66">
        <v>18138</v>
      </c>
      <c r="I66">
        <v>-39.87</v>
      </c>
      <c r="J66">
        <v>13.83</v>
      </c>
      <c r="K66">
        <v>29.15</v>
      </c>
      <c r="L66">
        <v>22.12</v>
      </c>
      <c r="M66" t="b">
        <v>1</v>
      </c>
      <c r="N66">
        <v>6761</v>
      </c>
      <c r="O66">
        <v>172096</v>
      </c>
      <c r="P66" t="s">
        <v>276</v>
      </c>
      <c r="Q66">
        <v>63.43</v>
      </c>
      <c r="R66" t="s">
        <v>592</v>
      </c>
      <c r="S66" t="s">
        <v>905</v>
      </c>
      <c r="T66">
        <v>7013</v>
      </c>
      <c r="U66">
        <v>606</v>
      </c>
      <c r="V66">
        <v>1581</v>
      </c>
      <c r="W66">
        <v>200010</v>
      </c>
      <c r="X66">
        <v>1.58</v>
      </c>
    </row>
    <row r="67" spans="1:24">
      <c r="A67" s="2">
        <f>HYPERLINK("https://finance.naver.com/item/coinfo.nhn?code=023460", "A023460")</f>
        <v>0</v>
      </c>
      <c r="B67">
        <f>HYPERLINK("http://comp.fnguide.com/SVO2/ASP/SVD_Consensus.asp?pGB=1&amp;gicode=A023460&amp;cID=&amp;MenuYn=Y&amp;ReportGB=&amp;NewMenuID=108&amp;stkGb=701", "CNH")</f>
        <v>0</v>
      </c>
      <c r="C67">
        <v>3</v>
      </c>
      <c r="D67">
        <v>1910</v>
      </c>
      <c r="E67">
        <v>0</v>
      </c>
      <c r="F67">
        <v>3152</v>
      </c>
      <c r="G67">
        <v>3065</v>
      </c>
      <c r="H67">
        <v>3040</v>
      </c>
      <c r="I67">
        <v>-65.05</v>
      </c>
      <c r="J67">
        <v>-60.49</v>
      </c>
      <c r="K67">
        <v>-59.19</v>
      </c>
      <c r="L67">
        <v>8.369999999999999</v>
      </c>
      <c r="M67" t="b">
        <v>1</v>
      </c>
      <c r="N67">
        <v>711</v>
      </c>
      <c r="O67">
        <v>521117</v>
      </c>
      <c r="P67" t="s">
        <v>29</v>
      </c>
      <c r="Q67">
        <v>60.88</v>
      </c>
      <c r="R67" t="s">
        <v>345</v>
      </c>
      <c r="S67" t="s">
        <v>661</v>
      </c>
      <c r="T67">
        <v>405</v>
      </c>
      <c r="U67">
        <v>211</v>
      </c>
      <c r="V67">
        <v>414</v>
      </c>
      <c r="W67">
        <v>2418619</v>
      </c>
      <c r="X67">
        <v>1.57</v>
      </c>
    </row>
    <row r="68" spans="1:24">
      <c r="A68" s="2">
        <f>HYPERLINK("https://finance.naver.com/item/coinfo.nhn?code=023600", "A023600")</f>
        <v>0</v>
      </c>
      <c r="B68">
        <f>HYPERLINK("http://comp.fnguide.com/SVO2/ASP/SVD_Consensus.asp?pGB=1&amp;gicode=A023600&amp;cID=&amp;MenuYn=Y&amp;ReportGB=&amp;NewMenuID=108&amp;stkGb=701", "삼보판지")</f>
        <v>0</v>
      </c>
      <c r="C68">
        <v>3</v>
      </c>
      <c r="D68">
        <v>10150</v>
      </c>
      <c r="E68">
        <v>-1.46</v>
      </c>
      <c r="F68">
        <v>30979</v>
      </c>
      <c r="G68">
        <v>25737</v>
      </c>
      <c r="H68">
        <v>24242</v>
      </c>
      <c r="I68">
        <v>-205.21</v>
      </c>
      <c r="J68">
        <v>-153.57</v>
      </c>
      <c r="K68">
        <v>-138.84</v>
      </c>
      <c r="L68">
        <v>11.11</v>
      </c>
      <c r="M68" t="b">
        <v>1</v>
      </c>
      <c r="N68">
        <v>1641</v>
      </c>
      <c r="O68">
        <v>428146</v>
      </c>
      <c r="P68" t="s">
        <v>20</v>
      </c>
      <c r="Q68">
        <v>63.54</v>
      </c>
      <c r="R68" t="s">
        <v>336</v>
      </c>
      <c r="S68" t="s">
        <v>652</v>
      </c>
      <c r="T68">
        <v>3670</v>
      </c>
      <c r="U68">
        <v>457</v>
      </c>
      <c r="V68">
        <v>1779</v>
      </c>
      <c r="W68">
        <v>202211</v>
      </c>
      <c r="X68">
        <v>1.52</v>
      </c>
    </row>
    <row r="69" spans="1:24">
      <c r="A69" s="2">
        <f>HYPERLINK("https://finance.naver.com/item/coinfo.nhn?code=032560", "A032560")</f>
        <v>0</v>
      </c>
      <c r="B69">
        <f>HYPERLINK("http://comp.fnguide.com/SVO2/ASP/SVD_Consensus.asp?pGB=1&amp;gicode=A032560&amp;cID=&amp;MenuYn=Y&amp;ReportGB=&amp;NewMenuID=108&amp;stkGb=701", "황금에스티")</f>
        <v>0</v>
      </c>
      <c r="C69">
        <v>3</v>
      </c>
      <c r="D69">
        <v>7670</v>
      </c>
      <c r="E69">
        <v>0.21</v>
      </c>
      <c r="F69">
        <v>20688</v>
      </c>
      <c r="G69">
        <v>19423</v>
      </c>
      <c r="H69">
        <v>19062</v>
      </c>
      <c r="I69">
        <v>-169.73</v>
      </c>
      <c r="J69">
        <v>-153.23</v>
      </c>
      <c r="K69">
        <v>-148.52</v>
      </c>
      <c r="L69">
        <v>8.880000000000001</v>
      </c>
      <c r="M69" t="b">
        <v>1</v>
      </c>
      <c r="N69">
        <v>1074</v>
      </c>
      <c r="O69">
        <v>240692</v>
      </c>
      <c r="P69" t="s">
        <v>39</v>
      </c>
      <c r="Q69">
        <v>54.12</v>
      </c>
      <c r="R69" t="s">
        <v>355</v>
      </c>
      <c r="S69" t="s">
        <v>671</v>
      </c>
      <c r="T69">
        <v>2436</v>
      </c>
      <c r="U69">
        <v>188</v>
      </c>
      <c r="V69">
        <v>1794</v>
      </c>
      <c r="W69">
        <v>1861</v>
      </c>
      <c r="X69">
        <v>1.43</v>
      </c>
    </row>
    <row r="70" spans="1:24">
      <c r="A70" s="2">
        <f>HYPERLINK("https://finance.naver.com/item/coinfo.nhn?code=080010", "A080010")</f>
        <v>0</v>
      </c>
      <c r="B70">
        <f>HYPERLINK("http://comp.fnguide.com/SVO2/ASP/SVD_Consensus.asp?pGB=1&amp;gicode=A080010&amp;cID=&amp;MenuYn=Y&amp;ReportGB=&amp;NewMenuID=108&amp;stkGb=701", "이상네트웍스")</f>
        <v>0</v>
      </c>
      <c r="C70">
        <v>3</v>
      </c>
      <c r="D70">
        <v>7380</v>
      </c>
      <c r="E70">
        <v>0.31</v>
      </c>
      <c r="F70">
        <v>12846</v>
      </c>
      <c r="G70">
        <v>11516</v>
      </c>
      <c r="H70">
        <v>11137</v>
      </c>
      <c r="I70">
        <v>-74.06</v>
      </c>
      <c r="J70">
        <v>-56.05</v>
      </c>
      <c r="K70">
        <v>-50.91</v>
      </c>
      <c r="L70">
        <v>9.640000000000001</v>
      </c>
      <c r="M70" t="b">
        <v>1</v>
      </c>
      <c r="N70">
        <v>665</v>
      </c>
      <c r="O70">
        <v>5644</v>
      </c>
      <c r="P70" t="s">
        <v>104</v>
      </c>
      <c r="Q70">
        <v>50.05</v>
      </c>
      <c r="R70" t="s">
        <v>420</v>
      </c>
      <c r="S70" t="s">
        <v>736</v>
      </c>
      <c r="T70">
        <v>582</v>
      </c>
      <c r="U70">
        <v>75</v>
      </c>
      <c r="V70">
        <v>1001</v>
      </c>
      <c r="W70">
        <v>98424</v>
      </c>
      <c r="X70">
        <v>1.4</v>
      </c>
    </row>
    <row r="71" spans="1:24">
      <c r="A71" s="2">
        <f>HYPERLINK("https://finance.naver.com/item/coinfo.nhn?code=049770", "A049770")</f>
        <v>0</v>
      </c>
      <c r="B71">
        <f>HYPERLINK("http://comp.fnguide.com/SVO2/ASP/SVD_Consensus.asp?pGB=1&amp;gicode=A049770&amp;cID=&amp;MenuYn=Y&amp;ReportGB=&amp;NewMenuID=108&amp;stkGb=701", "동원F&amp;B")</f>
        <v>0</v>
      </c>
      <c r="C71">
        <v>3</v>
      </c>
      <c r="D71">
        <v>176500</v>
      </c>
      <c r="E71">
        <v>2.67</v>
      </c>
      <c r="F71">
        <v>211982</v>
      </c>
      <c r="G71">
        <v>190683</v>
      </c>
      <c r="H71">
        <v>184609</v>
      </c>
      <c r="I71">
        <v>-20.1</v>
      </c>
      <c r="J71">
        <v>-8.039999999999999</v>
      </c>
      <c r="K71">
        <v>-4.59</v>
      </c>
      <c r="L71">
        <v>9.58</v>
      </c>
      <c r="M71" t="b">
        <v>1</v>
      </c>
      <c r="N71">
        <v>6811</v>
      </c>
      <c r="O71">
        <v>7771</v>
      </c>
      <c r="P71" t="s">
        <v>115</v>
      </c>
      <c r="Q71">
        <v>71.27</v>
      </c>
      <c r="R71" t="s">
        <v>431</v>
      </c>
      <c r="S71" t="s">
        <v>747</v>
      </c>
      <c r="T71">
        <v>30303</v>
      </c>
      <c r="U71">
        <v>1014</v>
      </c>
      <c r="V71">
        <v>17015</v>
      </c>
      <c r="X71">
        <v>1.33</v>
      </c>
    </row>
    <row r="72" spans="1:24">
      <c r="A72" s="2">
        <f>HYPERLINK("https://finance.naver.com/item/coinfo.nhn?code=006090", "A006090")</f>
        <v>0</v>
      </c>
      <c r="B72">
        <f>HYPERLINK("http://comp.fnguide.com/SVO2/ASP/SVD_Consensus.asp?pGB=1&amp;gicode=A006090&amp;cID=&amp;MenuYn=Y&amp;ReportGB=&amp;NewMenuID=108&amp;stkGb=701", "사조오양")</f>
        <v>0</v>
      </c>
      <c r="C72">
        <v>3</v>
      </c>
      <c r="D72">
        <v>9900</v>
      </c>
      <c r="E72">
        <v>0.4</v>
      </c>
      <c r="F72">
        <v>19436</v>
      </c>
      <c r="G72">
        <v>18446</v>
      </c>
      <c r="H72">
        <v>18163</v>
      </c>
      <c r="I72">
        <v>-96.31999999999999</v>
      </c>
      <c r="J72">
        <v>-86.31999999999999</v>
      </c>
      <c r="K72">
        <v>-83.47</v>
      </c>
      <c r="L72">
        <v>8.720000000000001</v>
      </c>
      <c r="M72" t="b">
        <v>1</v>
      </c>
      <c r="N72">
        <v>933</v>
      </c>
      <c r="O72">
        <v>99307</v>
      </c>
      <c r="P72" t="s">
        <v>114</v>
      </c>
      <c r="Q72">
        <v>60.53</v>
      </c>
      <c r="R72" t="s">
        <v>430</v>
      </c>
      <c r="S72" t="s">
        <v>746</v>
      </c>
      <c r="T72">
        <v>3136</v>
      </c>
      <c r="U72">
        <v>226</v>
      </c>
      <c r="V72">
        <v>1402</v>
      </c>
      <c r="W72">
        <v>3</v>
      </c>
      <c r="X72">
        <v>1.32</v>
      </c>
    </row>
    <row r="73" spans="1:24">
      <c r="A73" s="2">
        <f>HYPERLINK("https://finance.naver.com/item/coinfo.nhn?code=006740", "A006740")</f>
        <v>0</v>
      </c>
      <c r="B73">
        <f>HYPERLINK("http://comp.fnguide.com/SVO2/ASP/SVD_Consensus.asp?pGB=1&amp;gicode=A006740&amp;cID=&amp;MenuYn=Y&amp;ReportGB=&amp;NewMenuID=108&amp;stkGb=701", "영풍제지")</f>
        <v>0</v>
      </c>
      <c r="C73">
        <v>3</v>
      </c>
      <c r="D73">
        <v>5910</v>
      </c>
      <c r="E73">
        <v>0.59</v>
      </c>
      <c r="F73">
        <v>7901</v>
      </c>
      <c r="G73">
        <v>7240</v>
      </c>
      <c r="H73">
        <v>7052</v>
      </c>
      <c r="I73">
        <v>-33.69</v>
      </c>
      <c r="J73">
        <v>-22.51</v>
      </c>
      <c r="K73">
        <v>-19.32</v>
      </c>
      <c r="L73">
        <v>9.27</v>
      </c>
      <c r="M73" t="b">
        <v>1</v>
      </c>
      <c r="N73">
        <v>1312</v>
      </c>
      <c r="O73">
        <v>287659</v>
      </c>
      <c r="P73" t="s">
        <v>160</v>
      </c>
      <c r="Q73">
        <v>54.44</v>
      </c>
      <c r="R73" t="s">
        <v>476</v>
      </c>
      <c r="S73" t="s">
        <v>792</v>
      </c>
      <c r="T73">
        <v>997</v>
      </c>
      <c r="U73">
        <v>109</v>
      </c>
      <c r="V73">
        <v>418</v>
      </c>
      <c r="W73">
        <v>4627676</v>
      </c>
      <c r="X73">
        <v>1.28</v>
      </c>
    </row>
    <row r="74" spans="1:24">
      <c r="A74" s="2">
        <f>HYPERLINK("https://finance.naver.com/item/coinfo.nhn?code=009780", "A009780")</f>
        <v>0</v>
      </c>
      <c r="B74">
        <f>HYPERLINK("http://comp.fnguide.com/SVO2/ASP/SVD_Consensus.asp?pGB=1&amp;gicode=A009780&amp;cID=&amp;MenuYn=Y&amp;ReportGB=&amp;NewMenuID=108&amp;stkGb=701", "엠에스씨")</f>
        <v>0</v>
      </c>
      <c r="C74">
        <v>3</v>
      </c>
      <c r="D74">
        <v>4810</v>
      </c>
      <c r="E74">
        <v>0.42</v>
      </c>
      <c r="F74">
        <v>9296</v>
      </c>
      <c r="G74">
        <v>6794</v>
      </c>
      <c r="H74">
        <v>6081</v>
      </c>
      <c r="I74">
        <v>-93.26000000000001</v>
      </c>
      <c r="J74">
        <v>-41.26</v>
      </c>
      <c r="K74">
        <v>-26.42</v>
      </c>
      <c r="L74">
        <v>14.46</v>
      </c>
      <c r="M74" t="b">
        <v>1</v>
      </c>
      <c r="N74">
        <v>847</v>
      </c>
      <c r="O74">
        <v>72489</v>
      </c>
      <c r="P74" t="s">
        <v>95</v>
      </c>
      <c r="Q74">
        <v>73.22</v>
      </c>
      <c r="R74" t="s">
        <v>411</v>
      </c>
      <c r="S74" t="s">
        <v>727</v>
      </c>
      <c r="T74">
        <v>1492</v>
      </c>
      <c r="U74">
        <v>147</v>
      </c>
      <c r="V74">
        <v>668</v>
      </c>
      <c r="X74">
        <v>1.27</v>
      </c>
    </row>
    <row r="75" spans="1:24">
      <c r="A75" s="2">
        <f>HYPERLINK("https://finance.naver.com/item/coinfo.nhn?code=006580", "A006580")</f>
        <v>0</v>
      </c>
      <c r="B75">
        <f>HYPERLINK("http://comp.fnguide.com/SVO2/ASP/SVD_Consensus.asp?pGB=1&amp;gicode=A006580&amp;cID=&amp;MenuYn=Y&amp;ReportGB=&amp;NewMenuID=108&amp;stkGb=701", "대양제지")</f>
        <v>0</v>
      </c>
      <c r="C75">
        <v>3</v>
      </c>
      <c r="D75">
        <v>3110</v>
      </c>
      <c r="E75">
        <v>-0.15</v>
      </c>
      <c r="F75">
        <v>16123</v>
      </c>
      <c r="G75">
        <v>10351</v>
      </c>
      <c r="H75">
        <v>8704</v>
      </c>
      <c r="I75">
        <v>-418.42</v>
      </c>
      <c r="J75">
        <v>-232.82</v>
      </c>
      <c r="K75">
        <v>-179.88</v>
      </c>
      <c r="L75">
        <v>19.76</v>
      </c>
      <c r="M75" t="b">
        <v>1</v>
      </c>
      <c r="N75">
        <v>835</v>
      </c>
      <c r="O75">
        <v>504679</v>
      </c>
      <c r="P75" t="s">
        <v>26</v>
      </c>
      <c r="Q75">
        <v>53.58</v>
      </c>
      <c r="R75" t="s">
        <v>342</v>
      </c>
      <c r="S75" t="s">
        <v>658</v>
      </c>
      <c r="T75">
        <v>2594</v>
      </c>
      <c r="U75">
        <v>327</v>
      </c>
      <c r="V75">
        <v>876</v>
      </c>
      <c r="W75">
        <v>6193269</v>
      </c>
      <c r="X75">
        <v>1.23</v>
      </c>
    </row>
    <row r="76" spans="1:24">
      <c r="A76" s="2">
        <f>HYPERLINK("https://finance.naver.com/item/coinfo.nhn?code=018310", "A018310")</f>
        <v>0</v>
      </c>
      <c r="B76">
        <f>HYPERLINK("http://comp.fnguide.com/SVO2/ASP/SVD_Consensus.asp?pGB=1&amp;gicode=A018310&amp;cID=&amp;MenuYn=Y&amp;ReportGB=&amp;NewMenuID=108&amp;stkGb=701", "삼목에스폼")</f>
        <v>0</v>
      </c>
      <c r="C76">
        <v>3</v>
      </c>
      <c r="D76">
        <v>7580</v>
      </c>
      <c r="E76">
        <v>-0.34</v>
      </c>
      <c r="F76">
        <v>28762</v>
      </c>
      <c r="G76">
        <v>28740</v>
      </c>
      <c r="H76">
        <v>28734</v>
      </c>
      <c r="I76">
        <v>-279.44</v>
      </c>
      <c r="J76">
        <v>-279.16</v>
      </c>
      <c r="K76">
        <v>-279.08</v>
      </c>
      <c r="L76">
        <v>7.99</v>
      </c>
      <c r="M76" t="b">
        <v>1</v>
      </c>
      <c r="N76">
        <v>1114</v>
      </c>
      <c r="O76">
        <v>8652</v>
      </c>
      <c r="P76" t="s">
        <v>19</v>
      </c>
      <c r="Q76">
        <v>50.66</v>
      </c>
      <c r="R76" t="s">
        <v>335</v>
      </c>
      <c r="S76" t="s">
        <v>651</v>
      </c>
      <c r="T76">
        <v>1442</v>
      </c>
      <c r="U76">
        <v>114</v>
      </c>
      <c r="V76">
        <v>932</v>
      </c>
      <c r="W76">
        <v>2783927</v>
      </c>
      <c r="X76">
        <v>1.2</v>
      </c>
    </row>
    <row r="77" spans="1:24">
      <c r="A77" s="2">
        <f>HYPERLINK("https://finance.naver.com/item/coinfo.nhn?code=111770", "A111770")</f>
        <v>0</v>
      </c>
      <c r="B77">
        <f>HYPERLINK("http://comp.fnguide.com/SVO2/ASP/SVD_Consensus.asp?pGB=1&amp;gicode=A111770&amp;cID=&amp;MenuYn=Y&amp;ReportGB=&amp;NewMenuID=108&amp;stkGb=701", "영원무역")</f>
        <v>0</v>
      </c>
      <c r="C77">
        <v>3</v>
      </c>
      <c r="D77">
        <v>31700</v>
      </c>
      <c r="E77">
        <v>1.94</v>
      </c>
      <c r="F77">
        <v>47871</v>
      </c>
      <c r="G77">
        <v>44361</v>
      </c>
      <c r="H77">
        <v>43359</v>
      </c>
      <c r="I77">
        <v>-51.01</v>
      </c>
      <c r="J77">
        <v>-39.94</v>
      </c>
      <c r="K77">
        <v>-36.78</v>
      </c>
      <c r="L77">
        <v>9.09</v>
      </c>
      <c r="M77" t="b">
        <v>1</v>
      </c>
      <c r="N77">
        <v>14047</v>
      </c>
      <c r="O77">
        <v>280376</v>
      </c>
      <c r="P77" t="s">
        <v>179</v>
      </c>
      <c r="Q77">
        <v>50.74</v>
      </c>
      <c r="R77" t="s">
        <v>495</v>
      </c>
      <c r="S77" t="s">
        <v>811</v>
      </c>
      <c r="T77">
        <v>23883</v>
      </c>
      <c r="U77">
        <v>2376</v>
      </c>
      <c r="V77">
        <v>3753</v>
      </c>
      <c r="W77">
        <v>445407</v>
      </c>
      <c r="X77">
        <v>1.17</v>
      </c>
    </row>
    <row r="78" spans="1:24">
      <c r="A78" s="2">
        <f>HYPERLINK("https://finance.naver.com/item/coinfo.nhn?code=002350", "A002350")</f>
        <v>0</v>
      </c>
      <c r="B78">
        <f>HYPERLINK("http://comp.fnguide.com/SVO2/ASP/SVD_Consensus.asp?pGB=1&amp;gicode=A002350&amp;cID=&amp;MenuYn=Y&amp;ReportGB=&amp;NewMenuID=108&amp;stkGb=701", "넥센타이어")</f>
        <v>0</v>
      </c>
      <c r="C78">
        <v>3</v>
      </c>
      <c r="D78">
        <v>6080</v>
      </c>
      <c r="E78">
        <v>-4.66</v>
      </c>
      <c r="F78">
        <v>16440</v>
      </c>
      <c r="G78">
        <v>16274</v>
      </c>
      <c r="H78">
        <v>16226</v>
      </c>
      <c r="I78">
        <v>-170.39</v>
      </c>
      <c r="J78">
        <v>-167.66</v>
      </c>
      <c r="K78">
        <v>-166.88</v>
      </c>
      <c r="L78">
        <v>8.119999999999999</v>
      </c>
      <c r="M78" t="b">
        <v>1</v>
      </c>
      <c r="N78">
        <v>5938</v>
      </c>
      <c r="O78">
        <v>1251405</v>
      </c>
      <c r="P78" t="s">
        <v>169</v>
      </c>
      <c r="Q78">
        <v>65.97</v>
      </c>
      <c r="R78" t="s">
        <v>485</v>
      </c>
      <c r="S78" t="s">
        <v>801</v>
      </c>
      <c r="T78">
        <v>20223</v>
      </c>
      <c r="U78">
        <v>2074</v>
      </c>
      <c r="V78">
        <v>1135</v>
      </c>
      <c r="W78">
        <v>1504451</v>
      </c>
      <c r="X78">
        <v>1.15</v>
      </c>
    </row>
    <row r="79" spans="1:24">
      <c r="A79" s="2">
        <f>HYPERLINK("https://finance.naver.com/item/coinfo.nhn?code=251630", "A251630")</f>
        <v>0</v>
      </c>
      <c r="B79">
        <f>HYPERLINK("http://comp.fnguide.com/SVO2/ASP/SVD_Consensus.asp?pGB=1&amp;gicode=A251630&amp;cID=&amp;MenuYn=Y&amp;ReportGB=&amp;NewMenuID=108&amp;stkGb=701", "브이원텍")</f>
        <v>0</v>
      </c>
      <c r="C79">
        <v>1</v>
      </c>
      <c r="D79">
        <v>9880</v>
      </c>
      <c r="E79">
        <v>1.44</v>
      </c>
      <c r="F79">
        <v>11278</v>
      </c>
      <c r="G79">
        <v>7919</v>
      </c>
      <c r="H79">
        <v>6961</v>
      </c>
      <c r="I79">
        <v>-14.15</v>
      </c>
      <c r="J79">
        <v>19.85</v>
      </c>
      <c r="K79">
        <v>29.54</v>
      </c>
      <c r="L79">
        <v>15.83</v>
      </c>
      <c r="M79" t="b">
        <v>1</v>
      </c>
      <c r="N79">
        <v>1487</v>
      </c>
      <c r="O79">
        <v>114206</v>
      </c>
      <c r="P79" t="s">
        <v>302</v>
      </c>
      <c r="Q79">
        <v>52.04</v>
      </c>
      <c r="R79" t="s">
        <v>618</v>
      </c>
      <c r="S79" t="s">
        <v>931</v>
      </c>
      <c r="T79">
        <v>268</v>
      </c>
      <c r="U79">
        <v>48</v>
      </c>
      <c r="V79">
        <v>442</v>
      </c>
      <c r="W79">
        <v>680241</v>
      </c>
      <c r="X79">
        <v>1.08</v>
      </c>
    </row>
    <row r="80" spans="1:24">
      <c r="A80" s="2">
        <f>HYPERLINK("https://finance.naver.com/item/coinfo.nhn?code=016590", "A016590")</f>
        <v>0</v>
      </c>
      <c r="B80">
        <f>HYPERLINK("http://comp.fnguide.com/SVO2/ASP/SVD_Consensus.asp?pGB=1&amp;gicode=A016590&amp;cID=&amp;MenuYn=Y&amp;ReportGB=&amp;NewMenuID=108&amp;stkGb=701", "신대양제지")</f>
        <v>0</v>
      </c>
      <c r="C80">
        <v>3</v>
      </c>
      <c r="D80">
        <v>64800</v>
      </c>
      <c r="E80">
        <v>0.14</v>
      </c>
      <c r="F80">
        <v>234494</v>
      </c>
      <c r="G80">
        <v>159303</v>
      </c>
      <c r="H80">
        <v>137858</v>
      </c>
      <c r="I80">
        <v>-261.87</v>
      </c>
      <c r="J80">
        <v>-145.84</v>
      </c>
      <c r="K80">
        <v>-112.74</v>
      </c>
      <c r="L80">
        <v>17.12</v>
      </c>
      <c r="M80" t="b">
        <v>1</v>
      </c>
      <c r="N80">
        <v>2611</v>
      </c>
      <c r="O80">
        <v>48361</v>
      </c>
      <c r="P80" t="s">
        <v>156</v>
      </c>
      <c r="Q80">
        <v>53.49</v>
      </c>
      <c r="R80" t="s">
        <v>472</v>
      </c>
      <c r="S80" t="s">
        <v>788</v>
      </c>
      <c r="T80">
        <v>6468</v>
      </c>
      <c r="U80">
        <v>947</v>
      </c>
      <c r="V80">
        <v>13849</v>
      </c>
      <c r="W80">
        <v>201500</v>
      </c>
      <c r="X80">
        <v>1.05</v>
      </c>
    </row>
    <row r="81" spans="1:24">
      <c r="A81" s="2">
        <f>HYPERLINK("https://finance.naver.com/item/coinfo.nhn?code=241770", "A241770")</f>
        <v>0</v>
      </c>
      <c r="B81">
        <f>HYPERLINK("http://comp.fnguide.com/SVO2/ASP/SVD_Consensus.asp?pGB=1&amp;gicode=A241770&amp;cID=&amp;MenuYn=Y&amp;ReportGB=&amp;NewMenuID=108&amp;stkGb=701", "메카로")</f>
        <v>0</v>
      </c>
      <c r="C81">
        <v>3</v>
      </c>
      <c r="D81">
        <v>13200</v>
      </c>
      <c r="E81">
        <v>-0.35</v>
      </c>
      <c r="F81">
        <v>31821</v>
      </c>
      <c r="G81">
        <v>21439</v>
      </c>
      <c r="H81">
        <v>18478</v>
      </c>
      <c r="I81">
        <v>-141.06</v>
      </c>
      <c r="J81">
        <v>-62.42</v>
      </c>
      <c r="K81">
        <v>-39.98</v>
      </c>
      <c r="L81">
        <v>17.47</v>
      </c>
      <c r="M81" t="b">
        <v>1</v>
      </c>
      <c r="N81">
        <v>1334</v>
      </c>
      <c r="O81">
        <v>91310</v>
      </c>
      <c r="P81" t="s">
        <v>13</v>
      </c>
      <c r="Q81">
        <v>60.49</v>
      </c>
      <c r="R81" t="s">
        <v>329</v>
      </c>
      <c r="S81" t="s">
        <v>645</v>
      </c>
      <c r="T81">
        <v>725</v>
      </c>
      <c r="U81">
        <v>86</v>
      </c>
      <c r="V81">
        <v>819</v>
      </c>
      <c r="W81">
        <v>380000</v>
      </c>
      <c r="X81">
        <v>1.04</v>
      </c>
    </row>
    <row r="82" spans="1:24">
      <c r="A82" s="2">
        <f>HYPERLINK("https://finance.naver.com/item/coinfo.nhn?code=107590", "A107590")</f>
        <v>0</v>
      </c>
      <c r="B82">
        <f>HYPERLINK("http://comp.fnguide.com/SVO2/ASP/SVD_Consensus.asp?pGB=1&amp;gicode=A107590&amp;cID=&amp;MenuYn=Y&amp;ReportGB=&amp;NewMenuID=108&amp;stkGb=701", "미원홀딩스")</f>
        <v>0</v>
      </c>
      <c r="C82">
        <v>1</v>
      </c>
      <c r="D82">
        <v>68800</v>
      </c>
      <c r="E82">
        <v>0.47</v>
      </c>
      <c r="F82">
        <v>73782</v>
      </c>
      <c r="G82">
        <v>67473</v>
      </c>
      <c r="H82">
        <v>65673</v>
      </c>
      <c r="I82">
        <v>-7.24</v>
      </c>
      <c r="J82">
        <v>1.93</v>
      </c>
      <c r="K82">
        <v>4.55</v>
      </c>
      <c r="L82">
        <v>9.300000000000001</v>
      </c>
      <c r="M82" t="b">
        <v>1</v>
      </c>
      <c r="N82">
        <v>1596</v>
      </c>
      <c r="O82">
        <v>1443</v>
      </c>
      <c r="P82" t="s">
        <v>311</v>
      </c>
      <c r="Q82">
        <v>70.94</v>
      </c>
      <c r="R82" t="s">
        <v>627</v>
      </c>
      <c r="S82" t="s">
        <v>938</v>
      </c>
      <c r="T82">
        <v>1884</v>
      </c>
      <c r="U82">
        <v>78</v>
      </c>
      <c r="V82">
        <v>6591</v>
      </c>
      <c r="X82">
        <v>0.97</v>
      </c>
    </row>
    <row r="83" spans="1:24">
      <c r="A83" s="2">
        <f>HYPERLINK("https://finance.naver.com/item/coinfo.nhn?code=267980", "A267980")</f>
        <v>0</v>
      </c>
      <c r="B83">
        <f>HYPERLINK("http://comp.fnguide.com/SVO2/ASP/SVD_Consensus.asp?pGB=1&amp;gicode=A267980&amp;cID=&amp;MenuYn=Y&amp;ReportGB=&amp;NewMenuID=108&amp;stkGb=701", "매일유업")</f>
        <v>0</v>
      </c>
      <c r="C83">
        <v>2</v>
      </c>
      <c r="D83">
        <v>69700</v>
      </c>
      <c r="E83">
        <v>1.27</v>
      </c>
      <c r="F83">
        <v>97617</v>
      </c>
      <c r="G83">
        <v>70817</v>
      </c>
      <c r="H83">
        <v>63174</v>
      </c>
      <c r="I83">
        <v>-40.05</v>
      </c>
      <c r="J83">
        <v>-1.6</v>
      </c>
      <c r="K83">
        <v>9.359999999999999</v>
      </c>
      <c r="L83">
        <v>14.7</v>
      </c>
      <c r="M83" t="b">
        <v>1</v>
      </c>
      <c r="N83">
        <v>5467</v>
      </c>
      <c r="O83">
        <v>21504</v>
      </c>
      <c r="P83" t="s">
        <v>221</v>
      </c>
      <c r="Q83">
        <v>56.27</v>
      </c>
      <c r="R83" t="s">
        <v>537</v>
      </c>
      <c r="S83" t="s">
        <v>852</v>
      </c>
      <c r="T83">
        <v>13933</v>
      </c>
      <c r="U83">
        <v>853</v>
      </c>
      <c r="V83">
        <v>8202</v>
      </c>
      <c r="W83">
        <v>227402</v>
      </c>
      <c r="X83">
        <v>0.93</v>
      </c>
    </row>
    <row r="84" spans="1:24">
      <c r="A84" s="2">
        <f>HYPERLINK("https://finance.naver.com/item/coinfo.nhn?code=007700", "A007700")</f>
        <v>0</v>
      </c>
      <c r="B84">
        <f>HYPERLINK("http://comp.fnguide.com/SVO2/ASP/SVD_Consensus.asp?pGB=1&amp;gicode=A007700&amp;cID=&amp;MenuYn=Y&amp;ReportGB=&amp;NewMenuID=108&amp;stkGb=701", "F&amp;F")</f>
        <v>0</v>
      </c>
      <c r="C84">
        <v>1</v>
      </c>
      <c r="D84">
        <v>87500</v>
      </c>
      <c r="E84">
        <v>0.39</v>
      </c>
      <c r="F84">
        <v>110181</v>
      </c>
      <c r="G84">
        <v>62945</v>
      </c>
      <c r="H84">
        <v>49473</v>
      </c>
      <c r="I84">
        <v>-25.92</v>
      </c>
      <c r="J84">
        <v>28.06</v>
      </c>
      <c r="K84">
        <v>43.46</v>
      </c>
      <c r="L84">
        <v>27.89</v>
      </c>
      <c r="M84" t="b">
        <v>1</v>
      </c>
      <c r="N84">
        <v>13475</v>
      </c>
      <c r="O84">
        <v>74481</v>
      </c>
      <c r="P84" t="s">
        <v>237</v>
      </c>
      <c r="Q84">
        <v>58.82</v>
      </c>
      <c r="R84" t="s">
        <v>553</v>
      </c>
      <c r="S84" t="s">
        <v>868</v>
      </c>
      <c r="T84">
        <v>9103</v>
      </c>
      <c r="U84">
        <v>1507</v>
      </c>
      <c r="V84">
        <v>7156</v>
      </c>
      <c r="W84">
        <v>79896</v>
      </c>
      <c r="X84">
        <v>0.89</v>
      </c>
    </row>
    <row r="85" spans="1:24">
      <c r="A85" s="2">
        <f>HYPERLINK("https://finance.naver.com/item/coinfo.nhn?code=023450", "A023450")</f>
        <v>0</v>
      </c>
      <c r="B85">
        <f>HYPERLINK("http://comp.fnguide.com/SVO2/ASP/SVD_Consensus.asp?pGB=1&amp;gicode=A023450&amp;cID=&amp;MenuYn=Y&amp;ReportGB=&amp;NewMenuID=108&amp;stkGb=701", "동남합성")</f>
        <v>0</v>
      </c>
      <c r="C85">
        <v>1</v>
      </c>
      <c r="D85">
        <v>40400</v>
      </c>
      <c r="E85">
        <v>0.1</v>
      </c>
      <c r="F85">
        <v>44304</v>
      </c>
      <c r="G85">
        <v>30160</v>
      </c>
      <c r="H85">
        <v>26126</v>
      </c>
      <c r="I85">
        <v>-9.66</v>
      </c>
      <c r="J85">
        <v>25.35</v>
      </c>
      <c r="K85">
        <v>35.33</v>
      </c>
      <c r="L85">
        <v>17.04</v>
      </c>
      <c r="M85" t="b">
        <v>1</v>
      </c>
      <c r="N85">
        <v>1458</v>
      </c>
      <c r="O85">
        <v>6401</v>
      </c>
      <c r="P85" t="s">
        <v>296</v>
      </c>
      <c r="Q85">
        <v>55.01</v>
      </c>
      <c r="R85" t="s">
        <v>612</v>
      </c>
      <c r="S85" t="s">
        <v>925</v>
      </c>
      <c r="T85">
        <v>1261</v>
      </c>
      <c r="U85">
        <v>98</v>
      </c>
      <c r="V85">
        <v>4925</v>
      </c>
      <c r="W85">
        <v>20000</v>
      </c>
      <c r="X85">
        <v>0.8</v>
      </c>
    </row>
    <row r="86" spans="1:24">
      <c r="A86" s="2">
        <f>HYPERLINK("https://finance.naver.com/item/coinfo.nhn?code=312610", "A312610")</f>
        <v>0</v>
      </c>
      <c r="B86">
        <f>HYPERLINK("http://comp.fnguide.com/SVO2/ASP/SVD_Consensus.asp?pGB=1&amp;gicode=A312610&amp;cID=&amp;MenuYn=Y&amp;ReportGB=&amp;NewMenuID=108&amp;stkGb=701", "에이에프더블류")</f>
        <v>0</v>
      </c>
      <c r="C86">
        <v>1</v>
      </c>
      <c r="D86">
        <v>13800</v>
      </c>
      <c r="E86">
        <v>-0.74</v>
      </c>
      <c r="F86">
        <v>20551</v>
      </c>
      <c r="G86">
        <v>12520</v>
      </c>
      <c r="H86">
        <v>10229</v>
      </c>
      <c r="I86">
        <v>-48.92</v>
      </c>
      <c r="J86">
        <v>9.279999999999999</v>
      </c>
      <c r="K86">
        <v>25.88</v>
      </c>
      <c r="L86">
        <v>22.85</v>
      </c>
      <c r="M86" t="b">
        <v>1</v>
      </c>
      <c r="N86">
        <v>1398</v>
      </c>
      <c r="O86">
        <v>87791</v>
      </c>
      <c r="P86" t="s">
        <v>299</v>
      </c>
      <c r="Q86">
        <v>52.75</v>
      </c>
      <c r="R86" t="s">
        <v>615</v>
      </c>
      <c r="S86" t="s">
        <v>928</v>
      </c>
      <c r="T86">
        <v>260</v>
      </c>
      <c r="U86">
        <v>72</v>
      </c>
      <c r="V86">
        <v>602</v>
      </c>
      <c r="X86">
        <v>0.79</v>
      </c>
    </row>
    <row r="87" spans="1:24">
      <c r="A87" s="2">
        <f>HYPERLINK("https://finance.naver.com/item/coinfo.nhn?code=306040", "A306040")</f>
        <v>0</v>
      </c>
      <c r="B87">
        <f>HYPERLINK("http://comp.fnguide.com/SVO2/ASP/SVD_Consensus.asp?pGB=1&amp;gicode=A306040&amp;cID=&amp;MenuYn=Y&amp;ReportGB=&amp;NewMenuID=108&amp;stkGb=701", "에스제이그룹")</f>
        <v>0</v>
      </c>
      <c r="C87">
        <v>1</v>
      </c>
      <c r="D87">
        <v>16000</v>
      </c>
      <c r="E87">
        <v>0.1</v>
      </c>
      <c r="F87">
        <v>27359</v>
      </c>
      <c r="G87">
        <v>15187</v>
      </c>
      <c r="H87">
        <v>11715</v>
      </c>
      <c r="I87">
        <v>-71</v>
      </c>
      <c r="J87">
        <v>5.08</v>
      </c>
      <c r="K87">
        <v>26.78</v>
      </c>
      <c r="L87">
        <v>30.79</v>
      </c>
      <c r="M87" t="b">
        <v>1</v>
      </c>
      <c r="N87">
        <v>1579</v>
      </c>
      <c r="O87">
        <v>263391</v>
      </c>
      <c r="P87" t="s">
        <v>300</v>
      </c>
      <c r="Q87">
        <v>51.79</v>
      </c>
      <c r="R87" t="s">
        <v>616</v>
      </c>
      <c r="S87" t="s">
        <v>929</v>
      </c>
      <c r="T87">
        <v>1095</v>
      </c>
      <c r="U87">
        <v>164</v>
      </c>
      <c r="V87">
        <v>1785</v>
      </c>
      <c r="W87">
        <v>78094</v>
      </c>
      <c r="X87">
        <v>0.66</v>
      </c>
    </row>
    <row r="88" spans="1:24">
      <c r="A88" s="2">
        <f>HYPERLINK("https://finance.naver.com/item/coinfo.nhn?code=248170", "A248170")</f>
        <v>0</v>
      </c>
      <c r="B88">
        <f>HYPERLINK("http://comp.fnguide.com/SVO2/ASP/SVD_Consensus.asp?pGB=1&amp;gicode=A248170&amp;cID=&amp;MenuYn=Y&amp;ReportGB=&amp;NewMenuID=108&amp;stkGb=701", "샘표식품")</f>
        <v>0</v>
      </c>
      <c r="C88">
        <v>2</v>
      </c>
      <c r="D88">
        <v>45100</v>
      </c>
      <c r="E88">
        <v>0.12</v>
      </c>
      <c r="F88">
        <v>68487</v>
      </c>
      <c r="G88">
        <v>48004</v>
      </c>
      <c r="H88">
        <v>42162</v>
      </c>
      <c r="I88">
        <v>-51.86</v>
      </c>
      <c r="J88">
        <v>-6.44</v>
      </c>
      <c r="K88">
        <v>6.51</v>
      </c>
      <c r="L88">
        <v>15.9</v>
      </c>
      <c r="M88" t="b">
        <v>1</v>
      </c>
      <c r="N88">
        <v>2060</v>
      </c>
      <c r="O88">
        <v>15858</v>
      </c>
      <c r="P88" t="s">
        <v>220</v>
      </c>
      <c r="Q88">
        <v>60.02</v>
      </c>
      <c r="R88" t="s">
        <v>536</v>
      </c>
      <c r="S88" t="s">
        <v>851</v>
      </c>
      <c r="T88">
        <v>2808</v>
      </c>
      <c r="U88">
        <v>310</v>
      </c>
      <c r="V88">
        <v>5870</v>
      </c>
      <c r="W88">
        <v>1690</v>
      </c>
      <c r="X88">
        <v>0.59</v>
      </c>
    </row>
    <row r="89" spans="1:24">
      <c r="A89" s="2">
        <f>HYPERLINK("https://finance.naver.com/item/coinfo.nhn?code=030960", "A030960")</f>
        <v>0</v>
      </c>
      <c r="B89">
        <f>HYPERLINK("http://comp.fnguide.com/SVO2/ASP/SVD_Consensus.asp?pGB=1&amp;gicode=A030960&amp;cID=&amp;MenuYn=Y&amp;ReportGB=&amp;NewMenuID=108&amp;stkGb=701", "양지사")</f>
        <v>0</v>
      </c>
      <c r="C89">
        <v>3</v>
      </c>
      <c r="D89">
        <v>10550</v>
      </c>
      <c r="E89">
        <v>0.01</v>
      </c>
      <c r="F89">
        <v>84055</v>
      </c>
      <c r="G89">
        <v>41834</v>
      </c>
      <c r="H89">
        <v>29793</v>
      </c>
      <c r="I89">
        <v>-696.73</v>
      </c>
      <c r="J89">
        <v>-296.53</v>
      </c>
      <c r="K89">
        <v>-182.39</v>
      </c>
      <c r="L89">
        <v>48.77</v>
      </c>
      <c r="M89" t="b">
        <v>1</v>
      </c>
      <c r="N89">
        <v>1686</v>
      </c>
      <c r="O89">
        <v>121982</v>
      </c>
      <c r="P89" t="s">
        <v>90</v>
      </c>
      <c r="Q89">
        <v>75.53</v>
      </c>
      <c r="R89" t="s">
        <v>406</v>
      </c>
      <c r="S89" t="s">
        <v>722</v>
      </c>
      <c r="T89">
        <v>489</v>
      </c>
      <c r="U89">
        <v>17</v>
      </c>
      <c r="V89">
        <v>7553</v>
      </c>
      <c r="W89">
        <v>2243930</v>
      </c>
      <c r="X89">
        <v>0.52</v>
      </c>
    </row>
    <row r="90" spans="1:24">
      <c r="A90" s="2">
        <f>HYPERLINK("https://finance.naver.com/item/coinfo.nhn?code=290720", "A290720")</f>
        <v>0</v>
      </c>
      <c r="B90">
        <f>HYPERLINK("http://comp.fnguide.com/SVO2/ASP/SVD_Consensus.asp?pGB=1&amp;gicode=A290720&amp;cID=&amp;MenuYn=Y&amp;ReportGB=&amp;NewMenuID=108&amp;stkGb=701", "푸드나무")</f>
        <v>0</v>
      </c>
      <c r="C90">
        <v>1</v>
      </c>
      <c r="D90">
        <v>22100</v>
      </c>
      <c r="E90">
        <v>2.67</v>
      </c>
      <c r="F90">
        <v>22751</v>
      </c>
      <c r="G90">
        <v>13612</v>
      </c>
      <c r="H90">
        <v>11006</v>
      </c>
      <c r="I90">
        <v>-2.95</v>
      </c>
      <c r="J90">
        <v>38.41</v>
      </c>
      <c r="K90">
        <v>50.2</v>
      </c>
      <c r="L90">
        <v>24.1</v>
      </c>
      <c r="M90" t="b">
        <v>1</v>
      </c>
      <c r="N90">
        <v>1504</v>
      </c>
      <c r="O90">
        <v>30824</v>
      </c>
      <c r="P90" t="s">
        <v>246</v>
      </c>
      <c r="Q90">
        <v>74.3</v>
      </c>
      <c r="R90" t="s">
        <v>562</v>
      </c>
      <c r="S90" t="s">
        <v>877</v>
      </c>
      <c r="T90">
        <v>648</v>
      </c>
      <c r="U90">
        <v>55</v>
      </c>
      <c r="V90">
        <v>655</v>
      </c>
      <c r="W90">
        <v>76384</v>
      </c>
      <c r="X90">
        <v>0.42</v>
      </c>
    </row>
    <row r="91" spans="1:24">
      <c r="A91" s="2">
        <f>HYPERLINK("https://finance.naver.com/item/coinfo.nhn?code=043150", "A043150")</f>
        <v>0</v>
      </c>
      <c r="B91">
        <f>HYPERLINK("http://comp.fnguide.com/SVO2/ASP/SVD_Consensus.asp?pGB=1&amp;gicode=A043150&amp;cID=&amp;MenuYn=Y&amp;ReportGB=&amp;NewMenuID=108&amp;stkGb=701", "바텍")</f>
        <v>0</v>
      </c>
      <c r="C91">
        <v>2</v>
      </c>
      <c r="D91">
        <v>23000</v>
      </c>
      <c r="E91">
        <v>-1.16</v>
      </c>
      <c r="F91">
        <v>40485</v>
      </c>
      <c r="G91">
        <v>26218</v>
      </c>
      <c r="H91">
        <v>22149</v>
      </c>
      <c r="I91">
        <v>-76.02</v>
      </c>
      <c r="J91">
        <v>-13.99</v>
      </c>
      <c r="K91">
        <v>3.7</v>
      </c>
      <c r="L91">
        <v>19.31</v>
      </c>
      <c r="M91" t="b">
        <v>1</v>
      </c>
      <c r="N91">
        <v>3416</v>
      </c>
      <c r="O91">
        <v>41657</v>
      </c>
      <c r="P91" t="s">
        <v>209</v>
      </c>
      <c r="Q91">
        <v>53.65</v>
      </c>
      <c r="R91" t="s">
        <v>525</v>
      </c>
      <c r="S91" t="s">
        <v>840</v>
      </c>
      <c r="T91">
        <v>2717</v>
      </c>
      <c r="U91">
        <v>429</v>
      </c>
      <c r="V91">
        <v>2281</v>
      </c>
      <c r="X9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rim</vt:lpstr>
      <vt:lpstr>dividend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2020-12-03T05:32:52Z</dcterms:created>
  <dcterms:modified xsi:type="dcterms:W3CDTF">2020-12-03T05:32:52Z</dcterms:modified>
</cp:coreProperties>
</file>