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20" windowHeight="12930" tabRatio="840" firstSheet="4" activeTab="15"/>
  </bookViews>
  <sheets>
    <sheet name="generations_50" sheetId="10" r:id="rId1"/>
    <sheet name="generations_50_1" sheetId="25" r:id="rId2"/>
    <sheet name="jwd_production" sheetId="11" r:id="rId3"/>
    <sheet name="jwd_transfer" sheetId="12" r:id="rId4"/>
    <sheet name="jwd_recycle" sheetId="13" r:id="rId5"/>
    <sheet name="jwd_disposal" sheetId="14" r:id="rId6"/>
    <sheet name="g_md" sheetId="15" r:id="rId7"/>
    <sheet name="t_md" sheetId="16" r:id="rId8"/>
    <sheet name="r_md" sheetId="17" r:id="rId9"/>
    <sheet name="d_md" sheetId="18" r:id="rId10"/>
    <sheet name="节点信息表" sheetId="19" r:id="rId11"/>
    <sheet name="目标规划求解表" sheetId="20" r:id="rId12"/>
    <sheet name="多目标模型比较" sheetId="21" r:id="rId13"/>
    <sheet name="不同情景下方案" sheetId="22" r:id="rId14"/>
    <sheet name="测试算例总表" sheetId="23" r:id="rId15"/>
    <sheet name="Sheet1" sheetId="24" r:id="rId16"/>
  </sheets>
  <calcPr calcId="144525"/>
</workbook>
</file>

<file path=xl/sharedStrings.xml><?xml version="1.0" encoding="utf-8"?>
<sst xmlns="http://schemas.openxmlformats.org/spreadsheetml/2006/main" count="640" uniqueCount="243">
  <si>
    <t>w1</t>
  </si>
  <si>
    <t>w2</t>
  </si>
  <si>
    <t>可回收比例</t>
  </si>
  <si>
    <t>可处置比例</t>
  </si>
  <si>
    <t>放入存放点比例</t>
  </si>
  <si>
    <t>g1</t>
  </si>
  <si>
    <t>T1</t>
  </si>
  <si>
    <t>R1</t>
  </si>
  <si>
    <t>D1</t>
  </si>
  <si>
    <t>g2</t>
  </si>
  <si>
    <t>T2</t>
  </si>
  <si>
    <t>R2</t>
  </si>
  <si>
    <t>D2</t>
  </si>
  <si>
    <t>g3</t>
  </si>
  <si>
    <t>T3</t>
  </si>
  <si>
    <t>R3</t>
  </si>
  <si>
    <t>D3</t>
  </si>
  <si>
    <t>g4</t>
  </si>
  <si>
    <t>T4</t>
  </si>
  <si>
    <t>R4</t>
  </si>
  <si>
    <t>D4</t>
  </si>
  <si>
    <t>g5</t>
  </si>
  <si>
    <t>T5</t>
  </si>
  <si>
    <t>R5</t>
  </si>
  <si>
    <t>D5</t>
  </si>
  <si>
    <t>g6</t>
  </si>
  <si>
    <t>R6</t>
  </si>
  <si>
    <t>g7</t>
  </si>
  <si>
    <t>R7</t>
  </si>
  <si>
    <t>g8</t>
  </si>
  <si>
    <t>g9</t>
  </si>
  <si>
    <t>g10</t>
  </si>
  <si>
    <t>g11</t>
  </si>
  <si>
    <t>g12</t>
  </si>
  <si>
    <t>g13</t>
  </si>
  <si>
    <t xml:space="preserve">                                   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</si>
  <si>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</si>
  <si>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</si>
  <si>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</si>
  <si>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</si>
  <si>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</si>
  <si>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</si>
  <si>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</si>
  <si>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</si>
  <si>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</si>
  <si>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</si>
  <si>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</si>
  <si>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</si>
  <si>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</si>
  <si>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</si>
  <si>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</si>
  <si>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</si>
  <si>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</si>
  <si>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</si>
  <si>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</si>
  <si>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</si>
  <si>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节点</t>
  </si>
  <si>
    <t>建设成本/元</t>
  </si>
  <si>
    <t>人口密度/（人/km2）</t>
  </si>
  <si>
    <t>存放能力(吨/天)</t>
  </si>
  <si>
    <t>废物量/吨·日</t>
  </si>
  <si>
    <t>G1</t>
  </si>
  <si>
    <t>G10</t>
  </si>
  <si>
    <t>G19</t>
  </si>
  <si>
    <t>G28</t>
  </si>
  <si>
    <t>G2</t>
  </si>
  <si>
    <t>G11</t>
  </si>
  <si>
    <t>G20</t>
  </si>
  <si>
    <t>G29</t>
  </si>
  <si>
    <t>G3</t>
  </si>
  <si>
    <t>G12</t>
  </si>
  <si>
    <t>G21</t>
  </si>
  <si>
    <t>G30</t>
  </si>
  <si>
    <t>G4</t>
  </si>
  <si>
    <t>G13</t>
  </si>
  <si>
    <t>G22</t>
  </si>
  <si>
    <t>G31</t>
  </si>
  <si>
    <t>G5</t>
  </si>
  <si>
    <t>G14</t>
  </si>
  <si>
    <t>G23</t>
  </si>
  <si>
    <t>G32</t>
  </si>
  <si>
    <t>G6</t>
  </si>
  <si>
    <t>G15</t>
  </si>
  <si>
    <t>G24</t>
  </si>
  <si>
    <t>G33</t>
  </si>
  <si>
    <t>G7</t>
  </si>
  <si>
    <t>G16</t>
  </si>
  <si>
    <t>G25</t>
  </si>
  <si>
    <t>G8</t>
  </si>
  <si>
    <t>G17</t>
  </si>
  <si>
    <t>G26</t>
  </si>
  <si>
    <t>G9</t>
  </si>
  <si>
    <t>G18</t>
  </si>
  <si>
    <t>G27</t>
  </si>
  <si>
    <t>模型</t>
  </si>
  <si>
    <t>成本总值(元)</t>
  </si>
  <si>
    <t>风险总值(人·kg)</t>
  </si>
  <si>
    <t>求解时间(s)</t>
  </si>
  <si>
    <t>GAP</t>
  </si>
  <si>
    <t>选址方案</t>
  </si>
  <si>
    <t>求解方法</t>
  </si>
  <si>
    <t>成本最小化</t>
  </si>
  <si>
    <t>T1,T2,T5</t>
  </si>
  <si>
    <t>最小包络-遗传算法</t>
  </si>
  <si>
    <t>风险最小化</t>
  </si>
  <si>
    <t>T1,T2,T3,T4,T5</t>
  </si>
  <si>
    <t>目标规划</t>
  </si>
  <si>
    <t>0.1，0.9</t>
  </si>
  <si>
    <t>0.2，0.8</t>
  </si>
  <si>
    <t>0.3，0.7</t>
  </si>
  <si>
    <t>0.4，0.6</t>
  </si>
  <si>
    <t>0.5，0.5</t>
  </si>
  <si>
    <t>0.6，0.4</t>
  </si>
  <si>
    <t>0.7，0.3</t>
  </si>
  <si>
    <t>0.8，0.2</t>
  </si>
  <si>
    <t>T3,T4,T5</t>
  </si>
  <si>
    <t>0.9，0.1</t>
  </si>
  <si>
    <t>算例规模</t>
  </si>
  <si>
    <t>小规模(0.5,0.5)</t>
  </si>
  <si>
    <t>中规模(0.5,0.5)</t>
  </si>
  <si>
    <t>大规模</t>
  </si>
  <si>
    <t>权重系数组合</t>
  </si>
  <si>
    <t>成本</t>
  </si>
  <si>
    <t>风险</t>
  </si>
  <si>
    <t>情景</t>
  </si>
  <si>
    <t>成本/元</t>
  </si>
  <si>
    <t>Gap值</t>
  </si>
  <si>
    <t>求解时间/s</t>
  </si>
  <si>
    <t>优化结果</t>
  </si>
  <si>
    <t>变化率</t>
  </si>
  <si>
    <t>基础测试算例</t>
  </si>
  <si>
    <t>—</t>
  </si>
  <si>
    <t>情景1</t>
  </si>
  <si>
    <t>情景2</t>
  </si>
  <si>
    <t>情景3</t>
  </si>
  <si>
    <t>选址，中转量</t>
  </si>
  <si>
    <t>路线，运量</t>
  </si>
  <si>
    <t>爆发期</t>
  </si>
  <si>
    <t>(T1,14),(T2,11.08),(T5,12.32)</t>
  </si>
  <si>
    <t>(G1-T1,0.249)(G1-T2,0.609)(G1-T5,0.140)(G2-T1,0.12)(G2-T2,0.24)(G2-T5,0.14)(G3-T1,1.74)
(G3-T2,0.02)(G3-T5,0.24)(G4-T1,0.035)(G4-T2,0.567)(G4-T5,0.098)(G5-T1,0.162)(G5-T2,0.306)
(G5-T5,0.132)(G6-T1,0)(G6-T2,0)(G6-T5,1)(G7-T5,1.6)(G8-T1,1.36)(G8-T2,0.1)(G8-T5,0.54)
(G9-T5,0.2)(G10-T1,0.35)(G10-T2,0.09) (G10-T5,0.56)(G11-T1,0.32)(G11-T2,1.22)(G11-T5,0.46)
(G12-T1,0.144)(G12-T2,0.348)(G12-T5,0.108)(G13-T1,0.496)(G13-T2,0.144)(G13-T5,0.16)
(G14-T1,0.419)(G14-T2,0.784)(G14-T5,0.196)(G15-T1,0.228)(G15-T2,0.336)(G15-T5,0.636)
(G16-T1,0.328)(G16-T2,0.296)(G16-T5,0.176)(G17-T1,0.736)(G17-T2,0.464)(G17-T5,0.4)
(G18-T1,0.876)(G18-T2,0.12)(G18-T5,0.204)(G19-T1,0.24)(G19-T2,0.26)(G19-T5,0.5)
(G20-T1,0.424)(G20-T2,0.216)(G20-T5,0.16)(G21-T1,0.552) (G21-T2,0.096)(G21-T3,0)
(G21-T4,0)(G21-T5,0.552)(G22-T1,0.402)(G22-T2,0.054)(G22-T3,0)(G22-T4,0)(G22-T5,0.144)
(G23-T1,1.072)(G23-T2,0.288)(G23-T3,0)(G23-T4,0)(G23-T5,0.24)(G24-T1,0.384)(G24-T2,0.224)
(G24-T3,0)(G24-T4,0)(G24-T5,0.192)(G25-T1,0.288)(G25-T2,0.174)(G25-T3,0)(G25-T4,0)
(G25-T5,0.138)(G26-T1,0.62)(G26-T2,1.14)(G26-T3,0)(G26-T4,0)(G26-T5,0.24)
(G27-T1,0)(G27-T2,0)(G27-T3,0)(G27-T4,0)(G27-T5,0.6)(G28-T1,1.24)(G28-T2,0.34)(G28-T3,0)
(G28-T4,0)(G28-T5,0.42)(G29-T1,0.06) (G29-T2,0.354)(G29-T3,0)(G29-T4,0)(G29-T5,0.186)
(G30-T1,0.02)(G30-T2,0.003)(G30-T3,0)(G30-T4,0)(G30-T5,0.976)
(G31-T1,0.56)(G31-T2,0.704)(G31-T3,0) (G31-T4,0)(G31-T5,0.336)
(G32-T1,0.294)(G32-T2,0.854)(G32-T3,0)(G32-T4,0)(G32-T5,0.252)
(G33-T1,0.28) (G33-T2,0.728)(G33-T3,0)(G33-T4,0)(G33-T5,0.392)</t>
  </si>
  <si>
    <t>平稳期</t>
  </si>
  <si>
    <t>(T1,14),(T2,14),(T5,9.4)</t>
  </si>
  <si>
    <t>(G1-T2,1)(G2-T2,0.5)(G4-T2,0.7)(G5-T2,0.6)(G6-T5,1)(G7-T5,1.6)(G8-T1,1.4)(G8-T5,0.6)
(G9-T5,0.2)(G10-T5,1)(G11-T2,2)(G12-T2,0.6)(G13-T1,0.8)(G14-T2,1.4)(G15-T5,1.2)
(G16-T1,0.6)(G16-T2,0.2)(G17-T1,1.6)(G18-T1,1.2)(G19-T5,1)(G20-T1,0.8)(G21-T5,1.20)
(G22-T1,0.6)(G23-T1,1.6)(G24-T1,0.8)(G25-T1,0.6)(G27-T5,0.6)(G28-T1,2)(G29-T2,0.6)
(G30-T5,1)(G31-T2,1.6)(G32-T2,1.4)(G33-T2,1.4)</t>
  </si>
  <si>
    <t>衰退期</t>
  </si>
  <si>
    <t>(G1-T2,1)(G2-T2,0.5)(G3-T1,2)(G4-T2,0.70)(G5-T2,0.6)(G6-T5,1)(G7-T5,1.6)(G8-T1,1.2)
(G8-T5,0.8)(G9-T1,0.2)(G10-T5,1)(G11-T2,2)(G12-T2,0.6)(G13-T1,0.8)(G14-T2,1.4)   
(G15-T5,1.2)(G16-T1,0.6)(G16-T2,0.2)(G17-T1,1.6)(G18-T1,1.2)(G19-T5,1)
(G20-T1,0.8)(G21-T5,1.2)(G22-T1,0.6)(G23-T1,1.6)(G24-T1,0.8)(G25-T1,0.6)    
(G26-T2,2)(G27-T5,0.6)(G28-T1,2)(G29-T2,0.6)(G30-T5,1)(G31-T2,1.6)(G32-T2,1.4)(G33-T2,1.4)</t>
  </si>
  <si>
    <t>总风险/人·kg</t>
  </si>
  <si>
    <t>运输风险/人·kg</t>
  </si>
  <si>
    <t>选址风险/人·kg</t>
  </si>
  <si>
    <t>总成本/元</t>
  </si>
  <si>
    <t>运输成本/元</t>
  </si>
  <si>
    <t>选址成本/元</t>
  </si>
  <si>
    <t>T2,T5</t>
  </si>
  <si>
    <t>增大计算规模</t>
  </si>
  <si>
    <t>传统风险模型</t>
  </si>
  <si>
    <t>去情景鲁棒</t>
  </si>
  <si>
    <r>
      <rPr>
        <sz val="9"/>
        <color rgb="FF0070C0"/>
        <rFont val="等线"/>
        <charset val="134"/>
      </rPr>
      <t>运输风险</t>
    </r>
    <r>
      <rPr>
        <sz val="9"/>
        <color rgb="FF0070C0"/>
        <rFont val="等线"/>
        <charset val="134"/>
      </rPr>
      <t>/</t>
    </r>
    <r>
      <rPr>
        <sz val="9"/>
        <color rgb="FF0070C0"/>
        <rFont val="等线"/>
        <charset val="134"/>
      </rPr>
      <t>人·</t>
    </r>
    <r>
      <rPr>
        <sz val="9"/>
        <color rgb="FF0070C0"/>
        <rFont val="等线"/>
        <charset val="134"/>
      </rPr>
      <t>kg</t>
    </r>
  </si>
  <si>
    <r>
      <rPr>
        <sz val="9"/>
        <color rgb="FF0070C0"/>
        <rFont val="等线"/>
        <charset val="134"/>
      </rPr>
      <t>选址风险</t>
    </r>
    <r>
      <rPr>
        <sz val="9"/>
        <color rgb="FF0070C0"/>
        <rFont val="等线"/>
        <charset val="134"/>
      </rPr>
      <t>/</t>
    </r>
    <r>
      <rPr>
        <sz val="9"/>
        <color rgb="FF0070C0"/>
        <rFont val="等线"/>
        <charset val="134"/>
      </rPr>
      <t>人·</t>
    </r>
    <r>
      <rPr>
        <sz val="9"/>
        <color rgb="FF0070C0"/>
        <rFont val="等线"/>
        <charset val="134"/>
      </rPr>
      <t>kg</t>
    </r>
  </si>
  <si>
    <r>
      <rPr>
        <sz val="9"/>
        <color rgb="FF0070C0"/>
        <rFont val="等线"/>
        <charset val="134"/>
      </rPr>
      <t>运输成本</t>
    </r>
    <r>
      <rPr>
        <sz val="9"/>
        <color rgb="FF0070C0"/>
        <rFont val="等线"/>
        <charset val="134"/>
      </rPr>
      <t>/</t>
    </r>
    <r>
      <rPr>
        <sz val="9"/>
        <color rgb="FF0070C0"/>
        <rFont val="等线"/>
        <charset val="134"/>
      </rPr>
      <t>元</t>
    </r>
  </si>
  <si>
    <r>
      <rPr>
        <sz val="9"/>
        <color rgb="FF0070C0"/>
        <rFont val="等线"/>
        <charset val="134"/>
      </rPr>
      <t>选址成本</t>
    </r>
    <r>
      <rPr>
        <sz val="9"/>
        <color rgb="FF0070C0"/>
        <rFont val="等线"/>
        <charset val="134"/>
      </rPr>
      <t>/</t>
    </r>
    <r>
      <rPr>
        <sz val="9"/>
        <color rgb="FF0070C0"/>
        <rFont val="等线"/>
        <charset val="134"/>
      </rPr>
      <t>元</t>
    </r>
  </si>
  <si>
    <r>
      <rPr>
        <sz val="9"/>
        <color rgb="FF0070C0"/>
        <rFont val="等线"/>
        <charset val="134"/>
      </rPr>
      <t>1.876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</si>
  <si>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等线"/>
        <charset val="134"/>
      </rPr>
      <t>5.732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</si>
  <si>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等线"/>
        <charset val="134"/>
      </rPr>
      <t>1.945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4</t>
    </r>
  </si>
  <si>
    <r>
      <rPr>
        <sz val="9"/>
        <color rgb="FF0070C0"/>
        <rFont val="等线"/>
        <charset val="134"/>
      </rPr>
      <t>3.358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5</t>
    </r>
  </si>
  <si>
    <r>
      <rPr>
        <sz val="9"/>
        <color rgb="FF0070C0"/>
        <rFont val="等线"/>
        <charset val="134"/>
      </rPr>
      <t>情景</t>
    </r>
    <r>
      <rPr>
        <sz val="9"/>
        <color rgb="FF0070C0"/>
        <rFont val="等线"/>
        <charset val="134"/>
      </rPr>
      <t>1</t>
    </r>
  </si>
  <si>
    <r>
      <rPr>
        <sz val="9"/>
        <color rgb="FF0070C0"/>
        <rFont val="等线"/>
        <charset val="134"/>
      </rPr>
      <t>2.050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</si>
  <si>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等线"/>
        <charset val="134"/>
      </rPr>
      <t>4.203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</si>
  <si>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等线"/>
        <charset val="134"/>
      </rPr>
      <t>2.038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4</t>
    </r>
  </si>
  <si>
    <r>
      <rPr>
        <sz val="9"/>
        <color rgb="FF0070C0"/>
        <rFont val="等线"/>
        <charset val="134"/>
      </rPr>
      <t>2.249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5</t>
    </r>
  </si>
  <si>
    <r>
      <rPr>
        <sz val="9"/>
        <color rgb="FF0070C0"/>
        <rFont val="等线"/>
        <charset val="134"/>
      </rPr>
      <t>情景</t>
    </r>
    <r>
      <rPr>
        <sz val="9"/>
        <color rgb="FF0070C0"/>
        <rFont val="等线"/>
        <charset val="134"/>
      </rPr>
      <t>2</t>
    </r>
  </si>
  <si>
    <r>
      <rPr>
        <sz val="9"/>
        <color rgb="FF0070C0"/>
        <rFont val="等线"/>
        <charset val="134"/>
      </rPr>
      <t>1.867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</si>
  <si>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等线"/>
        <charset val="134"/>
      </rPr>
      <t>6.154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</si>
  <si>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等线"/>
        <charset val="134"/>
      </rPr>
      <t>1.946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4</t>
    </r>
  </si>
  <si>
    <r>
      <rPr>
        <sz val="9"/>
        <color rgb="FF0070C0"/>
        <rFont val="等线"/>
        <charset val="134"/>
      </rPr>
      <t>6.940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5</t>
    </r>
  </si>
  <si>
    <r>
      <rPr>
        <sz val="9"/>
        <color rgb="FF0070C0"/>
        <rFont val="等线"/>
        <charset val="134"/>
      </rPr>
      <t>情景</t>
    </r>
    <r>
      <rPr>
        <sz val="9"/>
        <color rgb="FF0070C0"/>
        <rFont val="等线"/>
        <charset val="134"/>
      </rPr>
      <t>3</t>
    </r>
  </si>
  <si>
    <r>
      <rPr>
        <sz val="9"/>
        <color rgb="FF0070C0"/>
        <rFont val="等线"/>
        <charset val="134"/>
      </rPr>
      <t>1.884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</si>
  <si>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等线"/>
        <charset val="134"/>
      </rPr>
      <t>5.695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</si>
  <si>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等线"/>
        <charset val="134"/>
      </rPr>
      <t>1.943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4</t>
    </r>
  </si>
  <si>
    <r>
      <rPr>
        <sz val="9"/>
        <color rgb="FF0070C0"/>
        <rFont val="等线"/>
        <charset val="134"/>
      </rPr>
      <t>1.87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</si>
  <si>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等线"/>
        <charset val="134"/>
      </rPr>
      <t>5.73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</si>
  <si>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等线"/>
        <charset val="134"/>
      </rPr>
      <t>1.94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4</t>
    </r>
  </si>
  <si>
    <r>
      <rPr>
        <sz val="9"/>
        <color rgb="FF0070C0"/>
        <rFont val="等线"/>
        <charset val="134"/>
      </rPr>
      <t>3.35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5</t>
    </r>
  </si>
  <si>
    <r>
      <rPr>
        <sz val="9"/>
        <color rgb="FF0070C0"/>
        <rFont val="等线"/>
        <charset val="134"/>
      </rPr>
      <t>5.96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</si>
  <si>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等线"/>
        <charset val="134"/>
      </rPr>
      <t>1.20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3</t>
    </r>
  </si>
  <si>
    <r>
      <rPr>
        <sz val="9"/>
        <color rgb="FF0070C0"/>
        <rFont val="等线"/>
        <charset val="134"/>
      </rPr>
      <t>2.07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5</t>
    </r>
  </si>
  <si>
    <r>
      <rPr>
        <sz val="9"/>
        <color rgb="FF0070C0"/>
        <rFont val="等线"/>
        <charset val="134"/>
      </rPr>
      <t>1.07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6</t>
    </r>
  </si>
  <si>
    <r>
      <rPr>
        <sz val="9"/>
        <color rgb="FF0070C0"/>
        <rFont val="等线"/>
        <charset val="134"/>
      </rPr>
      <t>1.43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</si>
  <si>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等线"/>
        <charset val="134"/>
      </rPr>
      <t>7.18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</si>
  <si>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等线"/>
        <charset val="134"/>
      </rPr>
      <t>1.88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4</t>
    </r>
  </si>
  <si>
    <r>
      <rPr>
        <sz val="9"/>
        <color rgb="FF0070C0"/>
        <rFont val="等线"/>
        <charset val="134"/>
      </rPr>
      <t>3.36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5</t>
    </r>
  </si>
  <si>
    <r>
      <rPr>
        <sz val="9"/>
        <color rgb="FF0070C0"/>
        <rFont val="等线"/>
        <charset val="134"/>
      </rPr>
      <t>1.56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</si>
  <si>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等线"/>
        <charset val="134"/>
      </rPr>
      <t>4.78</t>
    </r>
    <r>
      <rPr>
        <sz val="9"/>
        <color rgb="FF0070C0"/>
        <rFont val="Times New Roman"/>
        <charset val="134"/>
      </rPr>
      <t>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</si>
  <si>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等线"/>
        <charset val="134"/>
      </rPr>
      <t>成本总值</t>
    </r>
    <r>
      <rPr>
        <sz val="9"/>
        <color rgb="FF0070C0"/>
        <rFont val="等线"/>
        <charset val="134"/>
      </rPr>
      <t>(</t>
    </r>
    <r>
      <rPr>
        <sz val="9"/>
        <color rgb="FF0070C0"/>
        <rFont val="等线"/>
        <charset val="134"/>
      </rPr>
      <t>元</t>
    </r>
    <r>
      <rPr>
        <sz val="9"/>
        <color rgb="FF0070C0"/>
        <rFont val="等线"/>
        <charset val="134"/>
      </rPr>
      <t>)</t>
    </r>
  </si>
  <si>
    <r>
      <rPr>
        <sz val="9"/>
        <color rgb="FF0070C0"/>
        <rFont val="等线"/>
        <charset val="134"/>
      </rPr>
      <t>风险总值</t>
    </r>
    <r>
      <rPr>
        <sz val="9"/>
        <color rgb="FF0070C0"/>
        <rFont val="等线"/>
        <charset val="134"/>
      </rPr>
      <t>(</t>
    </r>
    <r>
      <rPr>
        <sz val="9"/>
        <color rgb="FF0070C0"/>
        <rFont val="等线"/>
        <charset val="134"/>
      </rPr>
      <t>人·</t>
    </r>
    <r>
      <rPr>
        <sz val="9"/>
        <color rgb="FF0070C0"/>
        <rFont val="等线"/>
        <charset val="134"/>
      </rPr>
      <t>kg)</t>
    </r>
  </si>
  <si>
    <r>
      <rPr>
        <sz val="9"/>
        <color rgb="FF0070C0"/>
        <rFont val="等线"/>
        <charset val="134"/>
      </rPr>
      <t>求解时间</t>
    </r>
    <r>
      <rPr>
        <sz val="9"/>
        <color rgb="FF0070C0"/>
        <rFont val="等线"/>
        <charset val="134"/>
      </rPr>
      <t>(s)</t>
    </r>
  </si>
  <si>
    <r>
      <rPr>
        <sz val="9"/>
        <color rgb="FF0070C0"/>
        <rFont val="等线"/>
        <charset val="134"/>
      </rPr>
      <t>最小包络</t>
    </r>
    <r>
      <rPr>
        <sz val="9"/>
        <color rgb="FF0070C0"/>
        <rFont val="等线"/>
        <charset val="134"/>
      </rPr>
      <t>-</t>
    </r>
    <r>
      <rPr>
        <sz val="9"/>
        <color rgb="FF0070C0"/>
        <rFont val="等线"/>
        <charset val="134"/>
      </rPr>
      <t>遗传算法</t>
    </r>
  </si>
  <si>
    <t>目标</t>
  </si>
  <si>
    <t>总成本</t>
  </si>
  <si>
    <t>选址建设成本</t>
  </si>
  <si>
    <t>运输成本</t>
  </si>
  <si>
    <t>单成本</t>
  </si>
  <si>
    <t>20407.56(83.47%)</t>
  </si>
  <si>
    <t>4040.22(16.53%)</t>
  </si>
  <si>
    <t>总风险</t>
  </si>
  <si>
    <t>选址及节点风险</t>
  </si>
  <si>
    <t>运输风险</t>
  </si>
  <si>
    <t>单风险</t>
  </si>
  <si>
    <t>11471.12(0.07%)</t>
  </si>
  <si>
    <t>15498733.42(99.93%)</t>
  </si>
  <si>
    <t>1.43×108</t>
  </si>
  <si>
    <t>7.18×102</t>
  </si>
  <si>
    <t>1.88×104</t>
  </si>
  <si>
    <t>感知鲁棒模型</t>
  </si>
  <si>
    <t>1.87×108</t>
  </si>
  <si>
    <t>5.73×102</t>
  </si>
  <si>
    <t>1.94×104</t>
  </si>
  <si>
    <r>
      <t>总风险</t>
    </r>
    <r>
      <rPr>
        <sz val="9"/>
        <color rgb="FF0070C0"/>
        <rFont val="Times New Roman"/>
        <charset val="134"/>
      </rPr>
      <t>/</t>
    </r>
    <r>
      <rPr>
        <sz val="9"/>
        <color rgb="FF0070C0"/>
        <rFont val="宋体"/>
        <charset val="134"/>
      </rPr>
      <t>人</t>
    </r>
    <r>
      <rPr>
        <sz val="9"/>
        <color rgb="FF0070C0"/>
        <rFont val="Times New Roman"/>
        <charset val="134"/>
      </rPr>
      <t>·kg</t>
    </r>
  </si>
  <si>
    <r>
      <rPr>
        <sz val="9"/>
        <color rgb="FF0070C0"/>
        <rFont val="宋体"/>
        <charset val="134"/>
      </rPr>
      <t>总成本</t>
    </r>
    <r>
      <rPr>
        <sz val="9"/>
        <color rgb="FF0070C0"/>
        <rFont val="Times New Roman"/>
        <charset val="134"/>
      </rPr>
      <t>/</t>
    </r>
    <r>
      <rPr>
        <sz val="9"/>
        <color rgb="FF0070C0"/>
        <rFont val="宋体"/>
        <charset val="134"/>
      </rPr>
      <t>元</t>
    </r>
  </si>
  <si>
    <t>爆发期平均路线数量/条</t>
  </si>
  <si>
    <t>爆发期均摊风险(人·kg/路)</t>
  </si>
  <si>
    <t>爆发期均摊成本(元/路)</t>
  </si>
  <si>
    <t>去情景鲁棒模型</t>
  </si>
  <si>
    <t>立体式风险模型</t>
  </si>
  <si>
    <t>爆发期风险</t>
  </si>
  <si>
    <r>
      <rPr>
        <sz val="9"/>
        <color rgb="FF0070C0"/>
        <rFont val="宋体"/>
        <charset val="134"/>
      </rPr>
      <t>运输风险</t>
    </r>
    <r>
      <rPr>
        <sz val="9"/>
        <color rgb="FF0070C0"/>
        <rFont val="Times New Roman"/>
        <charset val="134"/>
      </rPr>
      <t>/</t>
    </r>
    <r>
      <rPr>
        <sz val="9"/>
        <color rgb="FF0070C0"/>
        <rFont val="宋体"/>
        <charset val="134"/>
      </rPr>
      <t>人</t>
    </r>
    <r>
      <rPr>
        <sz val="9"/>
        <color rgb="FF0070C0"/>
        <rFont val="Times New Roman"/>
        <charset val="134"/>
      </rPr>
      <t>·kg</t>
    </r>
  </si>
  <si>
    <r>
      <rPr>
        <sz val="9"/>
        <color rgb="FF0070C0"/>
        <rFont val="宋体"/>
        <charset val="134"/>
      </rPr>
      <t>选址风险</t>
    </r>
    <r>
      <rPr>
        <sz val="9"/>
        <color rgb="FF0070C0"/>
        <rFont val="Times New Roman"/>
        <charset val="134"/>
      </rPr>
      <t>/</t>
    </r>
    <r>
      <rPr>
        <sz val="9"/>
        <color rgb="FF0070C0"/>
        <rFont val="宋体"/>
        <charset val="134"/>
      </rPr>
      <t>人</t>
    </r>
    <r>
      <rPr>
        <sz val="9"/>
        <color rgb="FF0070C0"/>
        <rFont val="Times New Roman"/>
        <charset val="134"/>
      </rPr>
      <t>·kg</t>
    </r>
  </si>
  <si>
    <r>
      <rPr>
        <sz val="9"/>
        <color rgb="FF0070C0"/>
        <rFont val="宋体"/>
        <charset val="134"/>
      </rPr>
      <t>运输成本</t>
    </r>
    <r>
      <rPr>
        <sz val="9"/>
        <color rgb="FF0070C0"/>
        <rFont val="Times New Roman"/>
        <charset val="134"/>
      </rPr>
      <t>/</t>
    </r>
    <r>
      <rPr>
        <sz val="9"/>
        <color rgb="FF0070C0"/>
        <rFont val="宋体"/>
        <charset val="134"/>
      </rPr>
      <t>元</t>
    </r>
  </si>
  <si>
    <r>
      <rPr>
        <sz val="9"/>
        <color rgb="FF0070C0"/>
        <rFont val="宋体"/>
        <charset val="134"/>
      </rPr>
      <t>选址成本</t>
    </r>
    <r>
      <rPr>
        <sz val="9"/>
        <color rgb="FF0070C0"/>
        <rFont val="Times New Roman"/>
        <charset val="134"/>
      </rPr>
      <t>/</t>
    </r>
    <r>
      <rPr>
        <sz val="9"/>
        <color rgb="FF0070C0"/>
        <rFont val="宋体"/>
        <charset val="134"/>
      </rPr>
      <t>元</t>
    </r>
  </si>
  <si>
    <r>
      <rPr>
        <sz val="9"/>
        <color rgb="FF0070C0"/>
        <rFont val="Times New Roman"/>
        <charset val="134"/>
      </rPr>
      <t>1.87×10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</si>
  <si>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Times New Roman"/>
        <charset val="134"/>
      </rPr>
      <t>5.73×10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</si>
  <si>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Times New Roman"/>
        <charset val="134"/>
      </rPr>
      <t>1.94×10</t>
    </r>
    <r>
      <rPr>
        <vertAlign val="superscript"/>
        <sz val="9"/>
        <color rgb="FF0070C0"/>
        <rFont val="Times New Roman"/>
        <charset val="134"/>
      </rPr>
      <t>4</t>
    </r>
  </si>
  <si>
    <r>
      <rPr>
        <sz val="9"/>
        <color rgb="FF0070C0"/>
        <rFont val="Times New Roman"/>
        <charset val="134"/>
      </rPr>
      <t>3.35×10</t>
    </r>
    <r>
      <rPr>
        <vertAlign val="superscript"/>
        <sz val="9"/>
        <color rgb="FF0070C0"/>
        <rFont val="Times New Roman"/>
        <charset val="134"/>
      </rPr>
      <t>5</t>
    </r>
  </si>
  <si>
    <r>
      <rPr>
        <sz val="9"/>
        <color rgb="FF0070C0"/>
        <rFont val="Times New Roman"/>
        <charset val="134"/>
      </rPr>
      <t>5.96×10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</si>
  <si>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Times New Roman"/>
        <charset val="134"/>
      </rPr>
      <t>1.20×10</t>
    </r>
    <r>
      <rPr>
        <vertAlign val="superscript"/>
        <sz val="9"/>
        <color rgb="FF0070C0"/>
        <rFont val="Times New Roman"/>
        <charset val="134"/>
      </rPr>
      <t>3</t>
    </r>
  </si>
  <si>
    <r>
      <rPr>
        <sz val="9"/>
        <color rgb="FF0070C0"/>
        <rFont val="Times New Roman"/>
        <charset val="134"/>
      </rPr>
      <t>2.07×10</t>
    </r>
    <r>
      <rPr>
        <vertAlign val="superscript"/>
        <sz val="9"/>
        <color rgb="FF0070C0"/>
        <rFont val="Times New Roman"/>
        <charset val="134"/>
      </rPr>
      <t>5</t>
    </r>
  </si>
  <si>
    <r>
      <rPr>
        <sz val="9"/>
        <color rgb="FF0070C0"/>
        <rFont val="Times New Roman"/>
        <charset val="134"/>
      </rPr>
      <t>1.07×10</t>
    </r>
    <r>
      <rPr>
        <vertAlign val="superscript"/>
        <sz val="9"/>
        <color rgb="FF0070C0"/>
        <rFont val="Times New Roman"/>
        <charset val="134"/>
      </rPr>
      <t>6</t>
    </r>
  </si>
  <si>
    <r>
      <rPr>
        <sz val="9"/>
        <color rgb="FF0070C0"/>
        <rFont val="Times New Roman"/>
        <charset val="134"/>
      </rPr>
      <t>1.43×10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</si>
  <si>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Times New Roman"/>
        <charset val="134"/>
      </rPr>
      <t>7.18×10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</si>
  <si>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Times New Roman"/>
        <charset val="134"/>
      </rPr>
      <t>1.14×10</t>
    </r>
    <r>
      <rPr>
        <vertAlign val="superscript"/>
        <sz val="9"/>
        <color rgb="FF0070C0"/>
        <rFont val="Times New Roman"/>
        <charset val="134"/>
      </rPr>
      <t>4</t>
    </r>
  </si>
  <si>
    <r>
      <rPr>
        <sz val="9"/>
        <color rgb="FF0070C0"/>
        <rFont val="Times New Roman"/>
        <charset val="134"/>
      </rPr>
      <t>1.56×10</t>
    </r>
    <r>
      <rPr>
        <vertAlign val="superscript"/>
        <sz val="9"/>
        <color rgb="FF0070C0"/>
        <rFont val="Times New Roman"/>
        <charset val="134"/>
      </rPr>
      <t>8</t>
    </r>
  </si>
  <si>
    <r>
      <rPr>
        <sz val="9"/>
        <color rgb="FF0070C0"/>
        <rFont val="Times New Roman"/>
        <charset val="134"/>
      </rPr>
      <t>4.78×10</t>
    </r>
    <r>
      <rPr>
        <vertAlign val="superscript"/>
        <sz val="9"/>
        <color rgb="FF0070C0"/>
        <rFont val="Times New Roman"/>
        <charset val="134"/>
      </rPr>
      <t>2</t>
    </r>
  </si>
  <si>
    <r>
      <rPr>
        <sz val="9"/>
        <color rgb="FF0070C0"/>
        <rFont val="Times New Roman"/>
        <charset val="134"/>
      </rPr>
      <t>1.56×10</t>
    </r>
    <r>
      <rPr>
        <vertAlign val="superscript"/>
        <sz val="9"/>
        <color rgb="FF0070C0"/>
        <rFont val="Times New Roman"/>
        <charset val="134"/>
      </rPr>
      <t>4</t>
    </r>
  </si>
  <si>
    <t>平均值</t>
  </si>
  <si>
    <r>
      <rPr>
        <sz val="9"/>
        <color rgb="FF0070C0"/>
        <rFont val="宋体"/>
        <charset val="134"/>
      </rPr>
      <t>求解时间</t>
    </r>
    <r>
      <rPr>
        <sz val="9"/>
        <color rgb="FF0070C0"/>
        <rFont val="Times New Roman"/>
        <charset val="134"/>
      </rPr>
      <t>(s)</t>
    </r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</si>
</sst>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  <numFmt numFmtId="43" formatCode="_ * #,##0.00_ ;_ * \-#,##0.00_ ;_ * &quot;-&quot;??_ ;_ @_ "/>
    <numFmt numFmtId="177" formatCode="0.000E+00"/>
    <numFmt numFmtId="178" formatCode="0.0000000_);[Red]\(0.0000000\)"/>
    <numFmt numFmtId="179" formatCode="0.00_);[Red]\(0.00\)"/>
    <numFmt numFmtId="180" formatCode="0_ "/>
    <numFmt numFmtId="181" formatCode="0.0000_ "/>
    <numFmt numFmtId="182" formatCode="0.000_ "/>
    <numFmt numFmtId="183" formatCode="0.0000000_ "/>
  </numFmts>
  <fonts count="30">
    <font>
      <sz val="11"/>
      <color theme="1"/>
      <name val="等线"/>
      <charset val="134"/>
      <scheme val="minor"/>
    </font>
    <font>
      <sz val="9"/>
      <color rgb="FF0070C0"/>
      <name val="宋体"/>
      <charset val="134"/>
    </font>
    <font>
      <sz val="9"/>
      <color rgb="FF0070C0"/>
      <name val="Times New Roman"/>
      <charset val="134"/>
    </font>
    <font>
      <sz val="10"/>
      <color theme="1"/>
      <name val="Times New Roman"/>
      <charset val="134"/>
    </font>
    <font>
      <sz val="12"/>
      <color theme="1"/>
      <name val="Times New Roman"/>
      <charset val="134"/>
    </font>
    <font>
      <sz val="10.5"/>
      <color rgb="FF000000"/>
      <name val="宋体"/>
      <charset val="134"/>
    </font>
    <font>
      <sz val="10.5"/>
      <color rgb="FF000000"/>
      <name val="Times New Roman"/>
      <charset val="134"/>
    </font>
    <font>
      <sz val="9"/>
      <color rgb="FF0070C0"/>
      <name val="等线"/>
      <charset val="134"/>
    </font>
    <font>
      <sz val="11"/>
      <color rgb="FF0070C0"/>
      <name val="Times New Roman"/>
      <charset val="134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vertAlign val="superscript"/>
      <sz val="9"/>
      <color rgb="FF0070C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21" borderId="11" applyNumberFormat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27" fillId="22" borderId="12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1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9" fontId="2" fillId="0" borderId="3" xfId="0" applyNumberFormat="1" applyFont="1" applyBorder="1" applyAlignment="1">
      <alignment horizontal="center" wrapText="1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/>
    <xf numFmtId="11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Font="1" applyFill="1" applyAlignment="1"/>
    <xf numFmtId="11" fontId="4" fillId="0" borderId="0" xfId="0" applyNumberFormat="1" applyFont="1"/>
    <xf numFmtId="11" fontId="0" fillId="0" borderId="0" xfId="0" applyNumberFormat="1" applyFont="1" applyFill="1" applyAlignment="1"/>
    <xf numFmtId="178" fontId="0" fillId="0" borderId="0" xfId="0" applyNumberFormat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1" fontId="7" fillId="0" borderId="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0" fontId="7" fillId="0" borderId="3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8" fillId="0" borderId="4" xfId="0" applyNumberFormat="1" applyFont="1" applyBorder="1" applyAlignment="1">
      <alignment horizontal="center"/>
    </xf>
    <xf numFmtId="0" fontId="4" fillId="0" borderId="0" xfId="0" applyFont="1"/>
    <xf numFmtId="11" fontId="8" fillId="0" borderId="3" xfId="0" applyNumberFormat="1" applyFont="1" applyBorder="1" applyAlignment="1">
      <alignment horizontal="center"/>
    </xf>
    <xf numFmtId="179" fontId="0" fillId="0" borderId="0" xfId="0" applyNumberFormat="1"/>
    <xf numFmtId="176" fontId="0" fillId="0" borderId="0" xfId="0" applyNumberFormat="1"/>
    <xf numFmtId="0" fontId="2" fillId="0" borderId="4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/>
    <xf numFmtId="182" fontId="0" fillId="0" borderId="0" xfId="0" applyNumberFormat="1"/>
    <xf numFmtId="0" fontId="0" fillId="0" borderId="5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83" fontId="0" fillId="0" borderId="5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3.xml"/><Relationship Id="rId18" Type="http://schemas.openxmlformats.org/officeDocument/2006/relationships/customXml" Target="../customXml/item2.xml"/><Relationship Id="rId17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zoomScale="115" zoomScaleNormal="115" workbookViewId="0">
      <selection activeCell="A1" sqref="$A1:$XFD1048576"/>
    </sheetView>
  </sheetViews>
  <sheetFormatPr defaultColWidth="8.89166666666667" defaultRowHeight="14"/>
  <cols>
    <col min="6" max="6" width="13" customWidth="1"/>
    <col min="7" max="7" width="13.6666666666667" customWidth="1"/>
    <col min="8" max="8" width="17.3333333333333" customWidth="1"/>
    <col min="12" max="12" width="12.6333333333333"/>
    <col min="18" max="18" width="12.8916666666667"/>
  </cols>
  <sheetData>
    <row r="1" spans="1:18">
      <c r="A1" s="30"/>
      <c r="B1" s="30" t="s">
        <v>0</v>
      </c>
      <c r="C1" s="30" t="s">
        <v>1</v>
      </c>
      <c r="D1" s="25"/>
      <c r="E1" s="25"/>
      <c r="F1" s="25" t="s">
        <v>2</v>
      </c>
      <c r="G1" s="25" t="s">
        <v>3</v>
      </c>
      <c r="H1" s="25" t="s">
        <v>4</v>
      </c>
      <c r="I1" s="25"/>
      <c r="J1" s="25"/>
      <c r="K1" s="25"/>
      <c r="L1" s="25">
        <f>D35*H2</f>
        <v>37.4</v>
      </c>
      <c r="M1" s="25"/>
      <c r="N1" s="25"/>
      <c r="O1" s="25">
        <f>D35*F2</f>
        <v>56.1</v>
      </c>
      <c r="P1" s="25"/>
      <c r="Q1" s="25"/>
      <c r="R1" s="25">
        <f>D35*G2+O1*0.9</f>
        <v>143.99</v>
      </c>
    </row>
    <row r="2" spans="1:18">
      <c r="A2" s="30" t="s">
        <v>5</v>
      </c>
      <c r="B2" s="47">
        <v>2.5</v>
      </c>
      <c r="C2" s="47">
        <v>2.5</v>
      </c>
      <c r="D2" s="30">
        <f t="shared" ref="D2:D31" si="0">SUM(B2:C2)</f>
        <v>5</v>
      </c>
      <c r="E2" s="25"/>
      <c r="F2" s="25">
        <v>0.3</v>
      </c>
      <c r="G2" s="25">
        <v>0.5</v>
      </c>
      <c r="H2" s="25">
        <v>0.2</v>
      </c>
      <c r="I2" s="25"/>
      <c r="J2" s="25"/>
      <c r="K2" s="30" t="s">
        <v>6</v>
      </c>
      <c r="L2" s="58">
        <v>14</v>
      </c>
      <c r="M2" s="30"/>
      <c r="N2" s="30" t="s">
        <v>7</v>
      </c>
      <c r="O2" s="58">
        <v>15</v>
      </c>
      <c r="P2" s="30"/>
      <c r="Q2" s="30" t="s">
        <v>8</v>
      </c>
      <c r="R2" s="58">
        <v>35</v>
      </c>
    </row>
    <row r="3" spans="1:18">
      <c r="A3" s="30" t="s">
        <v>9</v>
      </c>
      <c r="B3" s="47">
        <v>1.25</v>
      </c>
      <c r="C3" s="47">
        <v>1.25</v>
      </c>
      <c r="D3" s="30">
        <f t="shared" si="0"/>
        <v>2.5</v>
      </c>
      <c r="E3" s="25"/>
      <c r="F3" s="25"/>
      <c r="G3" s="25"/>
      <c r="H3" s="25"/>
      <c r="I3" s="25"/>
      <c r="J3" s="25"/>
      <c r="K3" s="30" t="s">
        <v>10</v>
      </c>
      <c r="L3" s="58">
        <v>14</v>
      </c>
      <c r="M3" s="30"/>
      <c r="N3" s="30" t="s">
        <v>11</v>
      </c>
      <c r="O3" s="58">
        <v>15</v>
      </c>
      <c r="P3" s="30"/>
      <c r="Q3" s="30" t="s">
        <v>12</v>
      </c>
      <c r="R3" s="58">
        <v>35</v>
      </c>
    </row>
    <row r="4" spans="1:18">
      <c r="A4" s="30" t="s">
        <v>13</v>
      </c>
      <c r="B4" s="47">
        <v>5</v>
      </c>
      <c r="C4" s="47">
        <v>5</v>
      </c>
      <c r="D4" s="30">
        <f t="shared" si="0"/>
        <v>10</v>
      </c>
      <c r="E4" s="25"/>
      <c r="F4" s="25"/>
      <c r="G4" s="25"/>
      <c r="H4" s="25"/>
      <c r="I4" s="25"/>
      <c r="J4" s="25"/>
      <c r="K4" s="30" t="s">
        <v>14</v>
      </c>
      <c r="L4" s="58">
        <v>14</v>
      </c>
      <c r="M4" s="30"/>
      <c r="N4" s="30" t="s">
        <v>15</v>
      </c>
      <c r="O4" s="58">
        <v>15</v>
      </c>
      <c r="P4" s="30"/>
      <c r="Q4" s="30" t="s">
        <v>16</v>
      </c>
      <c r="R4" s="58">
        <v>35</v>
      </c>
    </row>
    <row r="5" customFormat="1" spans="1:18">
      <c r="A5" s="30" t="s">
        <v>17</v>
      </c>
      <c r="B5" s="47">
        <v>1.75</v>
      </c>
      <c r="C5" s="47">
        <v>1.75</v>
      </c>
      <c r="D5" s="30">
        <f t="shared" si="0"/>
        <v>3.5</v>
      </c>
      <c r="E5" s="25"/>
      <c r="F5" s="25"/>
      <c r="G5" s="25"/>
      <c r="H5" s="25"/>
      <c r="I5" s="25"/>
      <c r="J5" s="25"/>
      <c r="K5" s="30" t="s">
        <v>18</v>
      </c>
      <c r="L5" s="58">
        <v>14</v>
      </c>
      <c r="M5" s="25"/>
      <c r="N5" s="30" t="s">
        <v>19</v>
      </c>
      <c r="O5" s="58">
        <v>15</v>
      </c>
      <c r="P5" s="25"/>
      <c r="Q5" s="30" t="s">
        <v>20</v>
      </c>
      <c r="R5" s="58">
        <v>35</v>
      </c>
    </row>
    <row r="6" customFormat="1" spans="1:18">
      <c r="A6" s="30" t="s">
        <v>21</v>
      </c>
      <c r="B6" s="47">
        <v>1.5</v>
      </c>
      <c r="C6" s="47">
        <v>1.5</v>
      </c>
      <c r="D6" s="30">
        <f t="shared" si="0"/>
        <v>3</v>
      </c>
      <c r="E6" s="25"/>
      <c r="F6" s="25"/>
      <c r="G6" s="25"/>
      <c r="H6" s="25"/>
      <c r="I6" s="25"/>
      <c r="J6" s="25"/>
      <c r="K6" s="30" t="s">
        <v>22</v>
      </c>
      <c r="L6" s="58">
        <v>14</v>
      </c>
      <c r="M6" s="25"/>
      <c r="N6" s="30" t="s">
        <v>23</v>
      </c>
      <c r="O6" s="58">
        <v>15</v>
      </c>
      <c r="P6" s="25"/>
      <c r="Q6" s="30" t="s">
        <v>24</v>
      </c>
      <c r="R6" s="58">
        <v>35</v>
      </c>
    </row>
    <row r="7" customFormat="1" spans="1:18">
      <c r="A7" s="30" t="s">
        <v>25</v>
      </c>
      <c r="B7" s="47">
        <v>2.5</v>
      </c>
      <c r="C7" s="47">
        <v>2.5</v>
      </c>
      <c r="D7" s="30">
        <f t="shared" si="0"/>
        <v>5</v>
      </c>
      <c r="E7" s="25"/>
      <c r="F7" s="25"/>
      <c r="G7" s="25"/>
      <c r="H7" s="25"/>
      <c r="I7" s="25"/>
      <c r="J7" s="25"/>
      <c r="K7" s="30"/>
      <c r="L7" s="58"/>
      <c r="M7" s="25"/>
      <c r="N7" s="30" t="s">
        <v>26</v>
      </c>
      <c r="O7" s="58">
        <v>15</v>
      </c>
      <c r="P7" s="25"/>
      <c r="Q7" s="30"/>
      <c r="R7" s="30"/>
    </row>
    <row r="8" customFormat="1" spans="1:18">
      <c r="A8" s="30" t="s">
        <v>27</v>
      </c>
      <c r="B8" s="47">
        <v>4</v>
      </c>
      <c r="C8" s="47">
        <v>4</v>
      </c>
      <c r="D8" s="30">
        <f t="shared" si="0"/>
        <v>8</v>
      </c>
      <c r="E8" s="25"/>
      <c r="F8" s="25"/>
      <c r="G8" s="25"/>
      <c r="H8" s="25"/>
      <c r="I8" s="25"/>
      <c r="J8" s="25"/>
      <c r="K8" s="30"/>
      <c r="L8" s="58"/>
      <c r="M8" s="25"/>
      <c r="N8" s="30" t="s">
        <v>28</v>
      </c>
      <c r="O8" s="58">
        <v>15</v>
      </c>
      <c r="P8" s="25"/>
      <c r="Q8" s="25"/>
      <c r="R8" s="25"/>
    </row>
    <row r="9" customFormat="1" spans="1:18">
      <c r="A9" s="30" t="s">
        <v>29</v>
      </c>
      <c r="B9" s="47">
        <v>5</v>
      </c>
      <c r="C9" s="47">
        <v>5</v>
      </c>
      <c r="D9" s="30">
        <f t="shared" si="0"/>
        <v>10</v>
      </c>
      <c r="E9" s="25"/>
      <c r="F9" s="25"/>
      <c r="G9" s="25"/>
      <c r="H9" s="25"/>
      <c r="I9" s="25"/>
      <c r="J9" s="25"/>
      <c r="K9" s="30"/>
      <c r="L9" s="58"/>
      <c r="M9" s="25"/>
      <c r="N9" s="30"/>
      <c r="O9" s="58"/>
      <c r="P9" s="25"/>
      <c r="Q9" s="25"/>
      <c r="R9" s="25"/>
    </row>
    <row r="10" customFormat="1" spans="1:18">
      <c r="A10" s="30" t="s">
        <v>30</v>
      </c>
      <c r="B10" s="47">
        <v>0.5</v>
      </c>
      <c r="C10" s="47">
        <v>0.5</v>
      </c>
      <c r="D10" s="30">
        <f t="shared" si="0"/>
        <v>1</v>
      </c>
      <c r="E10" s="25"/>
      <c r="F10" s="25"/>
      <c r="G10" s="25"/>
      <c r="H10" s="25"/>
      <c r="I10" s="25"/>
      <c r="J10" s="25"/>
      <c r="K10" s="25"/>
      <c r="L10" s="25"/>
      <c r="M10" s="25"/>
      <c r="N10" s="30"/>
      <c r="O10" s="25"/>
      <c r="P10" s="25"/>
      <c r="Q10" s="25"/>
      <c r="R10" s="25"/>
    </row>
    <row r="11" customFormat="1" spans="1:18">
      <c r="A11" s="30" t="s">
        <v>31</v>
      </c>
      <c r="B11" s="47">
        <v>2.5</v>
      </c>
      <c r="C11" s="47">
        <v>2.5</v>
      </c>
      <c r="D11" s="30">
        <f t="shared" si="0"/>
        <v>5</v>
      </c>
      <c r="E11" s="25"/>
      <c r="F11" s="25"/>
      <c r="G11" s="25"/>
      <c r="H11" s="25"/>
      <c r="I11" s="25"/>
      <c r="J11" s="25"/>
      <c r="K11" s="25"/>
      <c r="L11" s="25"/>
      <c r="M11" s="25"/>
      <c r="N11" s="30"/>
      <c r="O11" s="25"/>
      <c r="P11" s="25"/>
      <c r="Q11" s="25"/>
      <c r="R11" s="25"/>
    </row>
    <row r="12" customFormat="1" spans="1:18">
      <c r="A12" s="30" t="s">
        <v>32</v>
      </c>
      <c r="B12" s="47">
        <v>5</v>
      </c>
      <c r="C12" s="47">
        <v>5</v>
      </c>
      <c r="D12" s="30">
        <f t="shared" si="0"/>
        <v>10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customFormat="1" spans="1:18">
      <c r="A13" s="30" t="s">
        <v>33</v>
      </c>
      <c r="B13" s="47">
        <v>1.5</v>
      </c>
      <c r="C13" s="47">
        <v>1.5</v>
      </c>
      <c r="D13" s="30">
        <f t="shared" si="0"/>
        <v>3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customFormat="1" spans="1:18">
      <c r="A14" s="30" t="s">
        <v>34</v>
      </c>
      <c r="B14" s="47">
        <v>2</v>
      </c>
      <c r="C14" s="47">
        <v>2</v>
      </c>
      <c r="D14" s="30">
        <f t="shared" si="0"/>
        <v>4</v>
      </c>
      <c r="E14" s="25"/>
      <c r="F14" s="25"/>
      <c r="G14" s="25"/>
      <c r="H14" s="25" t="s">
        <v>35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customFormat="1" spans="1:18">
      <c r="A15" s="30" t="s">
        <v>36</v>
      </c>
      <c r="B15" s="47">
        <v>3.5</v>
      </c>
      <c r="C15" s="47">
        <v>3.5</v>
      </c>
      <c r="D15" s="30">
        <f t="shared" si="0"/>
        <v>7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customFormat="1" spans="1:18">
      <c r="A16" s="30" t="s">
        <v>37</v>
      </c>
      <c r="B16" s="47">
        <v>3</v>
      </c>
      <c r="C16" s="47">
        <v>3</v>
      </c>
      <c r="D16" s="30">
        <f t="shared" si="0"/>
        <v>6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customFormat="1" spans="1:18">
      <c r="A17" s="30" t="s">
        <v>38</v>
      </c>
      <c r="B17" s="47">
        <v>2</v>
      </c>
      <c r="C17" s="47">
        <v>2</v>
      </c>
      <c r="D17" s="30">
        <f t="shared" si="0"/>
        <v>4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customFormat="1" spans="1:18">
      <c r="A18" s="30" t="s">
        <v>39</v>
      </c>
      <c r="B18" s="47">
        <v>4</v>
      </c>
      <c r="C18" s="47">
        <v>4</v>
      </c>
      <c r="D18" s="30">
        <f t="shared" si="0"/>
        <v>8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customFormat="1" spans="1:18">
      <c r="A19" s="30" t="s">
        <v>40</v>
      </c>
      <c r="B19" s="47">
        <v>3</v>
      </c>
      <c r="C19" s="47">
        <v>3</v>
      </c>
      <c r="D19" s="30">
        <f t="shared" si="0"/>
        <v>6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customFormat="1" spans="1:18">
      <c r="A20" s="30" t="s">
        <v>41</v>
      </c>
      <c r="B20" s="47">
        <v>2.5</v>
      </c>
      <c r="C20" s="47">
        <v>2.5</v>
      </c>
      <c r="D20" s="30">
        <f t="shared" si="0"/>
        <v>5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 customFormat="1" spans="1:18">
      <c r="A21" s="30" t="s">
        <v>42</v>
      </c>
      <c r="B21" s="47">
        <v>2</v>
      </c>
      <c r="C21" s="47">
        <v>2</v>
      </c>
      <c r="D21" s="30">
        <f t="shared" si="0"/>
        <v>4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customFormat="1" spans="1:18">
      <c r="A22" s="30" t="s">
        <v>43</v>
      </c>
      <c r="B22" s="47">
        <v>3</v>
      </c>
      <c r="C22" s="47">
        <v>3</v>
      </c>
      <c r="D22" s="30">
        <f t="shared" si="0"/>
        <v>6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>
      <c r="A23" s="30" t="s">
        <v>44</v>
      </c>
      <c r="B23" s="47">
        <v>1.5</v>
      </c>
      <c r="C23" s="47">
        <v>1.5</v>
      </c>
      <c r="D23" s="30">
        <f t="shared" si="0"/>
        <v>3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>
      <c r="A24" s="30" t="s">
        <v>45</v>
      </c>
      <c r="B24" s="47">
        <v>4</v>
      </c>
      <c r="C24" s="47">
        <v>4</v>
      </c>
      <c r="D24" s="30">
        <f t="shared" si="0"/>
        <v>8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>
      <c r="A25" s="30" t="s">
        <v>46</v>
      </c>
      <c r="B25" s="47">
        <v>2</v>
      </c>
      <c r="C25" s="47">
        <v>2</v>
      </c>
      <c r="D25" s="30">
        <f t="shared" si="0"/>
        <v>4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>
      <c r="A26" s="30" t="s">
        <v>47</v>
      </c>
      <c r="B26" s="47">
        <v>1.5</v>
      </c>
      <c r="C26" s="47">
        <v>1.5</v>
      </c>
      <c r="D26" s="30">
        <f t="shared" si="0"/>
        <v>3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>
      <c r="A27" s="30" t="s">
        <v>48</v>
      </c>
      <c r="B27" s="47">
        <v>5</v>
      </c>
      <c r="C27" s="47">
        <v>5</v>
      </c>
      <c r="D27" s="30">
        <f t="shared" si="0"/>
        <v>10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>
      <c r="A28" s="30" t="s">
        <v>49</v>
      </c>
      <c r="B28" s="47">
        <v>1.5</v>
      </c>
      <c r="C28" s="47">
        <v>1.5</v>
      </c>
      <c r="D28" s="30">
        <f t="shared" si="0"/>
        <v>3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>
      <c r="A29" s="30" t="s">
        <v>50</v>
      </c>
      <c r="B29" s="47">
        <v>5</v>
      </c>
      <c r="C29" s="47">
        <v>5</v>
      </c>
      <c r="D29" s="30">
        <f t="shared" si="0"/>
        <v>10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>
      <c r="A30" s="30" t="s">
        <v>51</v>
      </c>
      <c r="B30" s="47">
        <v>1.5</v>
      </c>
      <c r="C30" s="47">
        <v>1.5</v>
      </c>
      <c r="D30" s="30">
        <f t="shared" si="0"/>
        <v>3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>
      <c r="A31" s="30" t="s">
        <v>52</v>
      </c>
      <c r="B31" s="47">
        <v>2.5</v>
      </c>
      <c r="C31" s="47">
        <v>2.5</v>
      </c>
      <c r="D31" s="30">
        <f t="shared" si="0"/>
        <v>5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customFormat="1" spans="1:4">
      <c r="A32" s="30" t="s">
        <v>53</v>
      </c>
      <c r="B32" s="47">
        <v>5</v>
      </c>
      <c r="C32" s="47">
        <v>3</v>
      </c>
      <c r="D32" s="30">
        <v>8</v>
      </c>
    </row>
    <row r="33" spans="1:4">
      <c r="A33" s="30" t="s">
        <v>54</v>
      </c>
      <c r="B33" s="47">
        <v>5</v>
      </c>
      <c r="C33" s="47">
        <v>2</v>
      </c>
      <c r="D33" s="30">
        <v>7</v>
      </c>
    </row>
    <row r="34" spans="1:4">
      <c r="A34" s="30" t="s">
        <v>55</v>
      </c>
      <c r="B34" s="47">
        <v>4</v>
      </c>
      <c r="C34" s="47">
        <v>3</v>
      </c>
      <c r="D34" s="30">
        <v>7</v>
      </c>
    </row>
    <row r="35" spans="4:4">
      <c r="D35" s="30">
        <f>SUM(D2:D34)</f>
        <v>187</v>
      </c>
    </row>
    <row r="36" spans="2:3">
      <c r="B36">
        <v>2</v>
      </c>
      <c r="C36">
        <v>2</v>
      </c>
    </row>
    <row r="37" spans="2:3">
      <c r="B37">
        <v>2</v>
      </c>
      <c r="C37">
        <v>2</v>
      </c>
    </row>
    <row r="38" spans="2:3">
      <c r="B38">
        <v>2</v>
      </c>
      <c r="C38">
        <v>2</v>
      </c>
    </row>
    <row r="39" spans="2:3">
      <c r="B39">
        <v>2</v>
      </c>
      <c r="C39">
        <v>2</v>
      </c>
    </row>
    <row r="40" spans="2:3">
      <c r="B40">
        <v>2</v>
      </c>
      <c r="C40">
        <v>2</v>
      </c>
    </row>
    <row r="41" spans="2:3">
      <c r="B41">
        <v>2</v>
      </c>
      <c r="C41">
        <v>2</v>
      </c>
    </row>
    <row r="42" spans="2:3">
      <c r="B42">
        <v>2</v>
      </c>
      <c r="C42">
        <v>2</v>
      </c>
    </row>
    <row r="43" spans="2:3">
      <c r="B43">
        <v>2</v>
      </c>
      <c r="C43">
        <v>2</v>
      </c>
    </row>
    <row r="44" spans="2:3">
      <c r="B44">
        <v>2</v>
      </c>
      <c r="C44">
        <v>2</v>
      </c>
    </row>
    <row r="45" spans="2:3">
      <c r="B45">
        <v>2</v>
      </c>
      <c r="C45">
        <v>2</v>
      </c>
    </row>
    <row r="46" spans="2:3">
      <c r="B46">
        <v>2</v>
      </c>
      <c r="C46">
        <v>2</v>
      </c>
    </row>
    <row r="47" spans="2:3">
      <c r="B47">
        <v>2</v>
      </c>
      <c r="C47">
        <v>2</v>
      </c>
    </row>
    <row r="48" spans="2:3">
      <c r="B48">
        <v>2</v>
      </c>
      <c r="C48">
        <v>2</v>
      </c>
    </row>
    <row r="49" spans="2:3">
      <c r="B49">
        <v>2</v>
      </c>
      <c r="C49">
        <v>2</v>
      </c>
    </row>
    <row r="50" spans="2:3">
      <c r="B50">
        <v>2</v>
      </c>
      <c r="C50">
        <v>2</v>
      </c>
    </row>
    <row r="51" spans="2:3">
      <c r="B51">
        <v>2</v>
      </c>
      <c r="C51">
        <v>2</v>
      </c>
    </row>
    <row r="52" spans="2:3">
      <c r="B52">
        <v>2</v>
      </c>
      <c r="C52">
        <v>2</v>
      </c>
    </row>
    <row r="53" spans="2:3">
      <c r="B53">
        <v>2</v>
      </c>
      <c r="C53">
        <v>2</v>
      </c>
    </row>
    <row r="54" spans="2:3">
      <c r="B54">
        <v>2</v>
      </c>
      <c r="C54">
        <v>2</v>
      </c>
    </row>
    <row r="55" spans="2:3">
      <c r="B55">
        <v>2</v>
      </c>
      <c r="C55">
        <v>2</v>
      </c>
    </row>
    <row r="56" spans="2:3">
      <c r="B56">
        <v>2</v>
      </c>
      <c r="C56">
        <v>2</v>
      </c>
    </row>
    <row r="57" spans="2:3">
      <c r="B57">
        <v>2</v>
      </c>
      <c r="C57">
        <v>2</v>
      </c>
    </row>
    <row r="58" spans="2:3">
      <c r="B58">
        <v>2</v>
      </c>
      <c r="C58">
        <v>2</v>
      </c>
    </row>
    <row r="59" spans="2:3">
      <c r="B59">
        <v>2</v>
      </c>
      <c r="C59">
        <v>2</v>
      </c>
    </row>
    <row r="60" spans="2:3">
      <c r="B60">
        <v>2</v>
      </c>
      <c r="C60">
        <v>2</v>
      </c>
    </row>
    <row r="61" spans="2:3">
      <c r="B61">
        <v>2</v>
      </c>
      <c r="C61">
        <v>2</v>
      </c>
    </row>
    <row r="62" spans="2:3">
      <c r="B62">
        <v>2</v>
      </c>
      <c r="C62">
        <v>2</v>
      </c>
    </row>
    <row r="63" spans="2:3">
      <c r="B63">
        <v>2</v>
      </c>
      <c r="C63">
        <v>2</v>
      </c>
    </row>
    <row r="64" spans="2:3">
      <c r="B64">
        <v>2</v>
      </c>
      <c r="C64">
        <v>2</v>
      </c>
    </row>
    <row r="65" spans="2:3">
      <c r="B65">
        <v>2</v>
      </c>
      <c r="C65">
        <v>2</v>
      </c>
    </row>
    <row r="66" spans="2:3">
      <c r="B66">
        <v>2</v>
      </c>
      <c r="C66">
        <v>2</v>
      </c>
    </row>
    <row r="67" spans="2:3">
      <c r="B67">
        <v>2</v>
      </c>
      <c r="C67">
        <v>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6"/>
  <sheetViews>
    <sheetView workbookViewId="0">
      <selection activeCell="F5" sqref="F5"/>
    </sheetView>
  </sheetViews>
  <sheetFormatPr defaultColWidth="8.66666666666667" defaultRowHeight="14" outlineLevelRow="5" outlineLevelCol="1"/>
  <cols>
    <col min="1" max="2" width="12.6666666666667"/>
  </cols>
  <sheetData>
    <row r="1" spans="2:2">
      <c r="B1" s="30"/>
    </row>
    <row r="2" spans="2:2">
      <c r="B2" s="61">
        <v>0.00257422448259741</v>
      </c>
    </row>
    <row r="3" spans="2:2">
      <c r="B3" s="61">
        <v>0.000830137015522575</v>
      </c>
    </row>
    <row r="4" spans="2:2">
      <c r="B4" s="61">
        <v>0.0005</v>
      </c>
    </row>
    <row r="5" spans="2:2">
      <c r="B5" s="61">
        <v>0.0005</v>
      </c>
    </row>
    <row r="6" spans="2:2">
      <c r="B6" s="61">
        <f>AVERAGE(B2:B5)</f>
        <v>0.00110109037453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9" sqref="A19"/>
    </sheetView>
  </sheetViews>
  <sheetFormatPr defaultColWidth="8.66666666666667" defaultRowHeight="14" outlineLevelCol="7"/>
  <cols>
    <col min="2" max="2" width="14.75" customWidth="1"/>
    <col min="3" max="3" width="12.5833333333333" customWidth="1"/>
    <col min="4" max="4" width="13.6666666666667" customWidth="1"/>
    <col min="6" max="6" width="13" customWidth="1"/>
    <col min="8" max="8" width="13.8333333333333" customWidth="1"/>
  </cols>
  <sheetData>
    <row r="1" spans="1:4">
      <c r="A1" s="30" t="s">
        <v>56</v>
      </c>
      <c r="B1" s="30" t="s">
        <v>57</v>
      </c>
      <c r="C1" s="30" t="s">
        <v>58</v>
      </c>
      <c r="D1" s="30" t="s">
        <v>59</v>
      </c>
    </row>
    <row r="2" spans="1:4">
      <c r="A2" s="30" t="s">
        <v>6</v>
      </c>
      <c r="B2" s="30">
        <v>110888.915724368</v>
      </c>
      <c r="C2" s="58">
        <f t="shared" ref="C2:C6" si="0">B2/2.01062</f>
        <v>55151.602851045</v>
      </c>
      <c r="D2" s="30">
        <v>14</v>
      </c>
    </row>
    <row r="3" spans="1:4">
      <c r="A3" s="30" t="s">
        <v>10</v>
      </c>
      <c r="B3" s="30">
        <v>105446.45045921</v>
      </c>
      <c r="C3" s="58">
        <f t="shared" si="0"/>
        <v>52444.743640872</v>
      </c>
      <c r="D3" s="30">
        <v>14</v>
      </c>
    </row>
    <row r="4" spans="1:4">
      <c r="A4" s="30" t="s">
        <v>14</v>
      </c>
      <c r="B4" s="30">
        <v>164645.236228655</v>
      </c>
      <c r="C4" s="58">
        <f t="shared" si="0"/>
        <v>81887.7939285668</v>
      </c>
      <c r="D4" s="30">
        <v>14</v>
      </c>
    </row>
    <row r="5" spans="1:4">
      <c r="A5" s="30" t="s">
        <v>18</v>
      </c>
      <c r="B5" s="30">
        <v>139040.132568496</v>
      </c>
      <c r="C5" s="58">
        <f t="shared" si="0"/>
        <v>69152.8645733634</v>
      </c>
      <c r="D5" s="30">
        <v>14</v>
      </c>
    </row>
    <row r="6" spans="1:4">
      <c r="A6" s="30" t="s">
        <v>22</v>
      </c>
      <c r="B6" s="30">
        <v>119470.478472164</v>
      </c>
      <c r="C6" s="58">
        <f t="shared" si="0"/>
        <v>59419.7205201202</v>
      </c>
      <c r="D6" s="30">
        <v>14</v>
      </c>
    </row>
    <row r="8" spans="1:8">
      <c r="A8" s="30" t="s">
        <v>56</v>
      </c>
      <c r="B8" s="30" t="s">
        <v>60</v>
      </c>
      <c r="C8" s="30" t="s">
        <v>56</v>
      </c>
      <c r="D8" s="30" t="s">
        <v>60</v>
      </c>
      <c r="E8" s="30" t="s">
        <v>56</v>
      </c>
      <c r="F8" s="30" t="s">
        <v>60</v>
      </c>
      <c r="G8" s="30" t="s">
        <v>56</v>
      </c>
      <c r="H8" s="30" t="s">
        <v>60</v>
      </c>
    </row>
    <row r="9" spans="1:8">
      <c r="A9" s="30" t="s">
        <v>61</v>
      </c>
      <c r="B9" s="30">
        <v>5</v>
      </c>
      <c r="C9" s="30" t="s">
        <v>62</v>
      </c>
      <c r="D9" s="30">
        <v>2.5</v>
      </c>
      <c r="E9" s="30" t="s">
        <v>63</v>
      </c>
      <c r="F9" s="30">
        <v>2.5</v>
      </c>
      <c r="G9" s="30" t="s">
        <v>64</v>
      </c>
      <c r="H9" s="30">
        <v>5</v>
      </c>
    </row>
    <row r="10" spans="1:8">
      <c r="A10" s="30" t="s">
        <v>65</v>
      </c>
      <c r="B10" s="30">
        <v>2.5</v>
      </c>
      <c r="C10" s="30" t="s">
        <v>66</v>
      </c>
      <c r="D10" s="30">
        <v>5</v>
      </c>
      <c r="E10" s="30" t="s">
        <v>67</v>
      </c>
      <c r="F10" s="30">
        <v>2</v>
      </c>
      <c r="G10" s="30" t="s">
        <v>68</v>
      </c>
      <c r="H10" s="30">
        <v>1.5</v>
      </c>
    </row>
    <row r="11" spans="1:8">
      <c r="A11" s="30" t="s">
        <v>69</v>
      </c>
      <c r="B11" s="30">
        <v>10</v>
      </c>
      <c r="C11" s="30" t="s">
        <v>70</v>
      </c>
      <c r="D11" s="30">
        <v>1.5</v>
      </c>
      <c r="E11" s="30" t="s">
        <v>71</v>
      </c>
      <c r="F11" s="30">
        <v>3</v>
      </c>
      <c r="G11" s="30" t="s">
        <v>72</v>
      </c>
      <c r="H11" s="30">
        <v>2.5</v>
      </c>
    </row>
    <row r="12" spans="1:8">
      <c r="A12" s="30" t="s">
        <v>73</v>
      </c>
      <c r="B12" s="30">
        <v>3.5</v>
      </c>
      <c r="C12" s="30" t="s">
        <v>74</v>
      </c>
      <c r="D12" s="30">
        <v>2</v>
      </c>
      <c r="E12" s="30" t="s">
        <v>75</v>
      </c>
      <c r="F12" s="30">
        <v>1.5</v>
      </c>
      <c r="G12" s="30" t="s">
        <v>76</v>
      </c>
      <c r="H12" s="30">
        <v>3</v>
      </c>
    </row>
    <row r="13" spans="1:8">
      <c r="A13" s="30" t="s">
        <v>77</v>
      </c>
      <c r="B13" s="30">
        <v>3</v>
      </c>
      <c r="C13" s="30" t="s">
        <v>78</v>
      </c>
      <c r="D13" s="30">
        <v>3.5</v>
      </c>
      <c r="E13" s="30" t="s">
        <v>79</v>
      </c>
      <c r="F13" s="30">
        <v>4</v>
      </c>
      <c r="G13" s="30" t="s">
        <v>80</v>
      </c>
      <c r="H13" s="30">
        <v>2</v>
      </c>
    </row>
    <row r="14" spans="1:8">
      <c r="A14" s="30" t="s">
        <v>81</v>
      </c>
      <c r="B14" s="30">
        <v>5</v>
      </c>
      <c r="C14" s="30" t="s">
        <v>82</v>
      </c>
      <c r="D14" s="30">
        <v>3</v>
      </c>
      <c r="E14" s="30" t="s">
        <v>83</v>
      </c>
      <c r="F14" s="30">
        <v>2</v>
      </c>
      <c r="G14" s="30" t="s">
        <v>84</v>
      </c>
      <c r="H14" s="30">
        <v>3</v>
      </c>
    </row>
    <row r="15" spans="1:7">
      <c r="A15" s="30" t="s">
        <v>85</v>
      </c>
      <c r="B15" s="30">
        <v>8</v>
      </c>
      <c r="C15" s="30" t="s">
        <v>86</v>
      </c>
      <c r="D15" s="30">
        <v>2</v>
      </c>
      <c r="E15" s="30" t="s">
        <v>87</v>
      </c>
      <c r="F15" s="30">
        <v>1.5</v>
      </c>
      <c r="G15" s="30"/>
    </row>
    <row r="16" spans="1:7">
      <c r="A16" s="30" t="s">
        <v>88</v>
      </c>
      <c r="B16" s="30">
        <v>10</v>
      </c>
      <c r="C16" s="30" t="s">
        <v>89</v>
      </c>
      <c r="D16" s="30">
        <v>4</v>
      </c>
      <c r="E16" s="30" t="s">
        <v>90</v>
      </c>
      <c r="F16" s="30">
        <v>5</v>
      </c>
      <c r="G16" s="30"/>
    </row>
    <row r="17" spans="1:7">
      <c r="A17" s="30" t="s">
        <v>91</v>
      </c>
      <c r="B17" s="30">
        <v>1</v>
      </c>
      <c r="C17" s="30" t="s">
        <v>92</v>
      </c>
      <c r="D17" s="30">
        <v>3</v>
      </c>
      <c r="E17" s="30" t="s">
        <v>93</v>
      </c>
      <c r="F17" s="30">
        <v>1.5</v>
      </c>
      <c r="G17" s="30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J9" sqref="J9"/>
    </sheetView>
  </sheetViews>
  <sheetFormatPr defaultColWidth="8.66666666666667" defaultRowHeight="14"/>
  <cols>
    <col min="1" max="2" width="13.5" customWidth="1"/>
    <col min="3" max="3" width="18.4166666666667" customWidth="1"/>
    <col min="4" max="4" width="17.5833333333333" customWidth="1"/>
    <col min="5" max="5" width="15" customWidth="1"/>
    <col min="6" max="6" width="11.3333333333333" customWidth="1"/>
    <col min="7" max="7" width="15.25" customWidth="1"/>
    <col min="8" max="8" width="17.1666666666667" customWidth="1"/>
    <col min="9" max="9" width="14" customWidth="1"/>
    <col min="10" max="10" width="17.4166666666667" customWidth="1"/>
    <col min="11" max="11" width="13.3333333333333" customWidth="1"/>
    <col min="12" max="12" width="12.25" customWidth="1"/>
    <col min="13" max="13" width="12.1666666666667" customWidth="1"/>
  </cols>
  <sheetData>
    <row r="1" spans="1:13">
      <c r="A1" s="30" t="s">
        <v>94</v>
      </c>
      <c r="B1" s="57" t="s">
        <v>95</v>
      </c>
      <c r="C1" s="57" t="s">
        <v>96</v>
      </c>
      <c r="D1" s="30" t="s">
        <v>97</v>
      </c>
      <c r="E1" s="30" t="s">
        <v>98</v>
      </c>
      <c r="F1" s="30" t="s">
        <v>99</v>
      </c>
      <c r="H1" t="s">
        <v>100</v>
      </c>
      <c r="I1" s="57" t="s">
        <v>95</v>
      </c>
      <c r="J1" s="57" t="s">
        <v>96</v>
      </c>
      <c r="K1" s="30" t="s">
        <v>97</v>
      </c>
      <c r="L1" s="30" t="s">
        <v>98</v>
      </c>
      <c r="M1" s="30" t="s">
        <v>99</v>
      </c>
    </row>
    <row r="2" spans="1:13">
      <c r="A2" s="30" t="s">
        <v>101</v>
      </c>
      <c r="B2" s="57">
        <v>356770.905224925</v>
      </c>
      <c r="C2" s="57">
        <v>478671814.358329</v>
      </c>
      <c r="D2" s="58">
        <v>431.282194137573</v>
      </c>
      <c r="E2" s="59">
        <v>0</v>
      </c>
      <c r="F2" s="30" t="s">
        <v>102</v>
      </c>
      <c r="H2" t="s">
        <v>103</v>
      </c>
      <c r="I2" s="60">
        <v>356980.677659246</v>
      </c>
      <c r="J2" s="57">
        <v>223838839.80297</v>
      </c>
      <c r="K2" s="30">
        <v>890</v>
      </c>
      <c r="L2" s="59">
        <v>0.0086</v>
      </c>
      <c r="M2" s="30" t="s">
        <v>102</v>
      </c>
    </row>
    <row r="3" spans="1:13">
      <c r="A3" s="30" t="s">
        <v>104</v>
      </c>
      <c r="B3" s="57">
        <v>662022.656024872</v>
      </c>
      <c r="C3" s="57">
        <v>238956968.449236</v>
      </c>
      <c r="D3" s="58">
        <v>902</v>
      </c>
      <c r="E3" s="59">
        <v>0.012</v>
      </c>
      <c r="F3" s="30" t="s">
        <v>105</v>
      </c>
      <c r="H3" t="s">
        <v>106</v>
      </c>
      <c r="I3" s="57">
        <v>359064.691342265</v>
      </c>
      <c r="J3" s="57">
        <v>265169269.768286</v>
      </c>
      <c r="K3" s="58">
        <v>1200</v>
      </c>
      <c r="L3" s="59">
        <v>0.174</v>
      </c>
      <c r="M3" s="30" t="s">
        <v>102</v>
      </c>
    </row>
    <row r="4" spans="1:6">
      <c r="A4" s="30" t="s">
        <v>107</v>
      </c>
      <c r="B4" s="57">
        <v>358543.994536528</v>
      </c>
      <c r="C4" s="57">
        <v>268479497.170937</v>
      </c>
      <c r="D4" s="58">
        <v>771</v>
      </c>
      <c r="E4" s="59">
        <v>0.1009</v>
      </c>
      <c r="F4" s="30" t="s">
        <v>102</v>
      </c>
    </row>
    <row r="5" spans="1:11">
      <c r="A5" s="30" t="s">
        <v>108</v>
      </c>
      <c r="B5" s="57">
        <v>358955.849144964</v>
      </c>
      <c r="C5" s="57">
        <v>267179803.737031</v>
      </c>
      <c r="D5" s="58">
        <v>900</v>
      </c>
      <c r="E5" s="59">
        <v>0.124</v>
      </c>
      <c r="F5" s="30" t="s">
        <v>102</v>
      </c>
      <c r="I5">
        <f>I2-I6</f>
        <v>21174.833003503</v>
      </c>
      <c r="J5" s="14">
        <v>692786.522314989</v>
      </c>
      <c r="K5" s="14">
        <f>J5-J6</f>
        <v>356980.677659246</v>
      </c>
    </row>
    <row r="6" spans="1:10">
      <c r="A6" s="30" t="s">
        <v>109</v>
      </c>
      <c r="B6" s="57">
        <v>358995.167134581</v>
      </c>
      <c r="C6" s="57">
        <v>266447246.048848</v>
      </c>
      <c r="D6" s="58">
        <v>956</v>
      </c>
      <c r="E6" s="59">
        <v>0.113</v>
      </c>
      <c r="F6" s="30" t="s">
        <v>102</v>
      </c>
      <c r="I6" s="14">
        <v>335805.844655743</v>
      </c>
      <c r="J6" s="14">
        <v>335805.844655743</v>
      </c>
    </row>
    <row r="7" spans="1:9">
      <c r="A7" s="30" t="s">
        <v>110</v>
      </c>
      <c r="B7" s="57">
        <v>359039.25674032</v>
      </c>
      <c r="C7" s="57">
        <v>266370195.989946</v>
      </c>
      <c r="D7" s="58">
        <f>5400/5</f>
        <v>1080</v>
      </c>
      <c r="E7" s="59">
        <v>0.1485</v>
      </c>
      <c r="F7" s="30" t="s">
        <v>102</v>
      </c>
      <c r="I7">
        <f>6.93-3.36</f>
        <v>3.57</v>
      </c>
    </row>
    <row r="8" spans="1:6">
      <c r="A8" s="30" t="s">
        <v>111</v>
      </c>
      <c r="B8" s="57">
        <v>359064.691342265</v>
      </c>
      <c r="C8" s="57">
        <v>265169269.768286</v>
      </c>
      <c r="D8" s="58">
        <v>1200</v>
      </c>
      <c r="E8" s="59">
        <v>0.174</v>
      </c>
      <c r="F8" s="30" t="s">
        <v>102</v>
      </c>
    </row>
    <row r="9" spans="1:6">
      <c r="A9" s="30" t="s">
        <v>112</v>
      </c>
      <c r="B9" s="57">
        <v>359223.579722417</v>
      </c>
      <c r="C9" s="57">
        <v>267130073.187429</v>
      </c>
      <c r="D9" s="58">
        <f>5400/4</f>
        <v>1350</v>
      </c>
      <c r="E9" s="59">
        <v>0.148</v>
      </c>
      <c r="F9" s="30" t="s">
        <v>102</v>
      </c>
    </row>
    <row r="10" spans="1:6">
      <c r="A10" s="30" t="s">
        <v>113</v>
      </c>
      <c r="B10" s="57">
        <v>359580.780562709</v>
      </c>
      <c r="C10" s="57">
        <v>266824288.864449</v>
      </c>
      <c r="D10" s="58">
        <v>1395</v>
      </c>
      <c r="E10" s="59">
        <v>0.142</v>
      </c>
      <c r="F10" s="30" t="s">
        <v>102</v>
      </c>
    </row>
    <row r="11" spans="1:6">
      <c r="A11" s="30" t="s">
        <v>114</v>
      </c>
      <c r="B11" s="57">
        <v>446147.189970066</v>
      </c>
      <c r="C11" s="57">
        <v>257670130.400727</v>
      </c>
      <c r="D11" s="58">
        <f>5400/3</f>
        <v>1800</v>
      </c>
      <c r="E11" s="59">
        <v>0.152</v>
      </c>
      <c r="F11" s="30" t="s">
        <v>115</v>
      </c>
    </row>
    <row r="12" spans="1:5">
      <c r="A12" s="30" t="s">
        <v>116</v>
      </c>
      <c r="B12" s="30"/>
      <c r="E12">
        <f>AVERAGE(E2:E11)</f>
        <v>0.11144</v>
      </c>
    </row>
    <row r="15" spans="1:5">
      <c r="A15" s="30" t="s">
        <v>117</v>
      </c>
      <c r="B15" s="30" t="s">
        <v>96</v>
      </c>
      <c r="C15" s="30" t="s">
        <v>95</v>
      </c>
      <c r="D15" s="30" t="s">
        <v>97</v>
      </c>
      <c r="E15" s="30" t="s">
        <v>98</v>
      </c>
    </row>
    <row r="16" spans="1:5">
      <c r="A16" s="30" t="s">
        <v>118</v>
      </c>
      <c r="B16" s="57">
        <v>32419400.25</v>
      </c>
      <c r="C16" s="57">
        <v>36930.12</v>
      </c>
      <c r="D16" s="30">
        <v>83.23</v>
      </c>
      <c r="E16" s="30">
        <v>0.0048</v>
      </c>
    </row>
    <row r="17" spans="1:5">
      <c r="A17" s="30" t="s">
        <v>119</v>
      </c>
      <c r="B17" s="57">
        <v>53941608.4</v>
      </c>
      <c r="C17" s="57">
        <v>59315.51</v>
      </c>
      <c r="D17" s="30">
        <v>789</v>
      </c>
      <c r="E17" s="30">
        <v>0.0113</v>
      </c>
    </row>
    <row r="18" spans="1:5">
      <c r="A18" s="30" t="s">
        <v>120</v>
      </c>
      <c r="B18" s="57">
        <v>60291000</v>
      </c>
      <c r="C18" s="57">
        <v>129736.35</v>
      </c>
      <c r="D18" s="30">
        <v>1088</v>
      </c>
      <c r="E18" s="30">
        <v>0.0042</v>
      </c>
    </row>
    <row r="21" spans="2:3">
      <c r="B21" s="57">
        <v>32419400.25</v>
      </c>
      <c r="C21" s="57">
        <v>36930.12</v>
      </c>
    </row>
    <row r="22" spans="2:3">
      <c r="B22" s="57">
        <v>53941608.4</v>
      </c>
      <c r="C22" s="57">
        <v>59315.51</v>
      </c>
    </row>
    <row r="23" spans="2:3">
      <c r="B23" s="57">
        <v>60291000</v>
      </c>
      <c r="C23" s="57">
        <v>129736.35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B10" sqref="B10"/>
    </sheetView>
  </sheetViews>
  <sheetFormatPr defaultColWidth="8.66666666666667" defaultRowHeight="14"/>
  <cols>
    <col min="1" max="1" width="16.6666666666667" customWidth="1"/>
    <col min="2" max="2" width="15.6666666666667" customWidth="1"/>
    <col min="3" max="3" width="15" customWidth="1"/>
    <col min="4" max="4" width="11.75" customWidth="1"/>
    <col min="5" max="5" width="12.6666666666667"/>
    <col min="9" max="9" width="12.8333333333333" customWidth="1"/>
    <col min="10" max="10" width="12.3333333333333" customWidth="1"/>
    <col min="11" max="11" width="17.3333333333333" customWidth="1"/>
    <col min="13" max="13" width="12.5833333333333" customWidth="1"/>
    <col min="17" max="17" width="13.8333333333333"/>
  </cols>
  <sheetData>
    <row r="1" ht="15.5" customHeight="1" spans="1:5">
      <c r="A1" s="46" t="s">
        <v>121</v>
      </c>
      <c r="B1" s="46" t="s">
        <v>122</v>
      </c>
      <c r="C1" s="46" t="s">
        <v>123</v>
      </c>
      <c r="D1" s="46" t="s">
        <v>97</v>
      </c>
      <c r="E1" s="46" t="s">
        <v>98</v>
      </c>
    </row>
    <row r="2" spans="1:16">
      <c r="A2" s="46">
        <v>1</v>
      </c>
      <c r="B2" s="47">
        <v>358543.994536528</v>
      </c>
      <c r="C2" s="47">
        <v>268479497.170937</v>
      </c>
      <c r="D2" s="46">
        <v>771</v>
      </c>
      <c r="E2" s="48">
        <v>0.002</v>
      </c>
      <c r="I2" t="s">
        <v>124</v>
      </c>
      <c r="J2" t="s">
        <v>123</v>
      </c>
      <c r="L2" t="s">
        <v>125</v>
      </c>
      <c r="N2" t="s">
        <v>126</v>
      </c>
      <c r="P2" t="s">
        <v>127</v>
      </c>
    </row>
    <row r="3" spans="1:17">
      <c r="A3" s="46">
        <v>2</v>
      </c>
      <c r="B3" s="47">
        <v>358955.849144964</v>
      </c>
      <c r="C3" s="47">
        <v>267179803.737031</v>
      </c>
      <c r="D3" s="46">
        <v>902</v>
      </c>
      <c r="E3" s="48">
        <v>0.0031</v>
      </c>
      <c r="J3" t="s">
        <v>128</v>
      </c>
      <c r="K3" t="s">
        <v>129</v>
      </c>
      <c r="L3" t="s">
        <v>128</v>
      </c>
      <c r="M3" t="s">
        <v>129</v>
      </c>
      <c r="N3" t="s">
        <v>128</v>
      </c>
      <c r="O3" t="s">
        <v>129</v>
      </c>
      <c r="P3" t="s">
        <v>128</v>
      </c>
      <c r="Q3" t="s">
        <v>129</v>
      </c>
    </row>
    <row r="4" spans="1:17">
      <c r="A4" s="46">
        <v>3</v>
      </c>
      <c r="B4" s="47">
        <v>358995.167134581</v>
      </c>
      <c r="C4" s="47">
        <v>266447246.048848</v>
      </c>
      <c r="D4" s="46">
        <v>771</v>
      </c>
      <c r="E4" s="48">
        <v>0.0091</v>
      </c>
      <c r="I4" t="s">
        <v>130</v>
      </c>
      <c r="J4" s="53">
        <v>5.3941</v>
      </c>
      <c r="L4">
        <v>5.93</v>
      </c>
      <c r="M4" t="s">
        <v>131</v>
      </c>
      <c r="N4">
        <v>0.113</v>
      </c>
      <c r="O4" t="s">
        <v>131</v>
      </c>
      <c r="P4">
        <v>789</v>
      </c>
      <c r="Q4" t="s">
        <v>131</v>
      </c>
    </row>
    <row r="5" spans="1:17">
      <c r="A5" s="46">
        <v>4</v>
      </c>
      <c r="B5" s="47">
        <v>359039.25674032</v>
      </c>
      <c r="C5" s="47">
        <v>266370195.989946</v>
      </c>
      <c r="D5" s="46">
        <v>900</v>
      </c>
      <c r="E5" s="48">
        <v>0.0102</v>
      </c>
      <c r="I5" t="s">
        <v>132</v>
      </c>
      <c r="J5" s="53">
        <v>6.5545</v>
      </c>
      <c r="K5" s="12">
        <f>(J5-$J$4)/$J$4</f>
        <v>0.215123931703157</v>
      </c>
      <c r="L5">
        <v>3.27</v>
      </c>
      <c r="M5" s="12">
        <f>(L5-$L$4)/$L$4</f>
        <v>-0.448566610455312</v>
      </c>
      <c r="N5">
        <v>0.188</v>
      </c>
      <c r="O5" s="12">
        <f>(N5-$N$4)/$N$4</f>
        <v>0.663716814159292</v>
      </c>
      <c r="P5">
        <v>1190</v>
      </c>
      <c r="Q5" s="12">
        <f>(P5-$P$4)/$P$4</f>
        <v>0.508238276299113</v>
      </c>
    </row>
    <row r="6" spans="1:17">
      <c r="A6" s="46">
        <v>5</v>
      </c>
      <c r="B6" s="47">
        <v>359064.691342265</v>
      </c>
      <c r="C6" s="47">
        <v>265169269.768286</v>
      </c>
      <c r="D6" s="46">
        <v>895</v>
      </c>
      <c r="E6" s="48">
        <v>0.0113</v>
      </c>
      <c r="I6" t="s">
        <v>133</v>
      </c>
      <c r="J6" s="53">
        <v>5.3948</v>
      </c>
      <c r="K6" s="12">
        <f>(J6-$J$4)/$J$4</f>
        <v>0.000129771416918512</v>
      </c>
      <c r="L6">
        <v>7.56</v>
      </c>
      <c r="M6" s="12">
        <f>(L6-$L$4)/$L$4</f>
        <v>0.274873524451939</v>
      </c>
      <c r="N6">
        <v>0</v>
      </c>
      <c r="O6" s="12">
        <f>(N6-$N$4)/$N$4</f>
        <v>-1</v>
      </c>
      <c r="P6">
        <v>474</v>
      </c>
      <c r="Q6" s="12">
        <f>(P6-$P$4)/$P$4</f>
        <v>-0.399239543726236</v>
      </c>
    </row>
    <row r="7" spans="1:17">
      <c r="A7" s="46">
        <v>6</v>
      </c>
      <c r="B7" s="47">
        <v>359223.579722417</v>
      </c>
      <c r="C7" s="47">
        <v>263130073.187429</v>
      </c>
      <c r="D7" s="46">
        <v>1080</v>
      </c>
      <c r="E7" s="48">
        <v>0.0128</v>
      </c>
      <c r="I7" t="s">
        <v>134</v>
      </c>
      <c r="J7" s="53">
        <v>15.233</v>
      </c>
      <c r="K7" s="12">
        <f>(J7-$J$4)/$J$4</f>
        <v>1.82401141988469</v>
      </c>
      <c r="L7" s="54">
        <v>5.2</v>
      </c>
      <c r="M7" s="12">
        <f>(L7-$L$4)/$L$4</f>
        <v>-0.123102866779089</v>
      </c>
      <c r="N7">
        <v>0.1014</v>
      </c>
      <c r="O7" s="12">
        <f>(N7-$N$4)/$N$4</f>
        <v>-0.102654867256637</v>
      </c>
      <c r="P7">
        <v>918</v>
      </c>
      <c r="Q7" s="12">
        <f>(P7-$P$4)/$P$4</f>
        <v>0.163498098859316</v>
      </c>
    </row>
    <row r="8" spans="1:5">
      <c r="A8" s="46">
        <v>7</v>
      </c>
      <c r="B8" s="47">
        <v>359580.780562709</v>
      </c>
      <c r="C8" s="47">
        <v>261824288.864449</v>
      </c>
      <c r="D8" s="46">
        <v>1200</v>
      </c>
      <c r="E8" s="48">
        <v>0.0135</v>
      </c>
    </row>
    <row r="9" spans="1:5">
      <c r="A9" s="46">
        <v>8</v>
      </c>
      <c r="B9" s="47">
        <v>375147.189970066</v>
      </c>
      <c r="C9" s="47">
        <v>257670130.400727</v>
      </c>
      <c r="D9" s="46">
        <v>1395</v>
      </c>
      <c r="E9" s="48">
        <v>0.0169</v>
      </c>
    </row>
    <row r="10" spans="1:5">
      <c r="A10" s="46">
        <v>9</v>
      </c>
      <c r="B10" s="49">
        <v>417915.368060616</v>
      </c>
      <c r="C10" s="30">
        <v>257147019.120335</v>
      </c>
      <c r="D10" s="30">
        <v>2159</v>
      </c>
      <c r="E10" s="48">
        <v>0.0143</v>
      </c>
    </row>
    <row r="12" ht="14.75"/>
    <row r="13" ht="14.75" spans="10:11">
      <c r="J13" s="55">
        <v>431</v>
      </c>
      <c r="K13" s="56">
        <v>0</v>
      </c>
    </row>
    <row r="14" ht="16.25" spans="1:11">
      <c r="A14" s="27"/>
      <c r="B14" s="27"/>
      <c r="E14" t="s">
        <v>57</v>
      </c>
      <c r="J14" s="24">
        <v>902</v>
      </c>
      <c r="K14" s="23">
        <v>0.012</v>
      </c>
    </row>
    <row r="15" ht="14.75" spans="5:11">
      <c r="E15" s="14">
        <v>110888.9157</v>
      </c>
      <c r="G15" s="50">
        <v>55152</v>
      </c>
      <c r="J15" s="24">
        <v>771</v>
      </c>
      <c r="K15" s="23">
        <v>0.1009</v>
      </c>
    </row>
    <row r="16" ht="16.25" spans="1:11">
      <c r="A16" s="27"/>
      <c r="B16" s="27"/>
      <c r="C16" s="51"/>
      <c r="E16" s="14">
        <v>105446.4505</v>
      </c>
      <c r="G16" s="52">
        <v>52445</v>
      </c>
      <c r="J16" s="24">
        <v>900</v>
      </c>
      <c r="K16" s="23">
        <v>0.124</v>
      </c>
    </row>
    <row r="17" ht="14.75" spans="5:11">
      <c r="E17" s="14">
        <v>164645.2362</v>
      </c>
      <c r="G17" s="52">
        <v>81888</v>
      </c>
      <c r="J17" s="24">
        <v>895</v>
      </c>
      <c r="K17" s="23">
        <v>0.113</v>
      </c>
    </row>
    <row r="18" ht="16.25" spans="1:11">
      <c r="A18" s="27"/>
      <c r="B18" s="27"/>
      <c r="E18" s="14">
        <v>139040.1326</v>
      </c>
      <c r="G18" s="52">
        <v>69153</v>
      </c>
      <c r="J18" s="24">
        <v>1080</v>
      </c>
      <c r="K18" s="23">
        <v>0.1485</v>
      </c>
    </row>
    <row r="19" ht="14.75" spans="5:11">
      <c r="E19" s="14">
        <v>119470.4785</v>
      </c>
      <c r="G19" s="52">
        <v>59420</v>
      </c>
      <c r="J19" s="24">
        <v>1200</v>
      </c>
      <c r="K19" s="23">
        <v>0.174</v>
      </c>
    </row>
    <row r="20" ht="14.75" spans="1:11">
      <c r="A20" s="14"/>
      <c r="B20" s="14"/>
      <c r="J20" s="24">
        <v>1350</v>
      </c>
      <c r="K20" s="23">
        <v>0.148</v>
      </c>
    </row>
    <row r="21" ht="14.75" spans="10:11">
      <c r="J21" s="24">
        <v>1395</v>
      </c>
      <c r="K21" s="23">
        <v>0.142</v>
      </c>
    </row>
    <row r="22" ht="14.75" spans="10:11">
      <c r="J22" s="24">
        <v>1800</v>
      </c>
      <c r="K22" s="23">
        <v>0.152</v>
      </c>
    </row>
    <row r="23" ht="14.75" spans="10:11">
      <c r="J23" s="24">
        <v>2159</v>
      </c>
      <c r="K23" s="23">
        <v>0.223</v>
      </c>
    </row>
    <row r="24" spans="10:11">
      <c r="J24">
        <f>AVERAGE(J13:J23)</f>
        <v>1171.18181818182</v>
      </c>
      <c r="K24" s="12">
        <f>AVERAGE(K13:K23)</f>
        <v>0.121581818181818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8.66666666666667" defaultRowHeight="14" outlineLevelRow="4" outlineLevelCol="2"/>
  <cols>
    <col min="1" max="1" width="11.75" customWidth="1"/>
    <col min="2" max="2" width="24.3333333333333" customWidth="1"/>
    <col min="3" max="3" width="77.3333333333333" customWidth="1"/>
  </cols>
  <sheetData>
    <row r="1" ht="29" customHeight="1" spans="1:3">
      <c r="A1" s="30" t="s">
        <v>124</v>
      </c>
      <c r="B1" s="30" t="s">
        <v>135</v>
      </c>
      <c r="C1" s="30" t="s">
        <v>136</v>
      </c>
    </row>
    <row r="2" ht="266" spans="1:3">
      <c r="A2" s="30" t="s">
        <v>137</v>
      </c>
      <c r="B2" s="30" t="s">
        <v>138</v>
      </c>
      <c r="C2" s="45" t="s">
        <v>139</v>
      </c>
    </row>
    <row r="3" ht="70" spans="1:3">
      <c r="A3" s="30" t="s">
        <v>140</v>
      </c>
      <c r="B3" s="30" t="s">
        <v>141</v>
      </c>
      <c r="C3" s="45" t="s">
        <v>142</v>
      </c>
    </row>
    <row r="4" ht="70" spans="1:3">
      <c r="A4" s="30" t="s">
        <v>143</v>
      </c>
      <c r="B4" s="30" t="s">
        <v>141</v>
      </c>
      <c r="C4" s="45" t="s">
        <v>144</v>
      </c>
    </row>
    <row r="5" spans="1:3">
      <c r="A5" s="30"/>
      <c r="B5" s="30"/>
      <c r="C5" s="30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4"/>
  <sheetViews>
    <sheetView topLeftCell="A4" workbookViewId="0">
      <selection activeCell="A19" sqref="A19:I24"/>
    </sheetView>
  </sheetViews>
  <sheetFormatPr defaultColWidth="8.66666666666667" defaultRowHeight="14"/>
  <cols>
    <col min="1" max="1" width="13.5833333333333" customWidth="1"/>
    <col min="2" max="2" width="11.6666666666667"/>
    <col min="3" max="3" width="14.8333333333333" customWidth="1"/>
    <col min="4" max="4" width="11.8333333333333" customWidth="1"/>
    <col min="5" max="5" width="13.8333333333333"/>
    <col min="6" max="6" width="12.6666666666667"/>
    <col min="7" max="7" width="14.4166666666667" customWidth="1"/>
    <col min="8" max="8" width="11.5833333333333"/>
    <col min="9" max="9" width="13.8333333333333"/>
    <col min="10" max="10" width="12.6666666666667"/>
    <col min="11" max="11" width="13.8333333333333"/>
    <col min="12" max="12" width="14.4166666666667" customWidth="1"/>
    <col min="13" max="13" width="12.0833333333333" customWidth="1"/>
    <col min="14" max="16" width="13.8333333333333"/>
    <col min="17" max="17" width="10.25" customWidth="1"/>
    <col min="18" max="18" width="10.0833333333333" customWidth="1"/>
  </cols>
  <sheetData>
    <row r="1" ht="17" customHeight="1" spans="2:18">
      <c r="B1" s="25" t="s">
        <v>145</v>
      </c>
      <c r="C1" s="25"/>
      <c r="D1" s="25" t="s">
        <v>146</v>
      </c>
      <c r="E1" s="25"/>
      <c r="F1" s="25" t="s">
        <v>147</v>
      </c>
      <c r="G1" s="25"/>
      <c r="H1" s="25" t="s">
        <v>148</v>
      </c>
      <c r="I1" s="25"/>
      <c r="J1" s="25" t="s">
        <v>149</v>
      </c>
      <c r="K1" s="25"/>
      <c r="L1" s="25" t="s">
        <v>150</v>
      </c>
      <c r="M1" s="25"/>
      <c r="N1" s="25" t="s">
        <v>126</v>
      </c>
      <c r="O1" s="25"/>
      <c r="P1" s="25" t="s">
        <v>127</v>
      </c>
      <c r="Q1" s="25"/>
      <c r="R1" s="30" t="s">
        <v>99</v>
      </c>
    </row>
    <row r="2" spans="2:18">
      <c r="B2" t="s">
        <v>128</v>
      </c>
      <c r="C2" t="s">
        <v>129</v>
      </c>
      <c r="D2" t="s">
        <v>128</v>
      </c>
      <c r="E2" t="s">
        <v>129</v>
      </c>
      <c r="F2" t="s">
        <v>128</v>
      </c>
      <c r="G2" t="s">
        <v>129</v>
      </c>
      <c r="H2" t="s">
        <v>128</v>
      </c>
      <c r="I2" t="s">
        <v>129</v>
      </c>
      <c r="J2" t="s">
        <v>128</v>
      </c>
      <c r="K2" t="s">
        <v>129</v>
      </c>
      <c r="L2" t="s">
        <v>128</v>
      </c>
      <c r="M2" t="s">
        <v>129</v>
      </c>
      <c r="N2" t="s">
        <v>128</v>
      </c>
      <c r="O2" t="s">
        <v>129</v>
      </c>
      <c r="P2" t="s">
        <v>128</v>
      </c>
      <c r="Q2" t="s">
        <v>129</v>
      </c>
      <c r="R2" s="30"/>
    </row>
    <row r="3" spans="1:18">
      <c r="A3" t="s">
        <v>130</v>
      </c>
      <c r="B3" s="14">
        <v>224000000</v>
      </c>
      <c r="C3" t="s">
        <v>131</v>
      </c>
      <c r="D3" s="16">
        <v>187571996.977401</v>
      </c>
      <c r="E3" t="s">
        <v>131</v>
      </c>
      <c r="F3" s="16">
        <v>573.22526201999</v>
      </c>
      <c r="G3" t="s">
        <v>131</v>
      </c>
      <c r="H3" s="14">
        <v>357000</v>
      </c>
      <c r="I3" t="s">
        <v>131</v>
      </c>
      <c r="J3" s="16">
        <v>19452.7863236508</v>
      </c>
      <c r="K3" t="s">
        <v>131</v>
      </c>
      <c r="L3" s="16">
        <v>335805.844655744</v>
      </c>
      <c r="M3" t="s">
        <v>131</v>
      </c>
      <c r="N3" s="12">
        <v>0.0086</v>
      </c>
      <c r="O3" t="s">
        <v>131</v>
      </c>
      <c r="P3">
        <v>890</v>
      </c>
      <c r="Q3" t="s">
        <v>131</v>
      </c>
      <c r="R3" t="s">
        <v>102</v>
      </c>
    </row>
    <row r="4" spans="1:18">
      <c r="A4" t="s">
        <v>132</v>
      </c>
      <c r="B4" s="14">
        <v>261000000</v>
      </c>
      <c r="C4" s="12">
        <f>(B4-$B$3)/$B$3</f>
        <v>0.165178571428571</v>
      </c>
      <c r="D4" s="16">
        <v>205000000</v>
      </c>
      <c r="E4" s="12">
        <f>(D4-$D$3)/$D$3</f>
        <v>0.0929136721015918</v>
      </c>
      <c r="F4" s="16">
        <v>420.28954786514</v>
      </c>
      <c r="G4" s="12">
        <f>(F4-$F$3)/$F$3</f>
        <v>-0.266798629243798</v>
      </c>
      <c r="H4" s="14">
        <v>247000</v>
      </c>
      <c r="I4" s="12">
        <f>(H4-$H$3)/$H$3</f>
        <v>-0.30812324929972</v>
      </c>
      <c r="J4" s="16">
        <v>20376.7634430185</v>
      </c>
      <c r="K4" s="12">
        <f>(J4-$J$3)/$J$3</f>
        <v>0.0474984459292767</v>
      </c>
      <c r="L4" s="16">
        <v>224916.928931375</v>
      </c>
      <c r="M4" s="12">
        <f>(L4-$L$3)/$L$3</f>
        <v>-0.330217348772021</v>
      </c>
      <c r="N4" s="12">
        <v>0.0172</v>
      </c>
      <c r="O4" s="12">
        <f>(N4-$N$3)/$N$3</f>
        <v>1</v>
      </c>
      <c r="P4">
        <v>570</v>
      </c>
      <c r="Q4" s="12">
        <f>(P4-$P$3)/$P$3</f>
        <v>-0.359550561797753</v>
      </c>
      <c r="R4" t="s">
        <v>151</v>
      </c>
    </row>
    <row r="5" spans="1:18">
      <c r="A5" t="s">
        <v>133</v>
      </c>
      <c r="B5" s="14">
        <v>224000000</v>
      </c>
      <c r="C5" s="12">
        <f>(B5-$B$3)/$B$3</f>
        <v>0</v>
      </c>
      <c r="D5" s="16">
        <v>186732198.556806</v>
      </c>
      <c r="E5" s="12">
        <f>(D5-$D$3)/$D$3</f>
        <v>-0.00447720573501262</v>
      </c>
      <c r="F5" s="16">
        <v>615.414188077304</v>
      </c>
      <c r="G5" s="12">
        <f>(F5-$F$3)/$F$3</f>
        <v>0.0735992093381304</v>
      </c>
      <c r="H5" s="14">
        <v>715000</v>
      </c>
      <c r="I5" s="12">
        <f>(H5-$H$3)/$H$3</f>
        <v>1.00280112044818</v>
      </c>
      <c r="J5" s="16">
        <v>19464.7233874803</v>
      </c>
      <c r="K5" s="12">
        <f>(J5-$J$3)/$J$3</f>
        <v>0.000613642880299737</v>
      </c>
      <c r="L5" s="16">
        <v>694041.473663245</v>
      </c>
      <c r="M5" s="12">
        <f>(L5-$L$3)/$L$3</f>
        <v>1.06679390698143</v>
      </c>
      <c r="N5" s="12">
        <v>0.011</v>
      </c>
      <c r="O5" s="12">
        <f>(N5-$N$3)/$N$3</f>
        <v>0.27906976744186</v>
      </c>
      <c r="P5">
        <v>609</v>
      </c>
      <c r="Q5" s="12">
        <f>(P5-$P$3)/$P$3</f>
        <v>-0.315730337078652</v>
      </c>
      <c r="R5" t="s">
        <v>102</v>
      </c>
    </row>
    <row r="6" spans="1:18">
      <c r="A6" t="s">
        <v>134</v>
      </c>
      <c r="B6" s="14">
        <v>225474000</v>
      </c>
      <c r="C6" s="12">
        <f>(B6-$B$3)/$B$3</f>
        <v>0.00658035714285714</v>
      </c>
      <c r="D6" s="26">
        <v>188387096.421086</v>
      </c>
      <c r="E6" s="12">
        <f>(D6-$D$3)/$D$3</f>
        <v>0.00434552842012727</v>
      </c>
      <c r="F6" s="26">
        <v>569.526712702108</v>
      </c>
      <c r="G6" s="12">
        <f>(F6-$F$3)/$F$3</f>
        <v>-0.00645217432471313</v>
      </c>
      <c r="H6" s="14">
        <v>357000</v>
      </c>
      <c r="I6" s="12">
        <f>(H6-$H$3)/$H$3</f>
        <v>0</v>
      </c>
      <c r="J6" s="26">
        <v>19425.2285585741</v>
      </c>
      <c r="K6" s="12">
        <f>(J6-$J$3)/$J$3</f>
        <v>-0.00141664873186641</v>
      </c>
      <c r="L6" s="26">
        <v>335805.844655744</v>
      </c>
      <c r="M6" s="12">
        <f>(L6-$L$3)/$L$3</f>
        <v>-8.66686239084668e-16</v>
      </c>
      <c r="N6" s="12">
        <v>0.012</v>
      </c>
      <c r="O6" s="12">
        <f>(N6-$N$3)/$N$3</f>
        <v>0.395348837209302</v>
      </c>
      <c r="P6">
        <v>694</v>
      </c>
      <c r="Q6" s="12">
        <f>(P6-$P$3)/$P$3</f>
        <v>-0.220224719101124</v>
      </c>
      <c r="R6" t="s">
        <v>102</v>
      </c>
    </row>
    <row r="7" ht="15.5" spans="1:18">
      <c r="A7" t="s">
        <v>152</v>
      </c>
      <c r="B7" s="27">
        <v>602910000</v>
      </c>
      <c r="C7" s="12">
        <f>(B7-$B$3)/$B$3</f>
        <v>1.6915625</v>
      </c>
      <c r="D7" s="16">
        <f>B7*0.99</f>
        <v>596880900</v>
      </c>
      <c r="E7" s="12">
        <f>(D7-$D$3)/$D$3</f>
        <v>2.18214290842099</v>
      </c>
      <c r="F7" s="16">
        <f>B7*0.002</f>
        <v>1205820</v>
      </c>
      <c r="G7" s="12">
        <f>(F7-$F$3)/$F$3</f>
        <v>2102.57093431439</v>
      </c>
      <c r="H7" s="14">
        <v>1297360.35</v>
      </c>
      <c r="I7" s="12">
        <f>(H7-$H$3)/$H$3</f>
        <v>2.63406260504202</v>
      </c>
      <c r="J7" s="16">
        <f>H7*0.16</f>
        <v>207577.656</v>
      </c>
      <c r="K7" s="12">
        <f>(J7-$J$3)/$J$3</f>
        <v>9.6708443996851</v>
      </c>
      <c r="L7" s="16">
        <f>H7*0.83</f>
        <v>1076809.0905</v>
      </c>
      <c r="M7" s="12">
        <f>(L7-$L$3)/$L$3</f>
        <v>2.20664189631335</v>
      </c>
      <c r="N7" s="12">
        <v>0.042</v>
      </c>
      <c r="O7" s="12">
        <f>(N7-$N$3)/$N$3</f>
        <v>3.88372093023256</v>
      </c>
      <c r="P7">
        <v>1088</v>
      </c>
      <c r="Q7" s="12">
        <f>(P7-$P$3)/$P$3</f>
        <v>0.22247191011236</v>
      </c>
      <c r="R7" t="s">
        <v>131</v>
      </c>
    </row>
    <row r="8" spans="1:18">
      <c r="A8" t="s">
        <v>153</v>
      </c>
      <c r="B8" s="14">
        <v>143000000</v>
      </c>
      <c r="C8" s="12">
        <f>(B8-$B$3)/$B$3</f>
        <v>-0.361607142857143</v>
      </c>
      <c r="D8" s="28">
        <v>143225203.24779</v>
      </c>
      <c r="E8" s="12">
        <f>(D8-$D$3)/$D$3</f>
        <v>-0.236425449663222</v>
      </c>
      <c r="F8" s="28">
        <v>718.238885258095</v>
      </c>
      <c r="G8" s="12">
        <f>(F8-$F$3)/$F$3</f>
        <v>0.25297842374757</v>
      </c>
      <c r="H8" s="14">
        <v>355000</v>
      </c>
      <c r="I8" s="12">
        <f>(H8-$H$3)/$H$3</f>
        <v>-0.00560224089635854</v>
      </c>
      <c r="J8" s="28">
        <v>19452.7863236508</v>
      </c>
      <c r="K8" s="12">
        <f>(J8-$J$3)/$J$3</f>
        <v>-1.49612656883755e-15</v>
      </c>
      <c r="L8" s="28">
        <v>335805.844655744</v>
      </c>
      <c r="M8" s="12">
        <f>(L8-$L$3)/$L$3</f>
        <v>-8.66686239084668e-16</v>
      </c>
      <c r="N8" s="12">
        <v>0</v>
      </c>
      <c r="O8" s="12">
        <f>(N8-$N$3)/$N$3</f>
        <v>-1</v>
      </c>
      <c r="P8">
        <v>2.3</v>
      </c>
      <c r="Q8" s="12">
        <f>(P8-$P$3)/$P$3</f>
        <v>-0.997415730337079</v>
      </c>
      <c r="R8" t="s">
        <v>102</v>
      </c>
    </row>
    <row r="9" spans="1:18">
      <c r="A9" t="s">
        <v>154</v>
      </c>
      <c r="B9" s="14">
        <v>188000000</v>
      </c>
      <c r="C9" s="12">
        <f>(B9-$B$3)/$B$3</f>
        <v>-0.160714285714286</v>
      </c>
      <c r="D9" s="14">
        <v>187571996.977401</v>
      </c>
      <c r="E9" s="12">
        <f>(D9-$D$3)/$D$3</f>
        <v>0</v>
      </c>
      <c r="F9" s="14">
        <v>573.22526201999</v>
      </c>
      <c r="G9" s="12">
        <f>(F9-$F$3)/$F$3</f>
        <v>0</v>
      </c>
      <c r="H9" s="14">
        <f>355000</f>
        <v>355000</v>
      </c>
      <c r="I9" s="12">
        <f>(H9-$H$3)/$H$3</f>
        <v>-0.00560224089635854</v>
      </c>
      <c r="J9" s="14">
        <v>19452.7863236508</v>
      </c>
      <c r="K9" s="12">
        <f>(J9-$J$3)/$J$3</f>
        <v>0</v>
      </c>
      <c r="L9" s="14">
        <v>335805.844655744</v>
      </c>
      <c r="M9" s="12">
        <f>(L9-$L$3)/$L$3</f>
        <v>0</v>
      </c>
      <c r="N9" s="12">
        <v>0</v>
      </c>
      <c r="O9" s="12">
        <f>(N9-$N$3)/$N$3</f>
        <v>-1</v>
      </c>
      <c r="P9">
        <v>5</v>
      </c>
      <c r="Q9" s="12">
        <f>(P9-$P$3)/$P$3</f>
        <v>-0.99438202247191</v>
      </c>
      <c r="R9" t="s">
        <v>102</v>
      </c>
    </row>
    <row r="10" spans="4:12">
      <c r="D10">
        <f>D3/B3</f>
        <v>0.837374986506254</v>
      </c>
      <c r="F10" s="29">
        <f>F3/B3</f>
        <v>2.55904134830353e-6</v>
      </c>
      <c r="J10">
        <f>J3/H3</f>
        <v>0.0544895975452403</v>
      </c>
      <c r="L10">
        <f>L3/H3</f>
        <v>0.940632618083316</v>
      </c>
    </row>
    <row r="11" ht="15.5" spans="8:8">
      <c r="H11" s="27"/>
    </row>
    <row r="12" spans="2:18">
      <c r="B12" s="25" t="s">
        <v>145</v>
      </c>
      <c r="C12" s="25"/>
      <c r="D12" s="25" t="s">
        <v>146</v>
      </c>
      <c r="E12" s="25"/>
      <c r="F12" s="25" t="s">
        <v>147</v>
      </c>
      <c r="G12" s="25"/>
      <c r="H12" s="25" t="s">
        <v>148</v>
      </c>
      <c r="I12" s="25"/>
      <c r="J12" s="25" t="s">
        <v>149</v>
      </c>
      <c r="K12" s="25"/>
      <c r="L12" s="25" t="s">
        <v>150</v>
      </c>
      <c r="M12" s="25"/>
      <c r="N12" s="25" t="s">
        <v>126</v>
      </c>
      <c r="O12" s="25"/>
      <c r="P12" s="25" t="s">
        <v>127</v>
      </c>
      <c r="Q12" s="25"/>
      <c r="R12" s="30" t="s">
        <v>99</v>
      </c>
    </row>
    <row r="13" spans="2:18">
      <c r="B13" t="s">
        <v>128</v>
      </c>
      <c r="C13" t="s">
        <v>129</v>
      </c>
      <c r="D13" t="s">
        <v>128</v>
      </c>
      <c r="E13" t="s">
        <v>129</v>
      </c>
      <c r="F13" t="s">
        <v>128</v>
      </c>
      <c r="G13" t="s">
        <v>129</v>
      </c>
      <c r="H13" t="s">
        <v>128</v>
      </c>
      <c r="I13" t="s">
        <v>129</v>
      </c>
      <c r="J13" t="s">
        <v>128</v>
      </c>
      <c r="K13" t="s">
        <v>129</v>
      </c>
      <c r="L13" t="s">
        <v>128</v>
      </c>
      <c r="M13" t="s">
        <v>129</v>
      </c>
      <c r="N13" t="s">
        <v>128</v>
      </c>
      <c r="O13" t="s">
        <v>129</v>
      </c>
      <c r="P13" t="s">
        <v>128</v>
      </c>
      <c r="Q13" t="s">
        <v>129</v>
      </c>
      <c r="R13" s="30"/>
    </row>
    <row r="14" spans="1:18">
      <c r="A14" t="s">
        <v>130</v>
      </c>
      <c r="B14" s="14">
        <v>224000000</v>
      </c>
      <c r="C14" t="s">
        <v>131</v>
      </c>
      <c r="D14" s="16">
        <v>187571996.977401</v>
      </c>
      <c r="E14" t="s">
        <v>131</v>
      </c>
      <c r="F14" s="16">
        <v>573.22526201999</v>
      </c>
      <c r="G14" t="s">
        <v>131</v>
      </c>
      <c r="H14" s="14">
        <v>357000</v>
      </c>
      <c r="I14" t="s">
        <v>131</v>
      </c>
      <c r="J14" s="16">
        <v>19452.7863236508</v>
      </c>
      <c r="K14" t="s">
        <v>131</v>
      </c>
      <c r="L14" s="16">
        <v>335805.844655744</v>
      </c>
      <c r="M14" t="s">
        <v>131</v>
      </c>
      <c r="N14" s="12">
        <v>0.0086</v>
      </c>
      <c r="O14" t="s">
        <v>131</v>
      </c>
      <c r="P14">
        <v>890</v>
      </c>
      <c r="Q14" t="s">
        <v>131</v>
      </c>
      <c r="R14" t="s">
        <v>102</v>
      </c>
    </row>
    <row r="15" spans="1:18">
      <c r="A15" t="s">
        <v>132</v>
      </c>
      <c r="B15" s="14">
        <v>261000000</v>
      </c>
      <c r="C15" s="12">
        <f>(B15-$B$3)/$B$3</f>
        <v>0.165178571428571</v>
      </c>
      <c r="D15" s="16">
        <v>205000000</v>
      </c>
      <c r="E15" s="12">
        <f>(D15-$D$3)/$D$3</f>
        <v>0.0929136721015918</v>
      </c>
      <c r="F15" s="16">
        <v>420.28954786514</v>
      </c>
      <c r="G15" s="12">
        <f>(F15-$F$3)/$F$3</f>
        <v>-0.266798629243798</v>
      </c>
      <c r="H15" s="14">
        <v>247000</v>
      </c>
      <c r="I15" s="12">
        <f>(H15-$H$3)/$H$3</f>
        <v>-0.30812324929972</v>
      </c>
      <c r="J15" s="16">
        <v>20376.7634430185</v>
      </c>
      <c r="K15" s="12">
        <f>(J15-$J$3)/$J$3</f>
        <v>0.0474984459292767</v>
      </c>
      <c r="L15" s="16">
        <v>224916.928931375</v>
      </c>
      <c r="M15" s="12">
        <f>(L15-$L$3)/$L$3</f>
        <v>-0.330217348772021</v>
      </c>
      <c r="N15" s="12">
        <v>0.0172</v>
      </c>
      <c r="O15" s="12">
        <f>(N15-$N$3)/$N$3</f>
        <v>1</v>
      </c>
      <c r="P15">
        <v>570</v>
      </c>
      <c r="Q15" s="12">
        <f>(P15-$P$3)/$P$3</f>
        <v>-0.359550561797753</v>
      </c>
      <c r="R15" t="s">
        <v>151</v>
      </c>
    </row>
    <row r="16" spans="1:18">
      <c r="A16" t="s">
        <v>133</v>
      </c>
      <c r="B16" s="14">
        <v>224000000</v>
      </c>
      <c r="C16" s="12">
        <f>(B16-$B$3)/$B$3</f>
        <v>0</v>
      </c>
      <c r="D16" s="16">
        <v>186732198.556806</v>
      </c>
      <c r="E16" s="12">
        <f>(D16-$D$3)/$D$3</f>
        <v>-0.00447720573501262</v>
      </c>
      <c r="F16" s="16">
        <v>615.414188077304</v>
      </c>
      <c r="G16" s="12">
        <f>(F16-$F$3)/$F$3</f>
        <v>0.0735992093381304</v>
      </c>
      <c r="H16" s="14">
        <v>715000</v>
      </c>
      <c r="I16" s="12">
        <f>(H16-$H$3)/$H$3</f>
        <v>1.00280112044818</v>
      </c>
      <c r="J16" s="16">
        <v>19464.7233874803</v>
      </c>
      <c r="K16" s="12">
        <f>(J16-$J$3)/$J$3</f>
        <v>0.000613642880299737</v>
      </c>
      <c r="L16" s="16">
        <v>694041.473663245</v>
      </c>
      <c r="M16" s="12">
        <f>(L16-$L$3)/$L$3</f>
        <v>1.06679390698143</v>
      </c>
      <c r="N16" s="12">
        <v>0.011</v>
      </c>
      <c r="O16" s="12">
        <f>(N16-$N$3)/$N$3</f>
        <v>0.27906976744186</v>
      </c>
      <c r="P16">
        <v>609</v>
      </c>
      <c r="Q16" s="12">
        <f>(P16-$P$3)/$P$3</f>
        <v>-0.315730337078652</v>
      </c>
      <c r="R16" t="s">
        <v>102</v>
      </c>
    </row>
    <row r="17" spans="1:18">
      <c r="A17" t="s">
        <v>134</v>
      </c>
      <c r="B17" s="14">
        <v>225474000</v>
      </c>
      <c r="C17" s="12">
        <f>(B17-$B$3)/$B$3</f>
        <v>0.00658035714285714</v>
      </c>
      <c r="D17" s="26">
        <v>188387096.421086</v>
      </c>
      <c r="E17" s="12">
        <f>(D17-$D$3)/$D$3</f>
        <v>0.00434552842012727</v>
      </c>
      <c r="F17" s="26">
        <v>569.526712702108</v>
      </c>
      <c r="G17" s="12">
        <f>(F17-$F$3)/$F$3</f>
        <v>-0.00645217432471313</v>
      </c>
      <c r="H17" s="14">
        <v>357000</v>
      </c>
      <c r="I17" s="12">
        <f>(H17-$H$3)/$H$3</f>
        <v>0</v>
      </c>
      <c r="J17" s="26">
        <v>19425.2285585741</v>
      </c>
      <c r="K17" s="12">
        <f>(J17-$J$3)/$J$3</f>
        <v>-0.00141664873186641</v>
      </c>
      <c r="L17" s="26">
        <v>335805.844655744</v>
      </c>
      <c r="M17" s="12">
        <f>(L17-$L$3)/$L$3</f>
        <v>-8.66686239084668e-16</v>
      </c>
      <c r="N17" s="12">
        <v>0.012</v>
      </c>
      <c r="O17" s="12">
        <f>(N17-$N$3)/$N$3</f>
        <v>0.395348837209302</v>
      </c>
      <c r="P17">
        <v>694</v>
      </c>
      <c r="Q17" s="12">
        <f>(P17-$P$3)/$P$3</f>
        <v>-0.220224719101124</v>
      </c>
      <c r="R17" t="s">
        <v>102</v>
      </c>
    </row>
    <row r="19" spans="2:18">
      <c r="B19" s="25" t="s">
        <v>145</v>
      </c>
      <c r="C19" s="25"/>
      <c r="D19" s="25" t="s">
        <v>146</v>
      </c>
      <c r="E19" s="25"/>
      <c r="F19" s="25" t="s">
        <v>147</v>
      </c>
      <c r="G19" s="25"/>
      <c r="H19" s="25" t="s">
        <v>148</v>
      </c>
      <c r="I19" s="25"/>
      <c r="J19" s="25" t="s">
        <v>149</v>
      </c>
      <c r="K19" s="25"/>
      <c r="L19" s="25" t="s">
        <v>150</v>
      </c>
      <c r="M19" s="25"/>
      <c r="N19" s="25" t="s">
        <v>126</v>
      </c>
      <c r="O19" s="25"/>
      <c r="P19" s="25" t="s">
        <v>127</v>
      </c>
      <c r="Q19" s="25"/>
      <c r="R19" s="30" t="s">
        <v>99</v>
      </c>
    </row>
    <row r="20" spans="2:18">
      <c r="B20" t="s">
        <v>128</v>
      </c>
      <c r="C20" t="s">
        <v>129</v>
      </c>
      <c r="D20" t="s">
        <v>128</v>
      </c>
      <c r="E20" t="s">
        <v>129</v>
      </c>
      <c r="F20" t="s">
        <v>128</v>
      </c>
      <c r="G20" t="s">
        <v>129</v>
      </c>
      <c r="H20" t="s">
        <v>128</v>
      </c>
      <c r="I20" t="s">
        <v>129</v>
      </c>
      <c r="J20" t="s">
        <v>128</v>
      </c>
      <c r="K20" t="s">
        <v>129</v>
      </c>
      <c r="L20" t="s">
        <v>128</v>
      </c>
      <c r="M20" t="s">
        <v>129</v>
      </c>
      <c r="N20" t="s">
        <v>128</v>
      </c>
      <c r="O20" t="s">
        <v>129</v>
      </c>
      <c r="P20" t="s">
        <v>128</v>
      </c>
      <c r="Q20" t="s">
        <v>129</v>
      </c>
      <c r="R20" s="30"/>
    </row>
    <row r="21" spans="1:18">
      <c r="A21" t="s">
        <v>130</v>
      </c>
      <c r="B21" s="14">
        <v>224000000</v>
      </c>
      <c r="C21" t="s">
        <v>131</v>
      </c>
      <c r="D21" s="16">
        <v>187571996.977401</v>
      </c>
      <c r="E21" t="s">
        <v>131</v>
      </c>
      <c r="F21" s="16">
        <v>573.22526201999</v>
      </c>
      <c r="G21" t="s">
        <v>131</v>
      </c>
      <c r="H21" s="14">
        <v>357000</v>
      </c>
      <c r="I21" t="s">
        <v>131</v>
      </c>
      <c r="J21" s="16">
        <v>19452.7863236508</v>
      </c>
      <c r="K21" t="s">
        <v>131</v>
      </c>
      <c r="L21" s="16">
        <v>335805.844655744</v>
      </c>
      <c r="M21" t="s">
        <v>131</v>
      </c>
      <c r="N21" s="12">
        <v>0.0086</v>
      </c>
      <c r="O21" t="s">
        <v>131</v>
      </c>
      <c r="P21">
        <v>890</v>
      </c>
      <c r="Q21" t="s">
        <v>131</v>
      </c>
      <c r="R21" t="s">
        <v>102</v>
      </c>
    </row>
    <row r="22" ht="15.5" spans="1:18">
      <c r="A22" t="s">
        <v>152</v>
      </c>
      <c r="B22" s="27">
        <v>602910000</v>
      </c>
      <c r="C22" s="12">
        <f>(B22-$B$3)/$B$3</f>
        <v>1.6915625</v>
      </c>
      <c r="D22" s="16">
        <f>B22*0.99</f>
        <v>596880900</v>
      </c>
      <c r="E22" s="12">
        <f>(D22-$D$3)/$D$3</f>
        <v>2.18214290842099</v>
      </c>
      <c r="F22" s="16">
        <f>B22*0.002</f>
        <v>1205820</v>
      </c>
      <c r="G22" s="12">
        <f>(F22-$F$3)/$F$3</f>
        <v>2102.57093431439</v>
      </c>
      <c r="H22" s="14">
        <v>1297360.35</v>
      </c>
      <c r="I22" s="12">
        <f>(H22-$H$3)/$H$3</f>
        <v>2.63406260504202</v>
      </c>
      <c r="J22" s="16">
        <f>H22*0.16</f>
        <v>207577.656</v>
      </c>
      <c r="K22" s="12">
        <f>(J22-$J$3)/$J$3</f>
        <v>9.6708443996851</v>
      </c>
      <c r="L22" s="16">
        <f>H22*0.83</f>
        <v>1076809.0905</v>
      </c>
      <c r="M22" s="12">
        <f>(L22-$L$3)/$L$3</f>
        <v>2.20664189631335</v>
      </c>
      <c r="N22" s="12">
        <v>0.042</v>
      </c>
      <c r="O22" s="12">
        <f>(N22-$N$3)/$N$3</f>
        <v>3.88372093023256</v>
      </c>
      <c r="P22">
        <v>1088</v>
      </c>
      <c r="Q22" s="12">
        <f>(P22-$P$3)/$P$3</f>
        <v>0.22247191011236</v>
      </c>
      <c r="R22" t="s">
        <v>131</v>
      </c>
    </row>
    <row r="23" spans="1:18">
      <c r="A23" t="s">
        <v>153</v>
      </c>
      <c r="B23" s="14">
        <v>143000000</v>
      </c>
      <c r="C23" s="12">
        <f>(B23-$B$3)/$B$3</f>
        <v>-0.361607142857143</v>
      </c>
      <c r="D23" s="28">
        <v>143225203.24779</v>
      </c>
      <c r="E23" s="12">
        <f>(D23-$D$3)/$D$3</f>
        <v>-0.236425449663222</v>
      </c>
      <c r="F23" s="28">
        <v>718.238885258095</v>
      </c>
      <c r="G23" s="12">
        <f>(F23-$F$3)/$F$3</f>
        <v>0.25297842374757</v>
      </c>
      <c r="H23" s="14">
        <v>355000</v>
      </c>
      <c r="I23" s="12">
        <f>(H23-$H$3)/$H$3</f>
        <v>-0.00560224089635854</v>
      </c>
      <c r="J23" s="28">
        <v>19452.7863236508</v>
      </c>
      <c r="K23" s="12">
        <f>(J23-$J$3)/$J$3</f>
        <v>-1.49612656883755e-15</v>
      </c>
      <c r="L23" s="28">
        <v>335805.844655744</v>
      </c>
      <c r="M23" s="12">
        <f>(L23-$L$3)/$L$3</f>
        <v>-8.66686239084668e-16</v>
      </c>
      <c r="N23" s="12">
        <v>0</v>
      </c>
      <c r="O23" s="12">
        <f>(N23-$N$3)/$N$3</f>
        <v>-1</v>
      </c>
      <c r="P23">
        <v>2.3</v>
      </c>
      <c r="Q23" s="12">
        <f>(P23-$P$3)/$P$3</f>
        <v>-0.997415730337079</v>
      </c>
      <c r="R23" t="s">
        <v>102</v>
      </c>
    </row>
    <row r="24" spans="1:18">
      <c r="A24" t="s">
        <v>154</v>
      </c>
      <c r="B24" s="14">
        <v>188000000</v>
      </c>
      <c r="C24" s="12">
        <f>(B24-$B$3)/$B$3</f>
        <v>-0.160714285714286</v>
      </c>
      <c r="D24" s="14">
        <v>187571996.977401</v>
      </c>
      <c r="E24" s="12">
        <f>(D24-$D$3)/$D$3</f>
        <v>0</v>
      </c>
      <c r="F24" s="14">
        <v>573.22526201999</v>
      </c>
      <c r="G24" s="12">
        <f>(F24-$F$3)/$F$3</f>
        <v>0</v>
      </c>
      <c r="H24" s="14">
        <f>355000</f>
        <v>355000</v>
      </c>
      <c r="I24" s="12">
        <f>(H24-$H$3)/$H$3</f>
        <v>-0.00560224089635854</v>
      </c>
      <c r="J24" s="14">
        <v>19452.7863236508</v>
      </c>
      <c r="K24" s="12">
        <f>(J24-$J$3)/$J$3</f>
        <v>0</v>
      </c>
      <c r="L24" s="14">
        <v>335805.844655744</v>
      </c>
      <c r="M24" s="12">
        <f>(L24-$L$3)/$L$3</f>
        <v>0</v>
      </c>
      <c r="N24" s="12">
        <v>0</v>
      </c>
      <c r="O24" s="12">
        <f>(N24-$N$3)/$N$3</f>
        <v>-1</v>
      </c>
      <c r="P24">
        <v>5</v>
      </c>
      <c r="Q24" s="12">
        <f>(P24-$P$3)/$P$3</f>
        <v>-0.99438202247191</v>
      </c>
      <c r="R24" t="s">
        <v>102</v>
      </c>
    </row>
    <row r="27" ht="14.75" spans="1:10">
      <c r="A27" s="30" t="s">
        <v>124</v>
      </c>
      <c r="B27" s="25" t="s">
        <v>146</v>
      </c>
      <c r="C27" s="25"/>
      <c r="D27" s="25" t="s">
        <v>147</v>
      </c>
      <c r="E27" s="25"/>
      <c r="F27" s="25" t="s">
        <v>149</v>
      </c>
      <c r="G27" s="25"/>
      <c r="H27" s="25" t="s">
        <v>150</v>
      </c>
      <c r="I27" s="25"/>
      <c r="J27" s="30" t="s">
        <v>99</v>
      </c>
    </row>
    <row r="28" ht="14.75" spans="1:21">
      <c r="A28" s="30"/>
      <c r="B28" t="s">
        <v>128</v>
      </c>
      <c r="C28" t="s">
        <v>129</v>
      </c>
      <c r="D28" t="s">
        <v>128</v>
      </c>
      <c r="E28" t="s">
        <v>129</v>
      </c>
      <c r="F28" t="s">
        <v>128</v>
      </c>
      <c r="G28" t="s">
        <v>129</v>
      </c>
      <c r="H28" t="s">
        <v>128</v>
      </c>
      <c r="I28" t="s">
        <v>129</v>
      </c>
      <c r="J28" s="30"/>
      <c r="L28" s="36" t="s">
        <v>124</v>
      </c>
      <c r="M28" s="36" t="s">
        <v>155</v>
      </c>
      <c r="N28" s="36"/>
      <c r="O28" s="36" t="s">
        <v>156</v>
      </c>
      <c r="P28" s="36"/>
      <c r="Q28" s="36" t="s">
        <v>157</v>
      </c>
      <c r="R28" s="36"/>
      <c r="S28" s="42" t="s">
        <v>158</v>
      </c>
      <c r="T28" s="42"/>
      <c r="U28" s="30" t="s">
        <v>99</v>
      </c>
    </row>
    <row r="29" ht="14.75" spans="1:21">
      <c r="A29" t="s">
        <v>130</v>
      </c>
      <c r="B29" s="16">
        <v>187571996.977401</v>
      </c>
      <c r="C29" t="s">
        <v>131</v>
      </c>
      <c r="D29" s="16">
        <v>573.22526201999</v>
      </c>
      <c r="E29" t="s">
        <v>131</v>
      </c>
      <c r="F29" s="16">
        <v>19452.7863236508</v>
      </c>
      <c r="G29" t="s">
        <v>131</v>
      </c>
      <c r="H29" s="16">
        <v>335805.844655744</v>
      </c>
      <c r="I29" t="s">
        <v>131</v>
      </c>
      <c r="J29" t="s">
        <v>102</v>
      </c>
      <c r="L29" s="36"/>
      <c r="M29" s="37" t="s">
        <v>128</v>
      </c>
      <c r="N29" s="37" t="s">
        <v>129</v>
      </c>
      <c r="O29" s="37" t="s">
        <v>128</v>
      </c>
      <c r="P29" s="37" t="s">
        <v>129</v>
      </c>
      <c r="Q29" s="37" t="s">
        <v>128</v>
      </c>
      <c r="R29" s="37" t="s">
        <v>129</v>
      </c>
      <c r="S29" s="37" t="s">
        <v>128</v>
      </c>
      <c r="T29" s="43" t="s">
        <v>129</v>
      </c>
      <c r="U29" s="30"/>
    </row>
    <row r="30" ht="14.75" spans="1:21">
      <c r="A30" t="s">
        <v>132</v>
      </c>
      <c r="B30" s="16">
        <v>205000000</v>
      </c>
      <c r="C30" s="12">
        <f>(B30-$D$3)/$D$3</f>
        <v>0.0929136721015918</v>
      </c>
      <c r="D30" s="16">
        <v>420.28954786514</v>
      </c>
      <c r="E30" s="12">
        <f>(D30-$F$3)/$F$3</f>
        <v>-0.266798629243798</v>
      </c>
      <c r="F30" s="16">
        <v>20376.7634430185</v>
      </c>
      <c r="G30" s="12">
        <f>(F30-$J$3)/$J$3</f>
        <v>0.0474984459292767</v>
      </c>
      <c r="H30" s="16">
        <v>224916.928931375</v>
      </c>
      <c r="I30" s="12">
        <f>(H30-$L$3)/$L$3</f>
        <v>-0.330217348772021</v>
      </c>
      <c r="J30" t="s">
        <v>151</v>
      </c>
      <c r="L30" s="37" t="s">
        <v>130</v>
      </c>
      <c r="M30" s="37" t="s">
        <v>159</v>
      </c>
      <c r="N30" s="37" t="s">
        <v>131</v>
      </c>
      <c r="O30" s="37" t="s">
        <v>160</v>
      </c>
      <c r="P30" s="37" t="s">
        <v>131</v>
      </c>
      <c r="Q30" s="37" t="s">
        <v>161</v>
      </c>
      <c r="R30" s="37" t="s">
        <v>131</v>
      </c>
      <c r="S30" s="37" t="s">
        <v>162</v>
      </c>
      <c r="T30" s="43" t="s">
        <v>131</v>
      </c>
      <c r="U30" t="s">
        <v>102</v>
      </c>
    </row>
    <row r="31" ht="14.75" spans="1:21">
      <c r="A31" t="s">
        <v>133</v>
      </c>
      <c r="B31" s="16">
        <v>186732198.556806</v>
      </c>
      <c r="C31" s="12">
        <f>(B31-$D$3)/$D$3</f>
        <v>-0.00447720573501262</v>
      </c>
      <c r="D31" s="16">
        <v>615.414188077304</v>
      </c>
      <c r="E31" s="12">
        <f>(D31-$F$3)/$F$3</f>
        <v>0.0735992093381304</v>
      </c>
      <c r="F31" s="16">
        <v>19464.7233874803</v>
      </c>
      <c r="G31" s="12">
        <f>(F31-$J$3)/$J$3</f>
        <v>0.000613642880299737</v>
      </c>
      <c r="H31" s="16">
        <v>694041.473663245</v>
      </c>
      <c r="I31" s="12">
        <f>(H31-$L$3)/$L$3</f>
        <v>1.06679390698143</v>
      </c>
      <c r="J31" t="s">
        <v>102</v>
      </c>
      <c r="L31" s="37" t="s">
        <v>163</v>
      </c>
      <c r="M31" s="37" t="s">
        <v>164</v>
      </c>
      <c r="N31" s="38">
        <v>0.0929</v>
      </c>
      <c r="O31" s="37" t="s">
        <v>165</v>
      </c>
      <c r="P31" s="38">
        <v>-0.2668</v>
      </c>
      <c r="Q31" s="37" t="s">
        <v>166</v>
      </c>
      <c r="R31" s="38">
        <v>0.0475</v>
      </c>
      <c r="S31" s="37" t="s">
        <v>167</v>
      </c>
      <c r="T31" s="44">
        <v>-0.3302</v>
      </c>
      <c r="U31" t="s">
        <v>151</v>
      </c>
    </row>
    <row r="32" ht="14.75" spans="1:21">
      <c r="A32" t="s">
        <v>134</v>
      </c>
      <c r="B32" s="26">
        <v>188387096.421086</v>
      </c>
      <c r="C32" s="12">
        <f>(B32-$D$3)/$D$3</f>
        <v>0.00434552842012727</v>
      </c>
      <c r="D32" s="26">
        <v>569.526712702108</v>
      </c>
      <c r="E32" s="12">
        <f>(D32-$F$3)/$F$3</f>
        <v>-0.00645217432471313</v>
      </c>
      <c r="F32" s="26">
        <v>19425.2285585741</v>
      </c>
      <c r="G32" s="12">
        <f>(F32-$J$3)/$J$3</f>
        <v>-0.00141664873186641</v>
      </c>
      <c r="H32" s="26">
        <v>335805.844655744</v>
      </c>
      <c r="I32" s="12">
        <f>(H32-$L$3)/$L$3</f>
        <v>-8.66686239084668e-16</v>
      </c>
      <c r="J32" t="s">
        <v>102</v>
      </c>
      <c r="L32" s="37" t="s">
        <v>168</v>
      </c>
      <c r="M32" s="37" t="s">
        <v>169</v>
      </c>
      <c r="N32" s="38">
        <v>-0.0045</v>
      </c>
      <c r="O32" s="37" t="s">
        <v>170</v>
      </c>
      <c r="P32" s="38">
        <v>0.0736</v>
      </c>
      <c r="Q32" s="37" t="s">
        <v>171</v>
      </c>
      <c r="R32" s="38">
        <v>0.0006</v>
      </c>
      <c r="S32" s="37" t="s">
        <v>172</v>
      </c>
      <c r="T32" s="44">
        <v>1.0668</v>
      </c>
      <c r="U32" t="s">
        <v>102</v>
      </c>
    </row>
    <row r="33" ht="14.75" spans="12:21">
      <c r="L33" s="37" t="s">
        <v>173</v>
      </c>
      <c r="M33" s="37" t="s">
        <v>174</v>
      </c>
      <c r="N33" s="38">
        <v>0.0043</v>
      </c>
      <c r="O33" s="37" t="s">
        <v>175</v>
      </c>
      <c r="P33" s="38">
        <v>-0.0065</v>
      </c>
      <c r="Q33" s="37" t="s">
        <v>176</v>
      </c>
      <c r="R33" s="38">
        <v>-0.0014</v>
      </c>
      <c r="S33" s="37" t="s">
        <v>162</v>
      </c>
      <c r="T33" s="44">
        <v>0</v>
      </c>
      <c r="U33" t="s">
        <v>102</v>
      </c>
    </row>
    <row r="34" spans="1:9">
      <c r="A34" s="25"/>
      <c r="B34" s="25" t="s">
        <v>146</v>
      </c>
      <c r="C34" s="25"/>
      <c r="D34" s="25" t="s">
        <v>147</v>
      </c>
      <c r="E34" s="25"/>
      <c r="F34" s="25" t="s">
        <v>149</v>
      </c>
      <c r="G34" s="25"/>
      <c r="H34" s="25" t="s">
        <v>150</v>
      </c>
      <c r="I34" s="25"/>
    </row>
    <row r="35" spans="1:9">
      <c r="A35" s="25"/>
      <c r="B35" t="s">
        <v>128</v>
      </c>
      <c r="C35" t="s">
        <v>129</v>
      </c>
      <c r="D35" t="s">
        <v>128</v>
      </c>
      <c r="E35" t="s">
        <v>129</v>
      </c>
      <c r="F35" t="s">
        <v>128</v>
      </c>
      <c r="G35" t="s">
        <v>129</v>
      </c>
      <c r="H35" t="s">
        <v>128</v>
      </c>
      <c r="I35" t="s">
        <v>129</v>
      </c>
    </row>
    <row r="36" ht="14.75" spans="1:9">
      <c r="A36" t="s">
        <v>130</v>
      </c>
      <c r="B36" s="16">
        <v>187571996.977401</v>
      </c>
      <c r="C36" t="s">
        <v>131</v>
      </c>
      <c r="D36" s="16">
        <v>573.22526201999</v>
      </c>
      <c r="E36" t="s">
        <v>131</v>
      </c>
      <c r="F36" s="16">
        <v>19452.7863236508</v>
      </c>
      <c r="G36" t="s">
        <v>131</v>
      </c>
      <c r="H36" s="16">
        <v>335805.844655744</v>
      </c>
      <c r="I36" t="s">
        <v>131</v>
      </c>
    </row>
    <row r="37" ht="14.75" spans="1:21">
      <c r="A37" t="s">
        <v>152</v>
      </c>
      <c r="B37" s="16">
        <v>596880900</v>
      </c>
      <c r="C37" s="12">
        <v>2.18214290842099</v>
      </c>
      <c r="D37" s="16">
        <v>1205.82</v>
      </c>
      <c r="E37" s="12">
        <f>(D37-$D$36)/$D$36</f>
        <v>1.10357093431439</v>
      </c>
      <c r="F37" s="16">
        <v>207577.656</v>
      </c>
      <c r="G37" s="12">
        <v>9.6708443996851</v>
      </c>
      <c r="H37" s="16">
        <v>1076809.0905</v>
      </c>
      <c r="I37" s="12">
        <v>2.20664189631335</v>
      </c>
      <c r="L37" s="17"/>
      <c r="M37" s="36" t="s">
        <v>155</v>
      </c>
      <c r="N37" s="36"/>
      <c r="O37" s="36" t="s">
        <v>156</v>
      </c>
      <c r="P37" s="36"/>
      <c r="Q37" s="36" t="s">
        <v>157</v>
      </c>
      <c r="R37" s="36"/>
      <c r="S37" s="42" t="s">
        <v>158</v>
      </c>
      <c r="T37" s="42"/>
      <c r="U37" s="30" t="s">
        <v>99</v>
      </c>
    </row>
    <row r="38" ht="14.75" spans="1:21">
      <c r="A38" t="s">
        <v>153</v>
      </c>
      <c r="B38" s="28">
        <v>143225203.24779</v>
      </c>
      <c r="C38" s="12">
        <f>(B38-$D$3)/$D$3</f>
        <v>-0.236425449663222</v>
      </c>
      <c r="D38" s="28">
        <v>718.238885258095</v>
      </c>
      <c r="E38" s="12">
        <f>(D38-$F$3)/$F$3</f>
        <v>0.25297842374757</v>
      </c>
      <c r="F38" s="28">
        <v>19452.7863236508</v>
      </c>
      <c r="G38" s="12">
        <f>(F38-$J$3)/$J$3</f>
        <v>-1.49612656883755e-15</v>
      </c>
      <c r="H38" s="28">
        <v>335805.844655744</v>
      </c>
      <c r="I38" s="12">
        <f>(H38-$L$3)/$L$3</f>
        <v>-8.66686239084668e-16</v>
      </c>
      <c r="L38" s="17"/>
      <c r="M38" s="37" t="s">
        <v>128</v>
      </c>
      <c r="N38" s="37" t="s">
        <v>129</v>
      </c>
      <c r="O38" s="37" t="s">
        <v>128</v>
      </c>
      <c r="P38" s="37" t="s">
        <v>129</v>
      </c>
      <c r="Q38" s="37" t="s">
        <v>128</v>
      </c>
      <c r="R38" s="37" t="s">
        <v>129</v>
      </c>
      <c r="S38" s="37" t="s">
        <v>128</v>
      </c>
      <c r="T38" s="43" t="s">
        <v>129</v>
      </c>
      <c r="U38" s="30"/>
    </row>
    <row r="39" ht="14.75" spans="1:21">
      <c r="A39" t="s">
        <v>154</v>
      </c>
      <c r="B39" s="14">
        <f>187571996.977401*0.83</f>
        <v>155684757.491243</v>
      </c>
      <c r="C39" s="12">
        <f>(B39-$D$3)/$D$3</f>
        <v>-0.17</v>
      </c>
      <c r="D39" s="14">
        <f>187571996.977401*0.00000255</f>
        <v>478.308592292373</v>
      </c>
      <c r="E39" s="12">
        <f>(D39-$F$3)/$F$3</f>
        <v>-0.165583542834697</v>
      </c>
      <c r="F39" s="16">
        <v>19452.7863236508</v>
      </c>
      <c r="G39" s="12">
        <f>(F39-$J$3)/$J$3</f>
        <v>0</v>
      </c>
      <c r="H39" s="16">
        <v>335805.844655744</v>
      </c>
      <c r="I39" s="12">
        <f>(H39-$L$3)/$L$3</f>
        <v>0</v>
      </c>
      <c r="L39" s="37" t="s">
        <v>130</v>
      </c>
      <c r="M39" s="37" t="s">
        <v>177</v>
      </c>
      <c r="N39" s="37" t="s">
        <v>131</v>
      </c>
      <c r="O39" s="37" t="s">
        <v>178</v>
      </c>
      <c r="P39" s="37" t="s">
        <v>131</v>
      </c>
      <c r="Q39" s="37" t="s">
        <v>179</v>
      </c>
      <c r="R39" s="37" t="s">
        <v>131</v>
      </c>
      <c r="S39" s="37" t="s">
        <v>180</v>
      </c>
      <c r="T39" s="43" t="s">
        <v>131</v>
      </c>
      <c r="U39" t="s">
        <v>102</v>
      </c>
    </row>
    <row r="40" ht="14.75" spans="12:21">
      <c r="L40" s="37" t="s">
        <v>152</v>
      </c>
      <c r="M40" s="37" t="s">
        <v>181</v>
      </c>
      <c r="N40" s="38">
        <v>2.1821</v>
      </c>
      <c r="O40" s="37" t="s">
        <v>182</v>
      </c>
      <c r="P40" s="38">
        <v>1.1036</v>
      </c>
      <c r="Q40" s="37" t="s">
        <v>183</v>
      </c>
      <c r="R40" s="38">
        <v>9.6708</v>
      </c>
      <c r="S40" s="37" t="s">
        <v>184</v>
      </c>
      <c r="T40" s="44">
        <v>2.2066</v>
      </c>
      <c r="U40" t="s">
        <v>131</v>
      </c>
    </row>
    <row r="41" ht="14.75" spans="12:21">
      <c r="L41" s="37" t="s">
        <v>153</v>
      </c>
      <c r="M41" s="37" t="s">
        <v>185</v>
      </c>
      <c r="N41" s="38">
        <v>-0.2364</v>
      </c>
      <c r="O41" s="37" t="s">
        <v>186</v>
      </c>
      <c r="P41" s="38">
        <v>0.253</v>
      </c>
      <c r="Q41" s="37" t="s">
        <v>187</v>
      </c>
      <c r="R41" s="38">
        <v>0</v>
      </c>
      <c r="S41" s="37" t="s">
        <v>188</v>
      </c>
      <c r="T41" s="44">
        <v>0</v>
      </c>
      <c r="U41" t="s">
        <v>102</v>
      </c>
    </row>
    <row r="42" ht="14.75" spans="12:21">
      <c r="L42" s="37" t="s">
        <v>154</v>
      </c>
      <c r="M42" s="37" t="s">
        <v>189</v>
      </c>
      <c r="N42" s="38">
        <v>-0.17</v>
      </c>
      <c r="O42" s="37" t="s">
        <v>190</v>
      </c>
      <c r="P42" s="38">
        <v>-0.1656</v>
      </c>
      <c r="Q42" s="37" t="s">
        <v>179</v>
      </c>
      <c r="R42" s="38">
        <v>0</v>
      </c>
      <c r="S42" s="37" t="s">
        <v>180</v>
      </c>
      <c r="T42" s="44">
        <v>0</v>
      </c>
      <c r="U42" t="s">
        <v>102</v>
      </c>
    </row>
    <row r="45" ht="14.75"/>
    <row r="46" ht="14.75" spans="12:17">
      <c r="L46" s="39" t="s">
        <v>100</v>
      </c>
      <c r="M46" s="36" t="s">
        <v>191</v>
      </c>
      <c r="N46" s="36" t="s">
        <v>192</v>
      </c>
      <c r="O46" s="36" t="s">
        <v>193</v>
      </c>
      <c r="P46" s="36" t="s">
        <v>98</v>
      </c>
      <c r="Q46" s="42" t="s">
        <v>99</v>
      </c>
    </row>
    <row r="47" ht="14.75" spans="12:23">
      <c r="L47" s="40" t="s">
        <v>106</v>
      </c>
      <c r="M47" s="41">
        <v>359000</v>
      </c>
      <c r="N47" s="41">
        <v>265000000</v>
      </c>
      <c r="O47" s="37">
        <v>1200</v>
      </c>
      <c r="P47" s="38">
        <v>0.174</v>
      </c>
      <c r="Q47" s="43" t="s">
        <v>102</v>
      </c>
      <c r="W47" s="43" t="s">
        <v>102</v>
      </c>
    </row>
    <row r="48" ht="14.75" spans="12:17">
      <c r="L48" s="40" t="s">
        <v>194</v>
      </c>
      <c r="M48" s="41">
        <v>357000</v>
      </c>
      <c r="N48" s="41">
        <v>224000000</v>
      </c>
      <c r="O48" s="37">
        <v>890</v>
      </c>
      <c r="P48" s="38">
        <v>0.0086</v>
      </c>
      <c r="Q48" s="43" t="s">
        <v>102</v>
      </c>
    </row>
    <row r="49" ht="14.75" spans="12:16">
      <c r="L49" t="s">
        <v>129</v>
      </c>
      <c r="M49" s="12">
        <f>(M48-M47)/M47</f>
        <v>-0.00557103064066852</v>
      </c>
      <c r="N49" s="12">
        <f>(N48-N47)/N47</f>
        <v>-0.154716981132075</v>
      </c>
      <c r="O49" s="12">
        <f>(O48-O47)/O47</f>
        <v>-0.258333333333333</v>
      </c>
      <c r="P49" s="12">
        <f>(P48-P47)/P47</f>
        <v>-0.950574712643678</v>
      </c>
    </row>
    <row r="50" ht="14.75" spans="1:4">
      <c r="A50" s="31" t="s">
        <v>195</v>
      </c>
      <c r="B50" s="31" t="s">
        <v>196</v>
      </c>
      <c r="C50" s="31" t="s">
        <v>197</v>
      </c>
      <c r="D50" s="32" t="s">
        <v>198</v>
      </c>
    </row>
    <row r="51" ht="14.75" spans="1:4">
      <c r="A51" s="33" t="s">
        <v>199</v>
      </c>
      <c r="B51" s="34">
        <v>24447.78</v>
      </c>
      <c r="C51" s="34" t="s">
        <v>200</v>
      </c>
      <c r="D51" s="35" t="s">
        <v>201</v>
      </c>
    </row>
    <row r="52" ht="14.75"/>
    <row r="53" ht="14.75" spans="1:4">
      <c r="A53" s="31" t="s">
        <v>195</v>
      </c>
      <c r="B53" s="31" t="s">
        <v>202</v>
      </c>
      <c r="C53" s="31" t="s">
        <v>203</v>
      </c>
      <c r="D53" s="32" t="s">
        <v>204</v>
      </c>
    </row>
    <row r="54" ht="14.75" spans="1:4">
      <c r="A54" s="33" t="s">
        <v>205</v>
      </c>
      <c r="B54" s="34">
        <v>15510204.54</v>
      </c>
      <c r="C54" s="34" t="s">
        <v>206</v>
      </c>
      <c r="D54" s="35" t="s">
        <v>207</v>
      </c>
    </row>
  </sheetData>
  <mergeCells count="50">
    <mergeCell ref="B1:C1"/>
    <mergeCell ref="D1:E1"/>
    <mergeCell ref="F1:G1"/>
    <mergeCell ref="H1:I1"/>
    <mergeCell ref="J1:K1"/>
    <mergeCell ref="L1:M1"/>
    <mergeCell ref="N1:O1"/>
    <mergeCell ref="P1:Q1"/>
    <mergeCell ref="B12:C12"/>
    <mergeCell ref="D12:E12"/>
    <mergeCell ref="F12:G12"/>
    <mergeCell ref="H12:I12"/>
    <mergeCell ref="J12:K12"/>
    <mergeCell ref="L12:M12"/>
    <mergeCell ref="N12:O12"/>
    <mergeCell ref="P12:Q12"/>
    <mergeCell ref="B19:C19"/>
    <mergeCell ref="D19:E19"/>
    <mergeCell ref="F19:G19"/>
    <mergeCell ref="H19:I19"/>
    <mergeCell ref="J19:K19"/>
    <mergeCell ref="L19:M19"/>
    <mergeCell ref="N19:O19"/>
    <mergeCell ref="P19:Q19"/>
    <mergeCell ref="B27:C27"/>
    <mergeCell ref="D27:E27"/>
    <mergeCell ref="F27:G27"/>
    <mergeCell ref="H27:I27"/>
    <mergeCell ref="M28:N28"/>
    <mergeCell ref="O28:P28"/>
    <mergeCell ref="Q28:R28"/>
    <mergeCell ref="S28:T28"/>
    <mergeCell ref="B34:C34"/>
    <mergeCell ref="D34:E34"/>
    <mergeCell ref="F34:G34"/>
    <mergeCell ref="H34:I34"/>
    <mergeCell ref="M37:N37"/>
    <mergeCell ref="O37:P37"/>
    <mergeCell ref="Q37:R37"/>
    <mergeCell ref="S37:T37"/>
    <mergeCell ref="A27:A28"/>
    <mergeCell ref="A34:A35"/>
    <mergeCell ref="J27:J28"/>
    <mergeCell ref="L28:L29"/>
    <mergeCell ref="L37:L38"/>
    <mergeCell ref="R1:R2"/>
    <mergeCell ref="R12:R13"/>
    <mergeCell ref="R19:R20"/>
    <mergeCell ref="U28:U29"/>
    <mergeCell ref="U37:U38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51"/>
  <sheetViews>
    <sheetView tabSelected="1" zoomScale="130" zoomScaleNormal="130" topLeftCell="B12" workbookViewId="0">
      <selection activeCell="F33" sqref="F33"/>
    </sheetView>
  </sheetViews>
  <sheetFormatPr defaultColWidth="8.66666666666667" defaultRowHeight="14"/>
  <cols>
    <col min="1" max="1" width="10.5" customWidth="1"/>
    <col min="3" max="3" width="18.5833333333333" customWidth="1"/>
    <col min="4" max="4" width="12.4166666666667" customWidth="1"/>
    <col min="5" max="5" width="15.45" customWidth="1"/>
    <col min="6" max="6" width="14.8333333333333"/>
    <col min="7" max="7" width="12.6666666666667"/>
    <col min="8" max="8" width="12.6833333333333" customWidth="1"/>
    <col min="9" max="9" width="14.025" customWidth="1"/>
    <col min="10" max="10" width="12.575" customWidth="1"/>
    <col min="11" max="11" width="13.725" customWidth="1"/>
    <col min="12" max="12" width="11.375" customWidth="1"/>
    <col min="13" max="13" width="11.4416666666667" customWidth="1"/>
  </cols>
  <sheetData>
    <row r="1" ht="17" customHeight="1" spans="4:10">
      <c r="D1" t="s">
        <v>146</v>
      </c>
      <c r="F1" t="s">
        <v>147</v>
      </c>
      <c r="H1" t="s">
        <v>149</v>
      </c>
      <c r="J1" t="s">
        <v>99</v>
      </c>
    </row>
    <row r="2" spans="4:9">
      <c r="D2" t="s">
        <v>128</v>
      </c>
      <c r="E2" t="s">
        <v>129</v>
      </c>
      <c r="F2" t="s">
        <v>128</v>
      </c>
      <c r="G2" t="s">
        <v>129</v>
      </c>
      <c r="H2" t="s">
        <v>128</v>
      </c>
      <c r="I2" t="s">
        <v>129</v>
      </c>
    </row>
    <row r="3" spans="3:10">
      <c r="C3" t="s">
        <v>153</v>
      </c>
      <c r="D3" t="s">
        <v>208</v>
      </c>
      <c r="F3" t="s">
        <v>209</v>
      </c>
      <c r="H3" t="s">
        <v>210</v>
      </c>
      <c r="J3" t="s">
        <v>102</v>
      </c>
    </row>
    <row r="4" spans="3:10">
      <c r="C4" t="s">
        <v>211</v>
      </c>
      <c r="D4" t="s">
        <v>212</v>
      </c>
      <c r="E4">
        <v>0.307</v>
      </c>
      <c r="F4" t="s">
        <v>213</v>
      </c>
      <c r="G4">
        <v>-0.253</v>
      </c>
      <c r="H4" t="s">
        <v>214</v>
      </c>
      <c r="I4">
        <v>0.0319</v>
      </c>
      <c r="J4" t="s">
        <v>102</v>
      </c>
    </row>
    <row r="5" ht="14.75" spans="3:10">
      <c r="C5" s="1"/>
      <c r="D5" s="1"/>
      <c r="E5" s="1"/>
      <c r="F5" s="2"/>
      <c r="G5" s="3"/>
      <c r="H5" s="2"/>
      <c r="I5" s="3"/>
      <c r="J5" s="21"/>
    </row>
    <row r="6" ht="14.75"/>
    <row r="7" ht="14.75" spans="3:13">
      <c r="C7" s="4"/>
      <c r="D7" s="5" t="s">
        <v>215</v>
      </c>
      <c r="E7" s="5"/>
      <c r="F7" s="5" t="s">
        <v>216</v>
      </c>
      <c r="G7" s="5"/>
      <c r="H7" s="6" t="s">
        <v>217</v>
      </c>
      <c r="I7" s="6"/>
      <c r="J7" s="15" t="s">
        <v>218</v>
      </c>
      <c r="K7" s="15"/>
      <c r="L7" s="6" t="s">
        <v>219</v>
      </c>
      <c r="M7" s="6"/>
    </row>
    <row r="8" ht="14.75" spans="3:13">
      <c r="C8" s="4"/>
      <c r="D8" s="7" t="s">
        <v>128</v>
      </c>
      <c r="E8" s="7" t="s">
        <v>129</v>
      </c>
      <c r="F8" s="7" t="s">
        <v>128</v>
      </c>
      <c r="G8" s="7" t="s">
        <v>129</v>
      </c>
      <c r="H8" s="7" t="s">
        <v>128</v>
      </c>
      <c r="I8" s="7" t="s">
        <v>129</v>
      </c>
      <c r="J8" s="6" t="s">
        <v>128</v>
      </c>
      <c r="K8" s="6" t="s">
        <v>129</v>
      </c>
      <c r="L8" s="6" t="s">
        <v>128</v>
      </c>
      <c r="M8" s="6" t="s">
        <v>129</v>
      </c>
    </row>
    <row r="9" ht="14.75" spans="3:12">
      <c r="C9" s="7" t="s">
        <v>220</v>
      </c>
      <c r="D9" s="8">
        <v>188000000</v>
      </c>
      <c r="F9" s="8">
        <v>335000</v>
      </c>
      <c r="H9">
        <v>34</v>
      </c>
      <c r="J9" s="14">
        <f>D9/H9</f>
        <v>5529411.76470588</v>
      </c>
      <c r="L9" s="14">
        <f>F9/H9</f>
        <v>9852.94117647059</v>
      </c>
    </row>
    <row r="10" ht="14.75" spans="3:13">
      <c r="C10" s="7" t="s">
        <v>211</v>
      </c>
      <c r="D10" s="8">
        <v>224000000</v>
      </c>
      <c r="E10" s="9">
        <v>0.1607</v>
      </c>
      <c r="F10" s="8">
        <v>357000</v>
      </c>
      <c r="G10" s="10">
        <v>0.22</v>
      </c>
      <c r="H10">
        <v>91</v>
      </c>
      <c r="I10" s="12">
        <f>(H10-H9)/H9</f>
        <v>1.67647058823529</v>
      </c>
      <c r="J10" s="14">
        <f>D10/H10</f>
        <v>2461538.46153846</v>
      </c>
      <c r="K10" s="12">
        <f>(J10-J9)/J9</f>
        <v>-0.554828150572831</v>
      </c>
      <c r="L10" s="14">
        <f>F10/H10</f>
        <v>3923.07692307692</v>
      </c>
      <c r="M10" s="12">
        <f>(L10-L9)/L9</f>
        <v>-0.601836969001148</v>
      </c>
    </row>
    <row r="13" ht="14.75" spans="4:6">
      <c r="D13" s="7" t="s">
        <v>220</v>
      </c>
      <c r="E13" s="7" t="s">
        <v>211</v>
      </c>
      <c r="F13" t="s">
        <v>129</v>
      </c>
    </row>
    <row r="14" ht="19" customHeight="1" spans="3:6">
      <c r="C14" s="5" t="s">
        <v>215</v>
      </c>
      <c r="D14" s="8">
        <v>188000000</v>
      </c>
      <c r="E14" s="8">
        <v>224000000</v>
      </c>
      <c r="F14" s="9">
        <v>0.1607</v>
      </c>
    </row>
    <row r="15" ht="14.75" hidden="1" spans="3:3">
      <c r="C15" s="5"/>
    </row>
    <row r="16" ht="18" customHeight="1" spans="3:6">
      <c r="C16" s="5" t="s">
        <v>216</v>
      </c>
      <c r="D16" s="8">
        <v>335000</v>
      </c>
      <c r="E16" s="8">
        <v>357000</v>
      </c>
      <c r="F16" s="10">
        <v>0.22</v>
      </c>
    </row>
    <row r="17" ht="14.75" hidden="1" spans="3:3">
      <c r="C17" s="5"/>
    </row>
    <row r="18" spans="3:6">
      <c r="C18" s="11" t="s">
        <v>217</v>
      </c>
      <c r="D18">
        <v>34</v>
      </c>
      <c r="E18">
        <v>91</v>
      </c>
      <c r="F18" s="12">
        <v>1.67647058823529</v>
      </c>
    </row>
    <row r="19" spans="3:6">
      <c r="C19" s="13" t="s">
        <v>218</v>
      </c>
      <c r="D19" s="14">
        <v>5529411.76470588</v>
      </c>
      <c r="E19" s="14">
        <v>2461538.46153846</v>
      </c>
      <c r="F19" s="12">
        <v>-0.554828150572831</v>
      </c>
    </row>
    <row r="20" spans="3:6">
      <c r="C20" s="11" t="s">
        <v>219</v>
      </c>
      <c r="D20" s="14">
        <f>D14/D16</f>
        <v>561.194029850746</v>
      </c>
      <c r="E20" s="14">
        <f>E14/E16</f>
        <v>627.450980392157</v>
      </c>
      <c r="F20" s="12">
        <v>-0.601836969001148</v>
      </c>
    </row>
    <row r="21" spans="3:3">
      <c r="C21" s="13"/>
    </row>
    <row r="23" spans="3:11">
      <c r="C23" s="11"/>
      <c r="D23" s="15" t="s">
        <v>145</v>
      </c>
      <c r="E23" s="15"/>
      <c r="F23" s="15" t="s">
        <v>146</v>
      </c>
      <c r="G23" s="15"/>
      <c r="H23" s="15" t="s">
        <v>147</v>
      </c>
      <c r="I23" s="15"/>
      <c r="J23" s="15" t="s">
        <v>148</v>
      </c>
      <c r="K23" s="15"/>
    </row>
    <row r="24" spans="4:11">
      <c r="D24" t="s">
        <v>128</v>
      </c>
      <c r="E24" t="s">
        <v>129</v>
      </c>
      <c r="F24" t="s">
        <v>128</v>
      </c>
      <c r="G24" t="s">
        <v>129</v>
      </c>
      <c r="H24" t="s">
        <v>128</v>
      </c>
      <c r="I24" t="s">
        <v>129</v>
      </c>
      <c r="J24" t="s">
        <v>128</v>
      </c>
      <c r="K24" t="s">
        <v>129</v>
      </c>
    </row>
    <row r="25" spans="3:10">
      <c r="C25" t="s">
        <v>153</v>
      </c>
      <c r="D25" s="14">
        <v>143000000</v>
      </c>
      <c r="E25"/>
      <c r="F25" s="14">
        <v>143225203.24779</v>
      </c>
      <c r="G25"/>
      <c r="H25" s="14">
        <v>718.238885258095</v>
      </c>
      <c r="I25"/>
      <c r="J25" s="14">
        <v>355000</v>
      </c>
    </row>
    <row r="26" spans="3:11">
      <c r="C26" t="s">
        <v>221</v>
      </c>
      <c r="D26" s="14">
        <v>188000000</v>
      </c>
      <c r="E26" s="12">
        <f>(D26-D25)/D25</f>
        <v>0.314685314685315</v>
      </c>
      <c r="F26" s="14">
        <v>187571996.977401</v>
      </c>
      <c r="G26" s="12">
        <f>(F26-F25)/F25</f>
        <v>0.309629818802825</v>
      </c>
      <c r="H26" s="14">
        <v>573.22526201999</v>
      </c>
      <c r="I26" s="12">
        <f>(H26-H25)/H25</f>
        <v>-0.201901660038909</v>
      </c>
      <c r="J26" s="14">
        <v>355000</v>
      </c>
      <c r="K26" s="12">
        <f>(J26-J25)/J25</f>
        <v>0</v>
      </c>
    </row>
    <row r="28" spans="4:6">
      <c r="D28" t="s">
        <v>153</v>
      </c>
      <c r="E28" t="s">
        <v>221</v>
      </c>
      <c r="F28" t="s">
        <v>129</v>
      </c>
    </row>
    <row r="29" spans="3:6">
      <c r="C29" s="11" t="s">
        <v>145</v>
      </c>
      <c r="D29" s="16">
        <v>143000000</v>
      </c>
      <c r="E29" s="16">
        <v>188000000</v>
      </c>
      <c r="F29" s="12">
        <v>0.314685314685315</v>
      </c>
    </row>
    <row r="30" spans="3:6">
      <c r="C30" s="11" t="s">
        <v>146</v>
      </c>
      <c r="D30" s="16">
        <v>143225203.24779</v>
      </c>
      <c r="E30" s="16">
        <v>187571996.977401</v>
      </c>
      <c r="F30" s="12">
        <v>0.309629818802825</v>
      </c>
    </row>
    <row r="31" spans="3:6">
      <c r="C31" s="11" t="s">
        <v>147</v>
      </c>
      <c r="D31" s="14">
        <v>718.238885258095</v>
      </c>
      <c r="E31" s="14">
        <v>573.22526201999</v>
      </c>
      <c r="F31" s="12">
        <v>-0.201901660038909</v>
      </c>
    </row>
    <row r="32" spans="3:6">
      <c r="C32" s="11" t="s">
        <v>148</v>
      </c>
      <c r="D32" s="14">
        <v>355000</v>
      </c>
      <c r="E32" s="14">
        <v>355000</v>
      </c>
      <c r="F32" s="12">
        <v>0</v>
      </c>
    </row>
    <row r="33" spans="3:6">
      <c r="C33" t="s">
        <v>222</v>
      </c>
      <c r="D33" s="14">
        <v>1962763653.88663</v>
      </c>
      <c r="E33" s="14">
        <v>381244987.743515</v>
      </c>
      <c r="F33" s="12">
        <f>(E33-D33)/D33</f>
        <v>-0.805761133293568</v>
      </c>
    </row>
    <row r="34" spans="3:3">
      <c r="C34" s="11"/>
    </row>
    <row r="36" spans="3:3">
      <c r="C36" s="11"/>
    </row>
    <row r="41" spans="3:14">
      <c r="C41" s="17"/>
      <c r="D41" s="17"/>
      <c r="E41" s="17"/>
      <c r="F41" s="18" t="s">
        <v>223</v>
      </c>
      <c r="G41" s="18"/>
      <c r="H41" s="18" t="s">
        <v>224</v>
      </c>
      <c r="I41" s="18"/>
      <c r="J41" s="18" t="s">
        <v>225</v>
      </c>
      <c r="K41" s="18"/>
      <c r="L41" s="18" t="s">
        <v>226</v>
      </c>
      <c r="M41" s="18"/>
      <c r="N41" s="22" t="s">
        <v>99</v>
      </c>
    </row>
    <row r="42" spans="3:14">
      <c r="C42" s="17"/>
      <c r="D42" s="19"/>
      <c r="E42" s="19"/>
      <c r="F42" s="1" t="s">
        <v>128</v>
      </c>
      <c r="G42" s="1" t="s">
        <v>129</v>
      </c>
      <c r="H42" s="1" t="s">
        <v>128</v>
      </c>
      <c r="I42" s="1" t="s">
        <v>129</v>
      </c>
      <c r="J42" s="1" t="s">
        <v>128</v>
      </c>
      <c r="K42" s="1" t="s">
        <v>129</v>
      </c>
      <c r="L42" s="1" t="s">
        <v>128</v>
      </c>
      <c r="M42" s="1" t="s">
        <v>129</v>
      </c>
      <c r="N42" s="22"/>
    </row>
    <row r="43" spans="3:14">
      <c r="C43" s="1" t="s">
        <v>130</v>
      </c>
      <c r="D43" s="1"/>
      <c r="E43" s="1"/>
      <c r="F43" s="2" t="s">
        <v>227</v>
      </c>
      <c r="G43" s="2" t="s">
        <v>131</v>
      </c>
      <c r="H43" s="2" t="s">
        <v>228</v>
      </c>
      <c r="I43" s="2" t="s">
        <v>131</v>
      </c>
      <c r="J43" s="2" t="s">
        <v>229</v>
      </c>
      <c r="K43" s="2" t="s">
        <v>131</v>
      </c>
      <c r="L43" s="2" t="s">
        <v>230</v>
      </c>
      <c r="M43" s="2" t="s">
        <v>131</v>
      </c>
      <c r="N43" s="21" t="s">
        <v>102</v>
      </c>
    </row>
    <row r="44" spans="3:14">
      <c r="C44" s="1" t="s">
        <v>152</v>
      </c>
      <c r="D44" s="1"/>
      <c r="E44" s="1"/>
      <c r="F44" s="2" t="s">
        <v>231</v>
      </c>
      <c r="G44" s="3">
        <v>2.1821</v>
      </c>
      <c r="H44" s="2" t="s">
        <v>232</v>
      </c>
      <c r="I44" s="3">
        <v>1.1036</v>
      </c>
      <c r="J44" s="2" t="s">
        <v>233</v>
      </c>
      <c r="K44" s="3">
        <v>9.6708</v>
      </c>
      <c r="L44" s="2" t="s">
        <v>234</v>
      </c>
      <c r="M44" s="3">
        <v>2.2066</v>
      </c>
      <c r="N44" s="21" t="s">
        <v>131</v>
      </c>
    </row>
    <row r="45" spans="3:14">
      <c r="C45" s="1" t="s">
        <v>153</v>
      </c>
      <c r="D45" s="1"/>
      <c r="E45" s="1"/>
      <c r="F45" s="2" t="s">
        <v>235</v>
      </c>
      <c r="G45" s="3">
        <v>-0.2364</v>
      </c>
      <c r="H45" s="2" t="s">
        <v>236</v>
      </c>
      <c r="I45" s="3">
        <v>0.253</v>
      </c>
      <c r="J45" s="2" t="s">
        <v>237</v>
      </c>
      <c r="K45" s="3">
        <v>0.4123</v>
      </c>
      <c r="L45" s="2" t="s">
        <v>230</v>
      </c>
      <c r="M45" s="3">
        <v>0</v>
      </c>
      <c r="N45" s="21" t="s">
        <v>102</v>
      </c>
    </row>
    <row r="46" spans="3:14">
      <c r="C46" s="1" t="s">
        <v>154</v>
      </c>
      <c r="D46" s="1"/>
      <c r="E46" s="1"/>
      <c r="F46" s="2" t="s">
        <v>238</v>
      </c>
      <c r="G46" s="3">
        <v>-0.17</v>
      </c>
      <c r="H46" s="2" t="s">
        <v>239</v>
      </c>
      <c r="I46" s="3">
        <v>-0.1656</v>
      </c>
      <c r="J46" s="2" t="s">
        <v>240</v>
      </c>
      <c r="K46" s="3">
        <v>-0.4123</v>
      </c>
      <c r="L46" s="2" t="s">
        <v>230</v>
      </c>
      <c r="M46" s="3">
        <v>0</v>
      </c>
      <c r="N46" s="21" t="s">
        <v>102</v>
      </c>
    </row>
    <row r="49" spans="3:14">
      <c r="C49" s="20"/>
      <c r="D49" s="20">
        <v>1</v>
      </c>
      <c r="E49" s="20">
        <v>2</v>
      </c>
      <c r="F49" s="20">
        <v>3</v>
      </c>
      <c r="G49" s="20">
        <v>4</v>
      </c>
      <c r="H49" s="20">
        <v>5</v>
      </c>
      <c r="I49" s="20">
        <v>6</v>
      </c>
      <c r="J49" s="20">
        <v>7</v>
      </c>
      <c r="K49" s="20">
        <v>8</v>
      </c>
      <c r="L49" s="20">
        <v>9</v>
      </c>
      <c r="M49" s="20">
        <v>10</v>
      </c>
      <c r="N49" s="22" t="s">
        <v>241</v>
      </c>
    </row>
    <row r="50" spans="3:14">
      <c r="C50" s="2" t="s">
        <v>98</v>
      </c>
      <c r="D50" s="3">
        <v>0.0086</v>
      </c>
      <c r="E50" s="3">
        <v>0.0214</v>
      </c>
      <c r="F50" s="3">
        <v>0.0128</v>
      </c>
      <c r="G50" s="3">
        <v>0.0132</v>
      </c>
      <c r="H50" s="3">
        <v>0.0205</v>
      </c>
      <c r="I50" s="3">
        <v>0.0103</v>
      </c>
      <c r="J50" s="3">
        <v>0.0147</v>
      </c>
      <c r="K50" s="3">
        <v>0.0103</v>
      </c>
      <c r="L50" s="3">
        <v>0.0117</v>
      </c>
      <c r="M50" s="3">
        <v>0.012</v>
      </c>
      <c r="N50" s="23">
        <f>AVERAGE(D50:M50)</f>
        <v>0.01355</v>
      </c>
    </row>
    <row r="51" spans="3:14">
      <c r="C51" s="1" t="s">
        <v>242</v>
      </c>
      <c r="D51" s="2">
        <v>890</v>
      </c>
      <c r="E51" s="2">
        <v>543</v>
      </c>
      <c r="F51" s="2">
        <v>686</v>
      </c>
      <c r="G51" s="2">
        <v>851</v>
      </c>
      <c r="H51" s="2">
        <v>880</v>
      </c>
      <c r="I51" s="2">
        <v>670</v>
      </c>
      <c r="J51" s="2">
        <v>440</v>
      </c>
      <c r="K51" s="2">
        <v>520</v>
      </c>
      <c r="L51" s="2">
        <v>872</v>
      </c>
      <c r="M51" s="2">
        <v>520</v>
      </c>
      <c r="N51" s="24">
        <f>AVERAGE(D51:M51)</f>
        <v>687.2</v>
      </c>
    </row>
  </sheetData>
  <mergeCells count="18">
    <mergeCell ref="D7:E7"/>
    <mergeCell ref="F7:G7"/>
    <mergeCell ref="H7:I7"/>
    <mergeCell ref="J7:K7"/>
    <mergeCell ref="L7:M7"/>
    <mergeCell ref="D23:E23"/>
    <mergeCell ref="F23:G23"/>
    <mergeCell ref="H23:I23"/>
    <mergeCell ref="J23:K23"/>
    <mergeCell ref="F41:G41"/>
    <mergeCell ref="H41:I41"/>
    <mergeCell ref="J41:K41"/>
    <mergeCell ref="L41:M41"/>
    <mergeCell ref="C7:C8"/>
    <mergeCell ref="C14:C15"/>
    <mergeCell ref="C16:C17"/>
    <mergeCell ref="C41:C42"/>
    <mergeCell ref="N41:N4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workbookViewId="0">
      <selection activeCell="R9" sqref="R9"/>
    </sheetView>
  </sheetViews>
  <sheetFormatPr defaultColWidth="8.89166666666667" defaultRowHeight="14"/>
  <cols>
    <col min="6" max="6" width="13" customWidth="1"/>
    <col min="7" max="7" width="13.6666666666667" customWidth="1"/>
    <col min="8" max="8" width="17.3333333333333" customWidth="1"/>
    <col min="12" max="12" width="12.6333333333333"/>
    <col min="18" max="18" width="12.8916666666667"/>
  </cols>
  <sheetData>
    <row r="1" spans="1:18">
      <c r="A1" s="30"/>
      <c r="B1" s="30" t="s">
        <v>0</v>
      </c>
      <c r="C1" s="30" t="s">
        <v>1</v>
      </c>
      <c r="D1" s="25"/>
      <c r="E1" s="25"/>
      <c r="F1" s="25" t="s">
        <v>2</v>
      </c>
      <c r="G1" s="25" t="s">
        <v>3</v>
      </c>
      <c r="H1" s="25" t="s">
        <v>4</v>
      </c>
      <c r="I1" s="25"/>
      <c r="J1" s="25"/>
      <c r="K1" s="25"/>
      <c r="L1" s="25">
        <f ca="1">D35*H2</f>
        <v>37.2</v>
      </c>
      <c r="M1" s="25"/>
      <c r="N1" s="25"/>
      <c r="O1" s="25">
        <f ca="1">D35*F2</f>
        <v>55.8</v>
      </c>
      <c r="P1" s="25"/>
      <c r="Q1" s="25"/>
      <c r="R1" s="25">
        <f ca="1">D35*G2+O1*0.9</f>
        <v>143.22</v>
      </c>
    </row>
    <row r="2" spans="1:18">
      <c r="A2" s="30" t="s">
        <v>5</v>
      </c>
      <c r="B2" s="47">
        <f ca="1">RANDBETWEEN(1,5)</f>
        <v>1</v>
      </c>
      <c r="C2" s="47">
        <f ca="1">RANDBETWEEN(1,5)</f>
        <v>5</v>
      </c>
      <c r="D2" s="30">
        <f ca="1" t="shared" ref="D2:D31" si="0">SUM(B2:C2)</f>
        <v>6</v>
      </c>
      <c r="E2" s="25"/>
      <c r="F2" s="25">
        <v>0.3</v>
      </c>
      <c r="G2" s="25">
        <v>0.5</v>
      </c>
      <c r="H2" s="25">
        <v>0.2</v>
      </c>
      <c r="I2" s="25"/>
      <c r="J2" s="25"/>
      <c r="K2" s="30" t="s">
        <v>6</v>
      </c>
      <c r="L2" s="58">
        <f ca="1">$L$1/3</f>
        <v>12.4</v>
      </c>
      <c r="M2" s="30"/>
      <c r="N2" s="30" t="s">
        <v>7</v>
      </c>
      <c r="O2" s="58">
        <f ca="1">$O$1/5</f>
        <v>11.16</v>
      </c>
      <c r="P2" s="30"/>
      <c r="Q2" s="30" t="s">
        <v>8</v>
      </c>
      <c r="R2" s="58">
        <f ca="1">$R$1/4</f>
        <v>35.805</v>
      </c>
    </row>
    <row r="3" spans="1:18">
      <c r="A3" s="30" t="s">
        <v>9</v>
      </c>
      <c r="B3" s="47">
        <f ca="1">RANDBETWEEN(1,5)</f>
        <v>1</v>
      </c>
      <c r="C3" s="47">
        <f ca="1" t="shared" ref="C3:C12" si="1">RANDBETWEEN(1,5)</f>
        <v>4</v>
      </c>
      <c r="D3" s="30">
        <f ca="1" t="shared" si="0"/>
        <v>5</v>
      </c>
      <c r="E3" s="25"/>
      <c r="F3" s="25"/>
      <c r="G3" s="25"/>
      <c r="H3" s="25"/>
      <c r="I3" s="25"/>
      <c r="J3" s="25"/>
      <c r="K3" s="30" t="s">
        <v>10</v>
      </c>
      <c r="L3" s="58">
        <f ca="1">$L$1/3</f>
        <v>12.4</v>
      </c>
      <c r="M3" s="30"/>
      <c r="N3" s="30" t="s">
        <v>11</v>
      </c>
      <c r="O3" s="58">
        <f ca="1" t="shared" ref="O3:O8" si="2">$O$1/5</f>
        <v>11.16</v>
      </c>
      <c r="P3" s="30"/>
      <c r="Q3" s="30" t="s">
        <v>12</v>
      </c>
      <c r="R3" s="58">
        <f ca="1">$R$1/4</f>
        <v>35.805</v>
      </c>
    </row>
    <row r="4" spans="1:18">
      <c r="A4" s="30" t="s">
        <v>13</v>
      </c>
      <c r="B4" s="47">
        <f ca="1" t="shared" ref="B3:B12" si="3">RANDBETWEEN(1,5)</f>
        <v>5</v>
      </c>
      <c r="C4" s="47">
        <f ca="1" t="shared" si="1"/>
        <v>3</v>
      </c>
      <c r="D4" s="30">
        <f ca="1" t="shared" si="0"/>
        <v>8</v>
      </c>
      <c r="E4" s="25"/>
      <c r="F4" s="25"/>
      <c r="G4" s="25"/>
      <c r="H4" s="25"/>
      <c r="I4" s="25"/>
      <c r="J4" s="25"/>
      <c r="K4" s="30" t="s">
        <v>14</v>
      </c>
      <c r="L4" s="58">
        <f ca="1">$L$1/3</f>
        <v>12.4</v>
      </c>
      <c r="M4" s="30"/>
      <c r="N4" s="30" t="s">
        <v>15</v>
      </c>
      <c r="O4" s="58">
        <f ca="1" t="shared" si="2"/>
        <v>11.16</v>
      </c>
      <c r="P4" s="30"/>
      <c r="Q4" s="30" t="s">
        <v>16</v>
      </c>
      <c r="R4" s="58">
        <f ca="1">$R$1/4</f>
        <v>35.805</v>
      </c>
    </row>
    <row r="5" customFormat="1" spans="1:18">
      <c r="A5" s="30" t="s">
        <v>17</v>
      </c>
      <c r="B5" s="47">
        <f ca="1" t="shared" si="3"/>
        <v>4</v>
      </c>
      <c r="C5" s="47">
        <f ca="1" t="shared" si="1"/>
        <v>2</v>
      </c>
      <c r="D5" s="30">
        <f ca="1" t="shared" si="0"/>
        <v>6</v>
      </c>
      <c r="E5" s="25"/>
      <c r="F5" s="25"/>
      <c r="G5" s="25"/>
      <c r="H5" s="25"/>
      <c r="I5" s="25"/>
      <c r="J5" s="25"/>
      <c r="K5" s="30" t="s">
        <v>18</v>
      </c>
      <c r="L5" s="58">
        <f ca="1">$L$1/3</f>
        <v>12.4</v>
      </c>
      <c r="M5" s="25"/>
      <c r="N5" s="30" t="s">
        <v>19</v>
      </c>
      <c r="O5" s="58">
        <f ca="1" t="shared" si="2"/>
        <v>11.16</v>
      </c>
      <c r="P5" s="25"/>
      <c r="Q5" s="30" t="s">
        <v>20</v>
      </c>
      <c r="R5" s="58">
        <f ca="1">$R$1/4</f>
        <v>35.805</v>
      </c>
    </row>
    <row r="6" customFormat="1" spans="1:18">
      <c r="A6" s="30" t="s">
        <v>21</v>
      </c>
      <c r="B6" s="47">
        <f ca="1" t="shared" si="3"/>
        <v>2</v>
      </c>
      <c r="C6" s="47">
        <f ca="1" t="shared" si="1"/>
        <v>3</v>
      </c>
      <c r="D6" s="30">
        <f ca="1" t="shared" si="0"/>
        <v>5</v>
      </c>
      <c r="E6" s="25"/>
      <c r="F6" s="25"/>
      <c r="G6" s="25"/>
      <c r="H6" s="25"/>
      <c r="I6" s="25"/>
      <c r="J6" s="25"/>
      <c r="K6" s="30" t="s">
        <v>22</v>
      </c>
      <c r="L6" s="58">
        <f ca="1">$L$1/3</f>
        <v>12.4</v>
      </c>
      <c r="M6" s="25"/>
      <c r="N6" s="30" t="s">
        <v>23</v>
      </c>
      <c r="O6" s="58">
        <f ca="1" t="shared" si="2"/>
        <v>11.16</v>
      </c>
      <c r="P6" s="25"/>
      <c r="Q6" s="30" t="s">
        <v>24</v>
      </c>
      <c r="R6" s="58">
        <f ca="1">$R$1/4</f>
        <v>35.805</v>
      </c>
    </row>
    <row r="7" customFormat="1" spans="1:18">
      <c r="A7" s="30" t="s">
        <v>25</v>
      </c>
      <c r="B7" s="47">
        <f ca="1" t="shared" si="3"/>
        <v>1</v>
      </c>
      <c r="C7" s="47">
        <f ca="1" t="shared" si="1"/>
        <v>1</v>
      </c>
      <c r="D7" s="30">
        <f ca="1" t="shared" si="0"/>
        <v>2</v>
      </c>
      <c r="E7" s="25"/>
      <c r="F7" s="25"/>
      <c r="G7" s="25"/>
      <c r="H7" s="25"/>
      <c r="I7" s="25"/>
      <c r="J7" s="25"/>
      <c r="K7" s="30"/>
      <c r="L7" s="58"/>
      <c r="M7" s="25"/>
      <c r="N7" s="30" t="s">
        <v>26</v>
      </c>
      <c r="O7" s="58">
        <f ca="1" t="shared" si="2"/>
        <v>11.16</v>
      </c>
      <c r="P7" s="25"/>
      <c r="Q7" s="30"/>
      <c r="R7" s="30"/>
    </row>
    <row r="8" customFormat="1" spans="1:18">
      <c r="A8" s="30" t="s">
        <v>27</v>
      </c>
      <c r="B8" s="47">
        <f ca="1" t="shared" si="3"/>
        <v>4</v>
      </c>
      <c r="C8" s="47">
        <f ca="1" t="shared" si="1"/>
        <v>2</v>
      </c>
      <c r="D8" s="30">
        <f ca="1" t="shared" si="0"/>
        <v>6</v>
      </c>
      <c r="E8" s="25"/>
      <c r="F8" s="25"/>
      <c r="G8" s="25"/>
      <c r="H8" s="25"/>
      <c r="I8" s="25"/>
      <c r="J8" s="25"/>
      <c r="K8" s="30"/>
      <c r="L8" s="58"/>
      <c r="M8" s="25"/>
      <c r="N8" s="30" t="s">
        <v>28</v>
      </c>
      <c r="O8" s="58">
        <f ca="1" t="shared" si="2"/>
        <v>11.16</v>
      </c>
      <c r="P8" s="25"/>
      <c r="Q8" s="25"/>
      <c r="R8" s="25"/>
    </row>
    <row r="9" customFormat="1" spans="1:18">
      <c r="A9" s="30" t="s">
        <v>29</v>
      </c>
      <c r="B9" s="47">
        <f ca="1" t="shared" si="3"/>
        <v>2</v>
      </c>
      <c r="C9" s="47">
        <f ca="1" t="shared" si="1"/>
        <v>5</v>
      </c>
      <c r="D9" s="30">
        <f ca="1" t="shared" si="0"/>
        <v>7</v>
      </c>
      <c r="E9" s="25"/>
      <c r="F9" s="25"/>
      <c r="G9" s="25"/>
      <c r="H9" s="25"/>
      <c r="I9" s="25"/>
      <c r="J9" s="25"/>
      <c r="K9" s="30"/>
      <c r="L9" s="58"/>
      <c r="M9" s="25"/>
      <c r="N9" s="30"/>
      <c r="O9" s="58"/>
      <c r="P9" s="25"/>
      <c r="Q9" s="25"/>
      <c r="R9" s="25"/>
    </row>
    <row r="10" customFormat="1" spans="1:18">
      <c r="A10" s="30" t="s">
        <v>30</v>
      </c>
      <c r="B10" s="47">
        <f ca="1" t="shared" si="3"/>
        <v>3</v>
      </c>
      <c r="C10" s="47">
        <f ca="1" t="shared" si="1"/>
        <v>4</v>
      </c>
      <c r="D10" s="30">
        <f ca="1" t="shared" si="0"/>
        <v>7</v>
      </c>
      <c r="E10" s="25"/>
      <c r="F10" s="25"/>
      <c r="G10" s="25"/>
      <c r="H10" s="25"/>
      <c r="I10" s="25"/>
      <c r="J10" s="25"/>
      <c r="K10" s="25"/>
      <c r="L10" s="25"/>
      <c r="M10" s="25"/>
      <c r="N10" s="30"/>
      <c r="O10" s="25"/>
      <c r="P10" s="25"/>
      <c r="Q10" s="25"/>
      <c r="R10" s="25"/>
    </row>
    <row r="11" customFormat="1" spans="1:18">
      <c r="A11" s="30" t="s">
        <v>31</v>
      </c>
      <c r="B11" s="47">
        <f ca="1" t="shared" si="3"/>
        <v>2</v>
      </c>
      <c r="C11" s="47">
        <f ca="1" t="shared" si="1"/>
        <v>3</v>
      </c>
      <c r="D11" s="30">
        <f ca="1" t="shared" si="0"/>
        <v>5</v>
      </c>
      <c r="E11" s="25"/>
      <c r="F11" s="25"/>
      <c r="G11" s="25"/>
      <c r="H11" s="25"/>
      <c r="I11" s="25"/>
      <c r="J11" s="25"/>
      <c r="K11" s="25"/>
      <c r="L11" s="25"/>
      <c r="M11" s="25"/>
      <c r="N11" s="30"/>
      <c r="O11" s="25"/>
      <c r="P11" s="25"/>
      <c r="Q11" s="25"/>
      <c r="R11" s="25"/>
    </row>
    <row r="12" customFormat="1" spans="1:18">
      <c r="A12" s="30" t="s">
        <v>32</v>
      </c>
      <c r="B12" s="47">
        <f ca="1" t="shared" si="3"/>
        <v>1</v>
      </c>
      <c r="C12" s="47">
        <f ca="1" t="shared" si="1"/>
        <v>2</v>
      </c>
      <c r="D12" s="30">
        <f ca="1" t="shared" si="0"/>
        <v>3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customFormat="1" spans="1:18">
      <c r="A13" s="30" t="s">
        <v>33</v>
      </c>
      <c r="B13" s="47">
        <f ca="1" t="shared" ref="B13:B22" si="4">RANDBETWEEN(1,5)</f>
        <v>1</v>
      </c>
      <c r="C13" s="47">
        <f ca="1" t="shared" ref="C13:C22" si="5">RANDBETWEEN(1,5)</f>
        <v>1</v>
      </c>
      <c r="D13" s="30">
        <f ca="1" t="shared" si="0"/>
        <v>2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customFormat="1" spans="1:18">
      <c r="A14" s="30" t="s">
        <v>34</v>
      </c>
      <c r="B14" s="47">
        <f ca="1" t="shared" si="4"/>
        <v>2</v>
      </c>
      <c r="C14" s="47">
        <f ca="1" t="shared" si="5"/>
        <v>5</v>
      </c>
      <c r="D14" s="30">
        <f ca="1" t="shared" si="0"/>
        <v>7</v>
      </c>
      <c r="E14" s="25"/>
      <c r="F14" s="25"/>
      <c r="G14" s="25"/>
      <c r="H14" s="25" t="s">
        <v>35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customFormat="1" spans="1:18">
      <c r="A15" s="30" t="s">
        <v>36</v>
      </c>
      <c r="B15" s="47">
        <f ca="1" t="shared" si="4"/>
        <v>3</v>
      </c>
      <c r="C15" s="47">
        <f ca="1" t="shared" si="5"/>
        <v>1</v>
      </c>
      <c r="D15" s="30">
        <f ca="1" t="shared" si="0"/>
        <v>4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customFormat="1" spans="1:18">
      <c r="A16" s="30" t="s">
        <v>37</v>
      </c>
      <c r="B16" s="47">
        <f ca="1" t="shared" si="4"/>
        <v>4</v>
      </c>
      <c r="C16" s="47">
        <f ca="1" t="shared" si="5"/>
        <v>4</v>
      </c>
      <c r="D16" s="30">
        <f ca="1" t="shared" si="0"/>
        <v>8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customFormat="1" spans="1:18">
      <c r="A17" s="30" t="s">
        <v>38</v>
      </c>
      <c r="B17" s="47">
        <f ca="1" t="shared" si="4"/>
        <v>1</v>
      </c>
      <c r="C17" s="47">
        <f ca="1" t="shared" si="5"/>
        <v>4</v>
      </c>
      <c r="D17" s="30">
        <f ca="1" t="shared" si="0"/>
        <v>5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customFormat="1" spans="1:18">
      <c r="A18" s="30" t="s">
        <v>39</v>
      </c>
      <c r="B18" s="47">
        <f ca="1" t="shared" si="4"/>
        <v>2</v>
      </c>
      <c r="C18" s="47">
        <f ca="1" t="shared" si="5"/>
        <v>5</v>
      </c>
      <c r="D18" s="30">
        <f ca="1" t="shared" si="0"/>
        <v>7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customFormat="1" spans="1:18">
      <c r="A19" s="30" t="s">
        <v>40</v>
      </c>
      <c r="B19" s="47">
        <f ca="1" t="shared" si="4"/>
        <v>3</v>
      </c>
      <c r="C19" s="47">
        <f ca="1" t="shared" si="5"/>
        <v>4</v>
      </c>
      <c r="D19" s="30">
        <f ca="1" t="shared" si="0"/>
        <v>7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customFormat="1" spans="1:18">
      <c r="A20" s="30" t="s">
        <v>41</v>
      </c>
      <c r="B20" s="47">
        <f ca="1" t="shared" si="4"/>
        <v>2</v>
      </c>
      <c r="C20" s="47">
        <f ca="1" t="shared" si="5"/>
        <v>5</v>
      </c>
      <c r="D20" s="30">
        <f ca="1" t="shared" si="0"/>
        <v>7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 customFormat="1" spans="1:18">
      <c r="A21" s="30" t="s">
        <v>42</v>
      </c>
      <c r="B21" s="47">
        <f ca="1" t="shared" si="4"/>
        <v>4</v>
      </c>
      <c r="C21" s="47">
        <f ca="1" t="shared" si="5"/>
        <v>4</v>
      </c>
      <c r="D21" s="30">
        <f ca="1" t="shared" si="0"/>
        <v>8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customFormat="1" spans="1:18">
      <c r="A22" s="30" t="s">
        <v>43</v>
      </c>
      <c r="B22" s="47">
        <f ca="1" t="shared" si="4"/>
        <v>5</v>
      </c>
      <c r="C22" s="47">
        <f ca="1" t="shared" si="5"/>
        <v>4</v>
      </c>
      <c r="D22" s="30">
        <f ca="1" t="shared" si="0"/>
        <v>9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>
      <c r="A23" s="30" t="s">
        <v>44</v>
      </c>
      <c r="B23" s="47">
        <f ca="1" t="shared" ref="B23:B34" si="6">RANDBETWEEN(1,5)</f>
        <v>2</v>
      </c>
      <c r="C23" s="47">
        <f ca="1" t="shared" ref="C23:C34" si="7">RANDBETWEEN(1,5)</f>
        <v>2</v>
      </c>
      <c r="D23" s="30">
        <f ca="1" t="shared" si="0"/>
        <v>4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>
      <c r="A24" s="30" t="s">
        <v>45</v>
      </c>
      <c r="B24" s="47">
        <f ca="1" t="shared" si="6"/>
        <v>4</v>
      </c>
      <c r="C24" s="47">
        <f ca="1" t="shared" si="7"/>
        <v>1</v>
      </c>
      <c r="D24" s="30">
        <f ca="1" t="shared" si="0"/>
        <v>5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>
      <c r="A25" s="30" t="s">
        <v>46</v>
      </c>
      <c r="B25" s="47">
        <f ca="1" t="shared" si="6"/>
        <v>4</v>
      </c>
      <c r="C25" s="47">
        <f ca="1" t="shared" si="7"/>
        <v>2</v>
      </c>
      <c r="D25" s="30">
        <f ca="1" t="shared" si="0"/>
        <v>6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>
      <c r="A26" s="30" t="s">
        <v>47</v>
      </c>
      <c r="B26" s="47">
        <f ca="1" t="shared" si="6"/>
        <v>1</v>
      </c>
      <c r="C26" s="47">
        <f ca="1" t="shared" si="7"/>
        <v>1</v>
      </c>
      <c r="D26" s="30">
        <f ca="1" t="shared" si="0"/>
        <v>2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>
      <c r="A27" s="30" t="s">
        <v>48</v>
      </c>
      <c r="B27" s="47">
        <f ca="1" t="shared" si="6"/>
        <v>5</v>
      </c>
      <c r="C27" s="47">
        <f ca="1" t="shared" si="7"/>
        <v>1</v>
      </c>
      <c r="D27" s="30">
        <f ca="1" t="shared" si="0"/>
        <v>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>
      <c r="A28" s="30" t="s">
        <v>49</v>
      </c>
      <c r="B28" s="47">
        <f ca="1" t="shared" si="6"/>
        <v>4</v>
      </c>
      <c r="C28" s="47">
        <f ca="1" t="shared" si="7"/>
        <v>3</v>
      </c>
      <c r="D28" s="30">
        <f ca="1" t="shared" si="0"/>
        <v>7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>
      <c r="A29" s="30" t="s">
        <v>50</v>
      </c>
      <c r="B29" s="47">
        <f ca="1" t="shared" si="6"/>
        <v>2</v>
      </c>
      <c r="C29" s="47">
        <f ca="1" t="shared" si="7"/>
        <v>2</v>
      </c>
      <c r="D29" s="30">
        <f ca="1" t="shared" si="0"/>
        <v>4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>
      <c r="A30" s="30" t="s">
        <v>51</v>
      </c>
      <c r="B30" s="47">
        <f ca="1" t="shared" si="6"/>
        <v>3</v>
      </c>
      <c r="C30" s="47">
        <f ca="1" t="shared" si="7"/>
        <v>1</v>
      </c>
      <c r="D30" s="30">
        <f ca="1" t="shared" si="0"/>
        <v>4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>
      <c r="A31" s="30" t="s">
        <v>52</v>
      </c>
      <c r="B31" s="47">
        <f ca="1" t="shared" si="6"/>
        <v>1</v>
      </c>
      <c r="C31" s="47">
        <f ca="1" t="shared" si="7"/>
        <v>1</v>
      </c>
      <c r="D31" s="30">
        <f ca="1" t="shared" si="0"/>
        <v>2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customFormat="1" spans="1:4">
      <c r="A32" s="30" t="s">
        <v>53</v>
      </c>
      <c r="B32" s="47">
        <f ca="1" t="shared" si="6"/>
        <v>5</v>
      </c>
      <c r="C32" s="47">
        <f ca="1" t="shared" si="7"/>
        <v>5</v>
      </c>
      <c r="D32" s="30">
        <v>8</v>
      </c>
    </row>
    <row r="33" customFormat="1" spans="1:4">
      <c r="A33" s="30" t="s">
        <v>54</v>
      </c>
      <c r="B33" s="47">
        <f ca="1" t="shared" si="6"/>
        <v>2</v>
      </c>
      <c r="C33" s="47">
        <f ca="1" t="shared" si="7"/>
        <v>4</v>
      </c>
      <c r="D33" s="30">
        <v>7</v>
      </c>
    </row>
    <row r="34" customFormat="1" spans="1:4">
      <c r="A34" s="30" t="s">
        <v>55</v>
      </c>
      <c r="B34" s="47">
        <f ca="1" t="shared" si="6"/>
        <v>4</v>
      </c>
      <c r="C34" s="47">
        <f ca="1" t="shared" si="7"/>
        <v>5</v>
      </c>
      <c r="D34" s="30">
        <v>7</v>
      </c>
    </row>
    <row r="35" customFormat="1" spans="4:4">
      <c r="D35" s="30">
        <f ca="1">SUM(D2:D34)</f>
        <v>186</v>
      </c>
    </row>
    <row r="36" customFormat="1" spans="2:3">
      <c r="B36">
        <v>2</v>
      </c>
      <c r="C36">
        <v>2</v>
      </c>
    </row>
    <row r="37" customFormat="1" spans="2:3">
      <c r="B37">
        <v>2</v>
      </c>
      <c r="C37">
        <v>2</v>
      </c>
    </row>
    <row r="38" customFormat="1" spans="2:3">
      <c r="B38">
        <v>2</v>
      </c>
      <c r="C38">
        <v>2</v>
      </c>
    </row>
    <row r="39" customFormat="1" spans="2:3">
      <c r="B39">
        <v>2</v>
      </c>
      <c r="C39">
        <v>2</v>
      </c>
    </row>
    <row r="40" customFormat="1" spans="2:3">
      <c r="B40">
        <v>2</v>
      </c>
      <c r="C40">
        <v>2</v>
      </c>
    </row>
    <row r="41" customFormat="1" spans="2:3">
      <c r="B41">
        <v>2</v>
      </c>
      <c r="C41">
        <v>2</v>
      </c>
    </row>
    <row r="42" customFormat="1" spans="2:3">
      <c r="B42">
        <v>2</v>
      </c>
      <c r="C42">
        <v>2</v>
      </c>
    </row>
    <row r="43" customFormat="1" spans="2:3">
      <c r="B43">
        <v>2</v>
      </c>
      <c r="C43">
        <v>2</v>
      </c>
    </row>
    <row r="44" customFormat="1" spans="2:3">
      <c r="B44">
        <v>2</v>
      </c>
      <c r="C44">
        <v>2</v>
      </c>
    </row>
    <row r="45" customFormat="1" spans="2:3">
      <c r="B45">
        <v>2</v>
      </c>
      <c r="C45">
        <v>2</v>
      </c>
    </row>
    <row r="46" customFormat="1" spans="2:3">
      <c r="B46">
        <v>2</v>
      </c>
      <c r="C46">
        <v>2</v>
      </c>
    </row>
    <row r="47" customFormat="1" spans="2:3">
      <c r="B47">
        <v>2</v>
      </c>
      <c r="C47">
        <v>2</v>
      </c>
    </row>
    <row r="48" customFormat="1" spans="2:3">
      <c r="B48">
        <v>2</v>
      </c>
      <c r="C48">
        <v>2</v>
      </c>
    </row>
    <row r="49" customFormat="1" spans="2:3">
      <c r="B49">
        <v>2</v>
      </c>
      <c r="C49">
        <v>2</v>
      </c>
    </row>
    <row r="50" customFormat="1" spans="2:3">
      <c r="B50">
        <v>2</v>
      </c>
      <c r="C50">
        <v>2</v>
      </c>
    </row>
    <row r="51" customFormat="1" spans="2:3">
      <c r="B51">
        <v>2</v>
      </c>
      <c r="C51">
        <v>2</v>
      </c>
    </row>
    <row r="52" customFormat="1" spans="2:3">
      <c r="B52">
        <v>2</v>
      </c>
      <c r="C52">
        <v>2</v>
      </c>
    </row>
    <row r="53" customFormat="1" spans="2:3">
      <c r="B53">
        <v>2</v>
      </c>
      <c r="C53">
        <v>2</v>
      </c>
    </row>
    <row r="54" customFormat="1" spans="2:3">
      <c r="B54">
        <v>2</v>
      </c>
      <c r="C54">
        <v>2</v>
      </c>
    </row>
    <row r="55" customFormat="1" spans="2:3">
      <c r="B55">
        <v>2</v>
      </c>
      <c r="C55">
        <v>2</v>
      </c>
    </row>
    <row r="56" customFormat="1" spans="2:3">
      <c r="B56">
        <v>2</v>
      </c>
      <c r="C56">
        <v>2</v>
      </c>
    </row>
    <row r="57" customFormat="1" spans="2:3">
      <c r="B57">
        <v>2</v>
      </c>
      <c r="C57">
        <v>2</v>
      </c>
    </row>
    <row r="58" customFormat="1" spans="2:3">
      <c r="B58">
        <v>2</v>
      </c>
      <c r="C58">
        <v>2</v>
      </c>
    </row>
    <row r="59" customFormat="1" spans="2:3">
      <c r="B59">
        <v>2</v>
      </c>
      <c r="C59">
        <v>2</v>
      </c>
    </row>
    <row r="60" customFormat="1" spans="2:3">
      <c r="B60">
        <v>2</v>
      </c>
      <c r="C60">
        <v>2</v>
      </c>
    </row>
    <row r="61" customFormat="1" spans="2:3">
      <c r="B61">
        <v>2</v>
      </c>
      <c r="C61">
        <v>2</v>
      </c>
    </row>
    <row r="62" customFormat="1" spans="2:3">
      <c r="B62">
        <v>2</v>
      </c>
      <c r="C62">
        <v>2</v>
      </c>
    </row>
    <row r="63" customFormat="1" spans="2:3">
      <c r="B63">
        <v>2</v>
      </c>
      <c r="C63">
        <v>2</v>
      </c>
    </row>
    <row r="64" customFormat="1" spans="2:3">
      <c r="B64">
        <v>2</v>
      </c>
      <c r="C64">
        <v>2</v>
      </c>
    </row>
    <row r="65" customFormat="1" spans="2:3">
      <c r="B65">
        <v>2</v>
      </c>
      <c r="C65">
        <v>2</v>
      </c>
    </row>
    <row r="66" customFormat="1" spans="2:3">
      <c r="B66">
        <v>2</v>
      </c>
      <c r="C66">
        <v>2</v>
      </c>
    </row>
    <row r="67" customFormat="1" spans="2:3">
      <c r="B67">
        <v>2</v>
      </c>
      <c r="C67">
        <v>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4"/>
  <sheetViews>
    <sheetView zoomScale="115" zoomScaleNormal="115" workbookViewId="0">
      <selection activeCell="C11" sqref="C11"/>
    </sheetView>
  </sheetViews>
  <sheetFormatPr defaultColWidth="8.66666666666667" defaultRowHeight="14" outlineLevelCol="2"/>
  <cols>
    <col min="1" max="1" width="19.2666666666667" customWidth="1"/>
    <col min="2" max="2" width="18.2583333333333" customWidth="1"/>
    <col min="3" max="3" width="12.6666666666667"/>
  </cols>
  <sheetData>
    <row r="2" spans="2:3">
      <c r="B2" s="65">
        <v>114.26764341</v>
      </c>
      <c r="C2" s="65">
        <v>30.61647316</v>
      </c>
    </row>
    <row r="3" spans="2:3">
      <c r="B3" s="65">
        <v>114.28479587</v>
      </c>
      <c r="C3" s="65">
        <v>30.60230437</v>
      </c>
    </row>
    <row r="4" spans="2:3">
      <c r="B4" s="65">
        <v>114.29773776</v>
      </c>
      <c r="C4" s="65">
        <v>30.5431463</v>
      </c>
    </row>
    <row r="5" spans="2:3">
      <c r="B5" s="65">
        <v>114.29509717</v>
      </c>
      <c r="C5" s="65">
        <v>30.62814525</v>
      </c>
    </row>
    <row r="6" spans="2:3">
      <c r="B6" s="65">
        <v>114.28223062</v>
      </c>
      <c r="C6" s="65">
        <v>30.60536171</v>
      </c>
    </row>
    <row r="7" spans="2:3">
      <c r="B7" s="65">
        <v>114.36156395</v>
      </c>
      <c r="C7" s="65">
        <v>30.52346258</v>
      </c>
    </row>
    <row r="8" spans="2:3">
      <c r="B8" s="65">
        <v>114.40300786</v>
      </c>
      <c r="C8" s="65">
        <v>30.50842768</v>
      </c>
    </row>
    <row r="9" spans="2:3">
      <c r="B9" s="65">
        <v>114.32612163</v>
      </c>
      <c r="C9" s="65">
        <v>30.54466034</v>
      </c>
    </row>
    <row r="10" spans="2:3">
      <c r="B10" s="65">
        <v>114.33896522</v>
      </c>
      <c r="C10" s="65">
        <v>30.53320178</v>
      </c>
    </row>
    <row r="11" spans="2:3">
      <c r="B11" s="65">
        <v>114.3471515</v>
      </c>
      <c r="C11" s="65">
        <v>30.55545516</v>
      </c>
    </row>
    <row r="12" spans="2:3">
      <c r="B12" s="65">
        <v>114.3979719</v>
      </c>
      <c r="C12" s="65">
        <v>30.634334</v>
      </c>
    </row>
    <row r="13" spans="2:3">
      <c r="B13" s="65">
        <v>114.25536995</v>
      </c>
      <c r="C13" s="65">
        <v>30.61907181</v>
      </c>
    </row>
    <row r="14" spans="2:3">
      <c r="B14" s="65">
        <v>114.24894778</v>
      </c>
      <c r="C14" s="65">
        <v>30.57153835</v>
      </c>
    </row>
    <row r="15" spans="2:3">
      <c r="B15" s="65">
        <v>114.28153948</v>
      </c>
      <c r="C15" s="65">
        <v>30.60888768</v>
      </c>
    </row>
    <row r="16" spans="2:3">
      <c r="B16" s="65">
        <v>114.48226351</v>
      </c>
      <c r="C16" s="65">
        <v>30.60503176</v>
      </c>
    </row>
    <row r="17" spans="2:3">
      <c r="B17" s="65">
        <v>114.29042743</v>
      </c>
      <c r="C17" s="65">
        <v>30.59335691</v>
      </c>
    </row>
    <row r="18" spans="2:3">
      <c r="B18" s="64">
        <v>114.3226783</v>
      </c>
      <c r="C18" s="64">
        <v>30.5833796</v>
      </c>
    </row>
    <row r="19" spans="2:3">
      <c r="B19" s="64">
        <v>114.222429</v>
      </c>
      <c r="C19" s="64">
        <v>30.525599</v>
      </c>
    </row>
    <row r="20" spans="2:3">
      <c r="B20" s="64">
        <v>114.37304394</v>
      </c>
      <c r="C20" s="64">
        <v>30.58469156</v>
      </c>
    </row>
    <row r="21" spans="2:3">
      <c r="B21" s="64">
        <v>114.24808756</v>
      </c>
      <c r="C21" s="64">
        <v>30.58391977</v>
      </c>
    </row>
    <row r="22" spans="2:3">
      <c r="B22" s="64">
        <v>114.28839267</v>
      </c>
      <c r="C22" s="64">
        <v>30.43296017</v>
      </c>
    </row>
    <row r="23" spans="2:3">
      <c r="B23" s="64">
        <v>114.22718288</v>
      </c>
      <c r="C23" s="64">
        <v>30.52394865</v>
      </c>
    </row>
    <row r="24" spans="2:3">
      <c r="B24" s="64">
        <v>114.26660962</v>
      </c>
      <c r="C24" s="64">
        <v>30.57459071</v>
      </c>
    </row>
    <row r="25" spans="2:3">
      <c r="B25" s="64">
        <v>114.08085059</v>
      </c>
      <c r="C25" s="64">
        <v>30.52942249</v>
      </c>
    </row>
    <row r="26" spans="2:3">
      <c r="B26" s="64">
        <v>114.10823846</v>
      </c>
      <c r="C26" s="64">
        <v>30.55135294</v>
      </c>
    </row>
    <row r="27" spans="2:3">
      <c r="B27" s="64">
        <v>114.25747065</v>
      </c>
      <c r="C27" s="64">
        <v>30.61547677</v>
      </c>
    </row>
    <row r="28" spans="2:3">
      <c r="B28" s="66">
        <v>114.470399</v>
      </c>
      <c r="C28" s="66">
        <v>30.493669</v>
      </c>
    </row>
    <row r="29" spans="2:3">
      <c r="B29" s="64">
        <v>114.16858373</v>
      </c>
      <c r="C29" s="64">
        <v>30.49530892</v>
      </c>
    </row>
    <row r="30" spans="2:3">
      <c r="B30" s="64">
        <v>114.37415452</v>
      </c>
      <c r="C30" s="64">
        <v>30.62588163</v>
      </c>
    </row>
    <row r="31" spans="2:3">
      <c r="B31" s="64">
        <v>114.4353499</v>
      </c>
      <c r="C31" s="64">
        <v>30.4437438</v>
      </c>
    </row>
    <row r="32" spans="2:3">
      <c r="B32" s="30">
        <v>114.002187128004</v>
      </c>
      <c r="C32" s="30">
        <v>30.5024982232543</v>
      </c>
    </row>
    <row r="33" spans="2:3">
      <c r="B33" s="30">
        <v>114.315185483242</v>
      </c>
      <c r="C33" s="30">
        <v>30.5592910496561</v>
      </c>
    </row>
    <row r="34" spans="2:3">
      <c r="B34" s="30">
        <v>114.486661378372</v>
      </c>
      <c r="C34" s="30">
        <v>30.5988706154559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7"/>
  <sheetViews>
    <sheetView zoomScale="160" zoomScaleNormal="160" workbookViewId="0">
      <selection activeCell="D6" sqref="D6"/>
    </sheetView>
  </sheetViews>
  <sheetFormatPr defaultColWidth="8.66666666666667" defaultRowHeight="14" outlineLevelRow="6" outlineLevelCol="2"/>
  <cols>
    <col min="1" max="1" width="15.25" customWidth="1"/>
    <col min="2" max="2" width="13.5" customWidth="1"/>
    <col min="3" max="3" width="12.6666666666667"/>
  </cols>
  <sheetData>
    <row r="2" spans="2:3">
      <c r="B2" s="64">
        <v>114.2924082</v>
      </c>
      <c r="C2" s="64">
        <v>30.52952405</v>
      </c>
    </row>
    <row r="3" spans="2:3">
      <c r="B3" s="64">
        <v>114.31705751</v>
      </c>
      <c r="C3" s="64">
        <v>30.66263731</v>
      </c>
    </row>
    <row r="4" spans="2:3">
      <c r="B4" s="64">
        <v>114.1255963</v>
      </c>
      <c r="C4" s="64">
        <v>30.61524883</v>
      </c>
    </row>
    <row r="5" spans="2:3">
      <c r="B5" s="64">
        <v>114.37835323</v>
      </c>
      <c r="C5" s="64">
        <v>30.61300009</v>
      </c>
    </row>
    <row r="6" spans="2:3">
      <c r="B6" s="64">
        <v>114.40495276</v>
      </c>
      <c r="C6" s="64">
        <v>30.49534905</v>
      </c>
    </row>
    <row r="7" spans="2:3">
      <c r="B7" s="64"/>
      <c r="C7" s="6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8"/>
  <sheetViews>
    <sheetView zoomScale="175" zoomScaleNormal="175" workbookViewId="0">
      <selection activeCell="B2" sqref="B2:B8"/>
    </sheetView>
  </sheetViews>
  <sheetFormatPr defaultColWidth="8.66666666666667" defaultRowHeight="14" outlineLevelRow="7" outlineLevelCol="2"/>
  <cols>
    <col min="2" max="3" width="12.6666666666667"/>
  </cols>
  <sheetData>
    <row r="2" spans="2:3">
      <c r="B2" s="64">
        <v>114.27520931</v>
      </c>
      <c r="C2" s="64">
        <v>30.57623296</v>
      </c>
    </row>
    <row r="3" spans="2:3">
      <c r="B3" s="64">
        <v>114.3018651</v>
      </c>
      <c r="C3" s="64">
        <v>30.43526149</v>
      </c>
    </row>
    <row r="4" spans="2:3">
      <c r="B4" s="64">
        <v>114.09243822</v>
      </c>
      <c r="C4" s="64">
        <v>30.52838723</v>
      </c>
    </row>
    <row r="5" spans="2:3">
      <c r="B5" s="64">
        <v>114.33856308</v>
      </c>
      <c r="C5" s="64">
        <v>30.60134056</v>
      </c>
    </row>
    <row r="6" spans="2:3">
      <c r="B6" s="64">
        <v>114.46692136</v>
      </c>
      <c r="C6" s="64">
        <v>30.59939985</v>
      </c>
    </row>
    <row r="7" spans="2:3">
      <c r="B7" s="64">
        <v>114.40279486</v>
      </c>
      <c r="C7" s="64">
        <v>30.47863283</v>
      </c>
    </row>
    <row r="8" spans="2:3">
      <c r="B8" s="64">
        <v>114.20961857</v>
      </c>
      <c r="C8" s="64">
        <v>30.5952963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175" zoomScaleNormal="175" workbookViewId="0">
      <selection activeCell="D6" sqref="D6"/>
    </sheetView>
  </sheetViews>
  <sheetFormatPr defaultColWidth="8.66666666666667" defaultRowHeight="14" outlineLevelRow="5" outlineLevelCol="2"/>
  <cols>
    <col min="1" max="1" width="10.1666666666667" customWidth="1"/>
    <col min="2" max="2" width="13" customWidth="1"/>
    <col min="3" max="3" width="12.6666666666667"/>
  </cols>
  <sheetData>
    <row r="2" spans="2:3">
      <c r="B2" s="64">
        <v>114.17818178</v>
      </c>
      <c r="C2" s="64">
        <v>30.57171688</v>
      </c>
    </row>
    <row r="3" spans="2:3">
      <c r="B3" s="64">
        <v>114.53146386</v>
      </c>
      <c r="C3" s="64">
        <v>30.59111115</v>
      </c>
    </row>
    <row r="4" spans="2:3">
      <c r="B4" s="64">
        <v>114.21016795</v>
      </c>
      <c r="C4" s="64">
        <v>30.35241102</v>
      </c>
    </row>
    <row r="5" spans="2:3">
      <c r="B5" s="64">
        <v>114.5431191</v>
      </c>
      <c r="C5" s="64">
        <v>30.7269673</v>
      </c>
    </row>
    <row r="6" spans="2:3">
      <c r="B6" s="30">
        <v>114.53100227947</v>
      </c>
      <c r="C6" s="30">
        <v>30.4157372353224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4"/>
  <sheetViews>
    <sheetView workbookViewId="0">
      <selection activeCell="C26" sqref="C26"/>
    </sheetView>
  </sheetViews>
  <sheetFormatPr defaultColWidth="8.66666666666667" defaultRowHeight="14" outlineLevelCol="1"/>
  <cols>
    <col min="1" max="1" width="11.5" style="30"/>
    <col min="2" max="2" width="12.6666666666667"/>
  </cols>
  <sheetData>
    <row r="2" spans="2:2">
      <c r="B2" s="61">
        <v>0.0399224887614268</v>
      </c>
    </row>
    <row r="3" spans="2:2">
      <c r="B3" s="61">
        <v>0.0347658024972397</v>
      </c>
    </row>
    <row r="4" spans="2:2">
      <c r="B4" s="61">
        <v>0.0219812906294078</v>
      </c>
    </row>
    <row r="5" spans="2:2">
      <c r="B5" s="61">
        <v>0.0131654317752733</v>
      </c>
    </row>
    <row r="6" spans="2:2">
      <c r="B6" s="61">
        <v>0.0344286224375566</v>
      </c>
    </row>
    <row r="7" spans="2:2">
      <c r="B7" s="61">
        <v>0.0154969761725736</v>
      </c>
    </row>
    <row r="8" spans="2:2">
      <c r="B8" s="61">
        <v>0.00687613890735196</v>
      </c>
    </row>
    <row r="9" spans="2:2">
      <c r="B9" s="61">
        <v>0.0311008735321941</v>
      </c>
    </row>
    <row r="10" spans="2:2">
      <c r="B10" s="61">
        <v>0.0282635393571635</v>
      </c>
    </row>
    <row r="11" spans="2:2">
      <c r="B11" s="61">
        <v>0.0174198045047796</v>
      </c>
    </row>
    <row r="12" spans="2:2">
      <c r="B12" s="61">
        <v>0.0179746497692254</v>
      </c>
    </row>
    <row r="13" spans="2:2">
      <c r="B13" s="61">
        <v>0.0249119029884314</v>
      </c>
    </row>
    <row r="14" spans="2:2">
      <c r="B14" s="61">
        <v>0.0334453544593707</v>
      </c>
    </row>
    <row r="15" spans="2:2">
      <c r="B15" s="61">
        <v>0.0354613872693</v>
      </c>
    </row>
    <row r="16" spans="2:2">
      <c r="B16" s="61">
        <v>0.000758805533949727</v>
      </c>
    </row>
    <row r="17" spans="2:2">
      <c r="B17" s="61">
        <v>0.0409588580971044</v>
      </c>
    </row>
    <row r="18" spans="2:2">
      <c r="B18" s="61">
        <v>0.0158399090622296</v>
      </c>
    </row>
    <row r="19" spans="2:2">
      <c r="B19" s="61">
        <v>0.00111395748830709</v>
      </c>
    </row>
    <row r="20" spans="2:2">
      <c r="B20" s="61">
        <v>0.00305129356330386</v>
      </c>
    </row>
    <row r="21" spans="2:2">
      <c r="B21" s="61">
        <v>0.0140956449237549</v>
      </c>
    </row>
    <row r="22" spans="2:2">
      <c r="B22" s="61">
        <v>0.00112083670538441</v>
      </c>
    </row>
    <row r="23" spans="2:2">
      <c r="B23" s="61">
        <v>0.00118039056348291</v>
      </c>
    </row>
    <row r="24" spans="2:2">
      <c r="B24" s="61">
        <v>0.0642213651873551</v>
      </c>
    </row>
    <row r="25" spans="2:2">
      <c r="B25" s="61">
        <v>0.00145388955405795</v>
      </c>
    </row>
    <row r="26" spans="2:2">
      <c r="B26" s="61">
        <v>0.00145383573977181</v>
      </c>
    </row>
    <row r="27" spans="2:2">
      <c r="B27" s="61">
        <v>0.0270553081680775</v>
      </c>
    </row>
    <row r="28" spans="2:2">
      <c r="B28" s="61">
        <v>0.000923694081517144</v>
      </c>
    </row>
    <row r="29" spans="2:2">
      <c r="B29" s="61">
        <v>0.00183866628777193</v>
      </c>
    </row>
    <row r="30" spans="2:2">
      <c r="B30" s="61">
        <v>0.0146667440712815</v>
      </c>
    </row>
    <row r="31" spans="2:2">
      <c r="B31" s="61">
        <v>7.09888317165849e-5</v>
      </c>
    </row>
    <row r="32" spans="2:2">
      <c r="B32" s="61">
        <f>AVERAGE(B2:B31)</f>
        <v>0.0181672816973454</v>
      </c>
    </row>
    <row r="33" spans="2:2">
      <c r="B33" s="61">
        <f>AVERAGE(B3:B32)</f>
        <v>0.0174421081285427</v>
      </c>
    </row>
    <row r="34" spans="2:2">
      <c r="B34" s="61">
        <f>AVERAGE(B4:B33)</f>
        <v>0.0168646516495861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9"/>
  <sheetViews>
    <sheetView workbookViewId="0">
      <selection activeCell="C11" sqref="C11"/>
    </sheetView>
  </sheetViews>
  <sheetFormatPr defaultColWidth="8.66666666666667" defaultRowHeight="14" outlineLevelCol="1"/>
  <cols>
    <col min="1" max="1" width="11.6666666666667" customWidth="1"/>
    <col min="2" max="2" width="12.6666666666667"/>
    <col min="3" max="3" width="10.1666666666667" customWidth="1"/>
  </cols>
  <sheetData>
    <row r="2" spans="2:2">
      <c r="B2" s="63">
        <v>0.0186328710747431</v>
      </c>
    </row>
    <row r="3" spans="2:2">
      <c r="B3" s="63">
        <v>0.0168942310339099</v>
      </c>
    </row>
    <row r="4" spans="2:2">
      <c r="B4" s="63">
        <v>0.00182967388107151</v>
      </c>
    </row>
    <row r="5" spans="2:2">
      <c r="B5" s="63">
        <v>0.00464347720369339</v>
      </c>
    </row>
    <row r="6" spans="2:2">
      <c r="B6" s="63">
        <v>0.00182061004745302</v>
      </c>
    </row>
    <row r="7" spans="2:2">
      <c r="B7" s="63">
        <v>0.0203641319685968</v>
      </c>
    </row>
    <row r="8" spans="2:2">
      <c r="B8" s="63">
        <v>0.0119590506517393</v>
      </c>
    </row>
    <row r="9" spans="2:2">
      <c r="B9" s="63">
        <v>0.00687612604708995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9"/>
  <sheetViews>
    <sheetView workbookViewId="0">
      <selection activeCell="B9" sqref="B9"/>
    </sheetView>
  </sheetViews>
  <sheetFormatPr defaultColWidth="8.66666666666667" defaultRowHeight="14" outlineLevelCol="1"/>
  <cols>
    <col min="1" max="2" width="12.6666666666667"/>
  </cols>
  <sheetData>
    <row r="2" spans="2:2">
      <c r="B2" s="62">
        <v>0.0706488029786832</v>
      </c>
    </row>
    <row r="3" spans="2:2">
      <c r="B3" s="62">
        <v>0.00117834638596552</v>
      </c>
    </row>
    <row r="4" spans="2:2">
      <c r="B4" s="62">
        <v>0.00145386732876924</v>
      </c>
    </row>
    <row r="5" spans="2:2">
      <c r="B5" s="62">
        <v>0.0172758274756543</v>
      </c>
    </row>
    <row r="6" spans="2:2">
      <c r="B6" s="62">
        <v>0.0270815313917598</v>
      </c>
    </row>
    <row r="7" spans="2:2">
      <c r="B7" s="62">
        <v>0.000680651653460127</v>
      </c>
    </row>
    <row r="8" spans="2:2">
      <c r="B8" s="62">
        <v>0.00665349370239031</v>
      </c>
    </row>
    <row r="9" spans="2:2">
      <c r="B9" s="62">
        <v>0.022880123761775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5 " / > < p i x e l a t o r L i s t   s h e e t S t i d = " 4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w o S h e e t P r o p s   s h e e t S t i d = " 3 "   i n t e r l i n e O n O f f = " 0 "   i n t e r l i n e C o l o r = " 0 "   i s D b S h e e t = " 0 " / > < w o S h e e t P r o p s   s h e e t S t i d = " 5 "   i n t e r l i n e O n O f f = " 0 "   i n t e r l i n e C o l o r = " 0 "   i s D b S h e e t = " 0 " / > < w o S h e e t P r o p s   s h e e t S t i d = " 4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5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WWO_wpscloud_20210325175106-1f52b2468d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generations_50</vt:lpstr>
      <vt:lpstr>generations_50_1</vt:lpstr>
      <vt:lpstr>jwd_production</vt:lpstr>
      <vt:lpstr>jwd_transfer</vt:lpstr>
      <vt:lpstr>jwd_recycle</vt:lpstr>
      <vt:lpstr>jwd_disposal</vt:lpstr>
      <vt:lpstr>g_md</vt:lpstr>
      <vt:lpstr>t_md</vt:lpstr>
      <vt:lpstr>r_md</vt:lpstr>
      <vt:lpstr>d_md</vt:lpstr>
      <vt:lpstr>节点信息表</vt:lpstr>
      <vt:lpstr>目标规划求解表</vt:lpstr>
      <vt:lpstr>多目标模型比较</vt:lpstr>
      <vt:lpstr>不同情景下方案</vt:lpstr>
      <vt:lpstr>测试算例总表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11268</dc:creator>
  <cp:lastModifiedBy>zihao菌</cp:lastModifiedBy>
  <dcterms:created xsi:type="dcterms:W3CDTF">2015-06-06T02:19:00Z</dcterms:created>
  <dcterms:modified xsi:type="dcterms:W3CDTF">2021-09-06T11:54:41Z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5ED91DD231504660ADE419D4D165F5F0</vt:lpwstr>
  </property>
  <property fmtid="{D5CDD505-2E9C-101B-9397-08002B2CF9AE}" pid="3" name="KSOProductBuildVer">
    <vt:lpwstr>2052-11.1.0.10700</vt:lpwstr>
  </property>
</Properties>
</file>