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çamento tip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<sst xmlns="http://schemas.openxmlformats.org/spreadsheetml/2006/main" count="552" uniqueCount="338">
  <si>
    <t xml:space="preserve">ORÇAMENTO TIPO PARA EDIFÍCIO HABITACIONAL ECONÔMICO</t>
  </si>
  <si>
    <t xml:space="preserve">Dados do projeto</t>
  </si>
  <si>
    <t xml:space="preserve">Sistema construtivo em concreto pré-moldado para habitação económica</t>
  </si>
  <si>
    <t xml:space="preserve">Prédio de 4 pavimentos de 9.5x55m = 500m², área total 2000 m² em estrutura de concreto pré-moldado</t>
  </si>
  <si>
    <t xml:space="preserve">Considerando uma porção de terreno fictícia de 20x65m</t>
  </si>
  <si>
    <t xml:space="preserve">As células em azul são automáticas e não devem ser modificadas manualmente</t>
  </si>
  <si>
    <t xml:space="preserve">Valor do CUB no momento deste orçamento (R8 SP / Agosto 2016): R$ 1219/m²</t>
  </si>
  <si>
    <t xml:space="preserve">Resumo</t>
  </si>
  <si>
    <t xml:space="preserve">o preço total da obra, somento o prédio (não inclui o que depende do terreno, viário, etc)</t>
  </si>
  <si>
    <t xml:space="preserve">Item</t>
  </si>
  <si>
    <t xml:space="preserve">Quantidade</t>
  </si>
  <si>
    <t xml:space="preserve">Preço unitário</t>
  </si>
  <si>
    <t xml:space="preserve">Porcentagem</t>
  </si>
  <si>
    <t xml:space="preserve">Preço total</t>
  </si>
  <si>
    <t xml:space="preserve">Observações</t>
  </si>
  <si>
    <t xml:space="preserve">01. Preparações e custos gerais</t>
  </si>
  <si>
    <t xml:space="preserve">idealmente, mais perto possível de 50%</t>
  </si>
  <si>
    <t xml:space="preserve">02. Estrutura pré-moldada</t>
  </si>
  <si>
    <t xml:space="preserve">03. Infra-estrutura</t>
  </si>
  <si>
    <t xml:space="preserve">04. Escadaria e partes comuns</t>
  </si>
  <si>
    <t xml:space="preserve">05. Unidade 50m²</t>
  </si>
  <si>
    <t xml:space="preserve">06. Unidade 75 m²</t>
  </si>
  <si>
    <t xml:space="preserve">Subtotal</t>
  </si>
  <si>
    <t xml:space="preserve">Este é o "preço de custo"</t>
  </si>
  <si>
    <t xml:space="preserve">Custo por m² (somente subtotal)</t>
  </si>
  <si>
    <t xml:space="preserve">Imprevistos</t>
  </si>
  <si>
    <t xml:space="preserve">Valor "seguro" </t>
  </si>
  <si>
    <t xml:space="preserve">Custos indiretos da construtora/BDI (sobre total exceto estrutura de concreto)</t>
  </si>
  <si>
    <t xml:space="preserve">Valor típico para construtoras</t>
  </si>
  <si>
    <t xml:space="preserve">Total</t>
  </si>
  <si>
    <t xml:space="preserve">Este é o preço comercial, se for com construtora</t>
  </si>
  <si>
    <t xml:space="preserve">Custo por m²</t>
  </si>
  <si>
    <t xml:space="preserve">Preços unitários</t>
  </si>
  <si>
    <t xml:space="preserve">preços básicos de ítems usados no orçamento. Conforme a pesquisa anda, o máximo de preços deve vir para cá.</t>
  </si>
  <si>
    <t xml:space="preserve">Unidade</t>
  </si>
  <si>
    <t xml:space="preserve">Material</t>
  </si>
  <si>
    <t xml:space="preserve">Mão de obra</t>
  </si>
  <si>
    <t xml:space="preserve">Origem do preço</t>
  </si>
  <si>
    <t xml:space="preserve">Estrutura pré-moldada</t>
  </si>
  <si>
    <t xml:space="preserve">un</t>
  </si>
  <si>
    <t xml:space="preserve">Orçamento Leonardi</t>
  </si>
  <si>
    <t xml:space="preserve">Capeamento de lajes pré-moldadas</t>
  </si>
  <si>
    <t xml:space="preserve">m²</t>
  </si>
  <si>
    <t xml:space="preserve">Conversa com Leonardi</t>
  </si>
  <si>
    <t xml:space="preserve">Alvenaria estrutural em blocos de 14cm</t>
  </si>
  <si>
    <t xml:space="preserve">FDE SP 04.01.050</t>
  </si>
  <si>
    <t xml:space="preserve">Alvenaria de fechamento em bloco cerâmico (não-estrutural)</t>
  </si>
  <si>
    <t xml:space="preserve">SINAPI SP 87479</t>
  </si>
  <si>
    <t xml:space="preserve">Alvenaria interior em bloco de gesso 7cm</t>
  </si>
  <si>
    <t xml:space="preserve">SINAPI SP 34584</t>
  </si>
  <si>
    <t xml:space="preserve">Vergas em bloco canaleta</t>
  </si>
  <si>
    <t xml:space="preserve">m</t>
  </si>
  <si>
    <t xml:space="preserve">FDE 16.15.003</t>
  </si>
  <si>
    <t xml:space="preserve">Janela de correr alumínio 150x120cm</t>
  </si>
  <si>
    <t xml:space="preserve">SINAPI SP 74067/001</t>
  </si>
  <si>
    <t xml:space="preserve">Janela maximar alumínio 60x80cm</t>
  </si>
  <si>
    <t xml:space="preserve">SINAPI SP 34381</t>
  </si>
  <si>
    <t xml:space="preserve">Porta interior de madeira 80x210cm com dobradiças, sem fechadura, com instalação</t>
  </si>
  <si>
    <t xml:space="preserve">SINAPI SP 91320</t>
  </si>
  <si>
    <t xml:space="preserve">Porta exterior de madeira 80x210cm com dobradiças, fechadura, com instalação</t>
  </si>
  <si>
    <t xml:space="preserve">SINAPI SP 91314</t>
  </si>
  <si>
    <t xml:space="preserve">Cerâmica simples 40x40cm para pisos</t>
  </si>
  <si>
    <t xml:space="preserve">SINAPI SP 1297</t>
  </si>
  <si>
    <t xml:space="preserve">Cerâmica simples 40x40cm para paredes</t>
  </si>
  <si>
    <t xml:space="preserve">SINAPI SP 536</t>
  </si>
  <si>
    <t xml:space="preserve">Piso de cimento queimado</t>
  </si>
  <si>
    <t xml:space="preserve">FDE SP 13.02.066</t>
  </si>
  <si>
    <t xml:space="preserve">Reboco de cimento interior</t>
  </si>
  <si>
    <t xml:space="preserve">PMSP 11.01.13</t>
  </si>
  <si>
    <t xml:space="preserve">Reboco de cimento exterior</t>
  </si>
  <si>
    <t xml:space="preserve">PMSP 11.03.13</t>
  </si>
  <si>
    <t xml:space="preserve">Pintura interior</t>
  </si>
  <si>
    <t xml:space="preserve">SINAPI SP 88428</t>
  </si>
  <si>
    <t xml:space="preserve">Pintura exterior</t>
  </si>
  <si>
    <t xml:space="preserve">SINAPI SP 88431</t>
  </si>
  <si>
    <t xml:space="preserve">Tubulação de água fria PVC 25mm</t>
  </si>
  <si>
    <t xml:space="preserve">PMSP 10.02.61</t>
  </si>
  <si>
    <t xml:space="preserve">Tubulação de esgoto PVC 50mm</t>
  </si>
  <si>
    <t xml:space="preserve">PMSP 10.02.64</t>
  </si>
  <si>
    <t xml:space="preserve">Interuptor</t>
  </si>
  <si>
    <t xml:space="preserve">SINAPI SP 91953</t>
  </si>
  <si>
    <t xml:space="preserve">Ponto de luz</t>
  </si>
  <si>
    <t xml:space="preserve">SINAPI SP 74094/001</t>
  </si>
  <si>
    <t xml:space="preserve">Eletroduto 25mm</t>
  </si>
  <si>
    <t xml:space="preserve">SINAPI SP 90.20.02</t>
  </si>
  <si>
    <t xml:space="preserve">Fiação de cobre uso doméstico 2.5mm</t>
  </si>
  <si>
    <t xml:space="preserve">SINAPI SP 1021</t>
  </si>
  <si>
    <t xml:space="preserve">Guarda-corpo metálico</t>
  </si>
  <si>
    <t xml:space="preserve">Estimação pessoal</t>
  </si>
  <si>
    <t xml:space="preserve">Orçamento detalhado</t>
  </si>
  <si>
    <t xml:space="preserve">preço detalhado de cada item a ser executado</t>
  </si>
  <si>
    <t xml:space="preserve">Completo</t>
  </si>
  <si>
    <t xml:space="preserve">01.01 Projetos</t>
  </si>
  <si>
    <t xml:space="preserve">porcentagem todos os projetos</t>
  </si>
  <si>
    <t xml:space="preserve">Sondagens</t>
  </si>
  <si>
    <t xml:space="preserve">Projeto de arquitetura + acompanhamento da obra</t>
  </si>
  <si>
    <t xml:space="preserve">porcentagem do projeto de arq</t>
  </si>
  <si>
    <t xml:space="preserve">Projeto de terraplanagem</t>
  </si>
  <si>
    <t xml:space="preserve">A principio, digamos que não tem</t>
  </si>
  <si>
    <t xml:space="preserve">Projeto de fundações</t>
  </si>
  <si>
    <t xml:space="preserve">porcentagem do projeto estrut + fund</t>
  </si>
  <si>
    <t xml:space="preserve">Projeto de estrutura</t>
  </si>
  <si>
    <t xml:space="preserve">Pode ser dispensado se a empresa de concreto faz. Mas daí ninguém controle as quantidades. Perigoso!</t>
  </si>
  <si>
    <t xml:space="preserve">Projeto de hidráulica e gás</t>
  </si>
  <si>
    <t xml:space="preserve">Projeto de elétrica</t>
  </si>
  <si>
    <t xml:space="preserve">porcentagem projetos eletro, hidro e incend</t>
  </si>
  <si>
    <t xml:space="preserve">Projeto de proteção contra incêndio</t>
  </si>
  <si>
    <t xml:space="preserve">Projeot de paisagismo</t>
  </si>
  <si>
    <t xml:space="preserve">Digamos que não tem, ou os bons arquitetos fazem de graça, vai...</t>
  </si>
  <si>
    <t xml:space="preserve">Projetos adicionais requeridos por orgãos públicos (relatório de impacto ambiantal, tráfego, etc)</t>
  </si>
  <si>
    <t xml:space="preserve">Depende do terreno, cidade, quantidade de unidades, etc</t>
  </si>
  <si>
    <t xml:space="preserve">Aprovações junto com orgãos públicos</t>
  </si>
  <si>
    <t xml:space="preserve">Chute puro. Depende muito</t>
  </si>
  <si>
    <t xml:space="preserve">01.02 Preparo da obra</t>
  </si>
  <si>
    <t xml:space="preserve">Mobilização da obra</t>
  </si>
  <si>
    <t xml:space="preserve">Pode ser feito em auto-gestão</t>
  </si>
  <si>
    <t xml:space="preserve">Segurança/Vigilo</t>
  </si>
  <si>
    <t xml:space="preserve">mês</t>
  </si>
  <si>
    <t xml:space="preserve">Pode ser dispensado / feito em auto-gestão</t>
  </si>
  <si>
    <t xml:space="preserve">Topografia</t>
  </si>
  <si>
    <t xml:space="preserve">Pode ser reduzido ou dispensado com projeto de arquitetura bem feito</t>
  </si>
  <si>
    <t xml:space="preserve">Tapume</t>
  </si>
  <si>
    <t xml:space="preserve">Placa de obra</t>
  </si>
  <si>
    <t xml:space="preserve">Seguro</t>
  </si>
  <si>
    <t xml:space="preserve">Controle tecnológico</t>
  </si>
  <si>
    <t xml:space="preserve">Instalações elétricas provisórias no canteiro de obra</t>
  </si>
  <si>
    <t xml:space="preserve">SINAPI SP 73770/002</t>
  </si>
  <si>
    <t xml:space="preserve">Instalação do canteiro de obras</t>
  </si>
  <si>
    <t xml:space="preserve">Segurança do trabalho</t>
  </si>
  <si>
    <t xml:space="preserve">01.03 Preparo do terreno</t>
  </si>
  <si>
    <t xml:space="preserve">Remoção da camada vegetal</t>
  </si>
  <si>
    <t xml:space="preserve">Depende do terreno</t>
  </si>
  <si>
    <t xml:space="preserve">Bota-fora da camada vegetal</t>
  </si>
  <si>
    <t xml:space="preserve">Compactação do terreno</t>
  </si>
  <si>
    <t xml:space="preserve">Movimento de terra</t>
  </si>
  <si>
    <t xml:space="preserve">m³</t>
  </si>
  <si>
    <t xml:space="preserve">Calçadas e circulação de pedestres</t>
  </si>
  <si>
    <t xml:space="preserve">Viário e circulação de carros</t>
  </si>
  <si>
    <t xml:space="preserve">Guias de concreto</t>
  </si>
  <si>
    <t xml:space="preserve">Paisagismo (plantio de grama)</t>
  </si>
  <si>
    <t xml:space="preserve">Estrutura pr-e-moldada (pilares, vigas e lajes) entrega e montada</t>
  </si>
  <si>
    <t xml:space="preserve">Tabela geral</t>
  </si>
  <si>
    <t xml:space="preserve">Capeamento das lajes</t>
  </si>
  <si>
    <t xml:space="preserve">Fundações</t>
  </si>
  <si>
    <t xml:space="preserve">Valor altamente chutado!!! - A DETALHAR</t>
  </si>
  <si>
    <t xml:space="preserve">03.01 Instalações gerais</t>
  </si>
  <si>
    <t xml:space="preserve">Ligação à rede elétrica</t>
  </si>
  <si>
    <t xml:space="preserve">FDE SP 09.03.099 – Estimar melhor</t>
  </si>
  <si>
    <t xml:space="preserve">Ligação à rede de água fria</t>
  </si>
  <si>
    <t xml:space="preserve">Chute...</t>
  </si>
  <si>
    <t xml:space="preserve">Ligação à rede de esgoto</t>
  </si>
  <si>
    <t xml:space="preserve">SINAPI SP 73658 – preço domiciliar!</t>
  </si>
  <si>
    <t xml:space="preserve">Ligação à rede de águas pluviais</t>
  </si>
  <si>
    <t xml:space="preserve">Usando mesmo valor de cima</t>
  </si>
  <si>
    <t xml:space="preserve">Ligação à rede de telefone/internet</t>
  </si>
  <si>
    <t xml:space="preserve">PMSP 90.19.00</t>
  </si>
  <si>
    <t xml:space="preserve">Central de gás</t>
  </si>
  <si>
    <t xml:space="preserve">SINAPI SP 74003/001</t>
  </si>
  <si>
    <t xml:space="preserve">Entrada de energia elétrica + disjuntores gerais</t>
  </si>
  <si>
    <t xml:space="preserve">SINAPI SP 9540</t>
  </si>
  <si>
    <t xml:space="preserve">Quadro de medição geral de energia elétrica</t>
  </si>
  <si>
    <t xml:space="preserve">SINAPI SP 39690</t>
  </si>
  <si>
    <t xml:space="preserve">Quadro de telefone + caixa de distribuição</t>
  </si>
  <si>
    <t xml:space="preserve">SINAPI SP 83368 + 84676</t>
  </si>
  <si>
    <t xml:space="preserve">Entrada de água</t>
  </si>
  <si>
    <t xml:space="preserve">FDE SP 08.01.005</t>
  </si>
  <si>
    <t xml:space="preserve">Medidores individuais de água 5m³/h</t>
  </si>
  <si>
    <t xml:space="preserve">SINAPI SP 12774</t>
  </si>
  <si>
    <t xml:space="preserve">Medidores individuais de gás</t>
  </si>
  <si>
    <t xml:space="preserve">Valor estimado - a conferir</t>
  </si>
  <si>
    <t xml:space="preserve">03.02 Instalações enterradas</t>
  </si>
  <si>
    <t xml:space="preserve">Cisterna</t>
  </si>
  <si>
    <t xml:space="preserve">Estimação tosca…</t>
  </si>
  <si>
    <t xml:space="preserve">Bombas de recalque</t>
  </si>
  <si>
    <t xml:space="preserve">SINAPI SP 94480</t>
  </si>
  <si>
    <t xml:space="preserve">Quadro de bombas de recalque</t>
  </si>
  <si>
    <t xml:space="preserve">PMSP 91.25.04</t>
  </si>
  <si>
    <t xml:space="preserve">Caixas de inspeção em rede de esgoto</t>
  </si>
  <si>
    <t xml:space="preserve">FDE SP 01.08.050</t>
  </si>
  <si>
    <t xml:space="preserve">Grelhas de captação de água de chuva + caixas</t>
  </si>
  <si>
    <t xml:space="preserve">SINAPI SP 83716</t>
  </si>
  <si>
    <t xml:space="preserve">Caixas de gorduras e outras instalações de tratamento de esgotos</t>
  </si>
  <si>
    <t xml:space="preserve">Digamos por enquanto que não tem… Mas temos que cuidar com poluição, certo?</t>
  </si>
  <si>
    <t xml:space="preserve">Tubulação enterrada de esgoto</t>
  </si>
  <si>
    <t xml:space="preserve">FDE SP 16.05.066</t>
  </si>
  <si>
    <t xml:space="preserve">Tubulação enterrada de água fria</t>
  </si>
  <si>
    <t xml:space="preserve">SINAPI SP 74215/002</t>
  </si>
  <si>
    <t xml:space="preserve">Tubulação enterrada de gás</t>
  </si>
  <si>
    <t xml:space="preserve">Rede elétrica comum enterrada</t>
  </si>
  <si>
    <t xml:space="preserve">FDE SP 16.30.010</t>
  </si>
  <si>
    <t xml:space="preserve">Rede lógica enterrada</t>
  </si>
  <si>
    <t xml:space="preserve">Aterramento com haste de aço revestida com cobre de mínimo 150cm</t>
  </si>
  <si>
    <t xml:space="preserve">SINAPI SP 45.14</t>
  </si>
  <si>
    <t xml:space="preserve">03.03 Instalações verticais em prumadas</t>
  </si>
  <si>
    <t xml:space="preserve">Tubulação de água fria</t>
  </si>
  <si>
    <t xml:space="preserve">SINAPI SP 89449</t>
  </si>
  <si>
    <t xml:space="preserve">Registros principais de água fria</t>
  </si>
  <si>
    <t xml:space="preserve">SINAPI SP 89984</t>
  </si>
  <si>
    <t xml:space="preserve">Tubulação elétrica + fiação 3 fios</t>
  </si>
  <si>
    <t xml:space="preserve">SINAPI SP 912 (3x) + SINAPI SP 2675</t>
  </si>
  <si>
    <t xml:space="preserve">Caixa de entrada + quadro e disjuntor geral</t>
  </si>
  <si>
    <t xml:space="preserve">SINAPI SP 39764 + SINAPI SP 34606</t>
  </si>
  <si>
    <t xml:space="preserve">Tubulação de gás</t>
  </si>
  <si>
    <t xml:space="preserve">SINAPI-SP 39749</t>
  </si>
  <si>
    <t xml:space="preserve">Registro individual de gás</t>
  </si>
  <si>
    <t xml:space="preserve">SINAPI SP 11756</t>
  </si>
  <si>
    <t xml:space="preserve">Tubulação de esgoto</t>
  </si>
  <si>
    <t xml:space="preserve">SINAPI SP 36083</t>
  </si>
  <si>
    <t xml:space="preserve">Conectores de esgoto no pé das colunas</t>
  </si>
  <si>
    <t xml:space="preserve">SINAPI SP 11665</t>
  </si>
  <si>
    <t xml:space="preserve">Tubulação de água pluvial</t>
  </si>
  <si>
    <t xml:space="preserve">SINAPI SP 36365 Pode ser integrado à estrutura</t>
  </si>
  <si>
    <t xml:space="preserve">03.04 Caixas d’água</t>
  </si>
  <si>
    <t xml:space="preserve">Caixa d’água 10 000 litros</t>
  </si>
  <si>
    <t xml:space="preserve">PMSP 10.02.15</t>
  </si>
  <si>
    <t xml:space="preserve">Embasamento e instalação</t>
  </si>
  <si>
    <t xml:space="preserve">Chute…</t>
  </si>
  <si>
    <t xml:space="preserve">Registros e reguladores de pressão</t>
  </si>
  <si>
    <t xml:space="preserve">04.01 Cobertura</t>
  </si>
  <si>
    <t xml:space="preserve">Estrutura para cobertuira com vigas metálicas a cada 1.50m</t>
  </si>
  <si>
    <t xml:space="preserve">kg</t>
  </si>
  <si>
    <t xml:space="preserve">FDE SP 07.02.001 + FDE SP 07.02.010</t>
  </si>
  <si>
    <t xml:space="preserve">Cobertura de telha de fibrocimento com fixação</t>
  </si>
  <si>
    <t xml:space="preserve">SINAPI SP 7194</t>
  </si>
  <si>
    <t xml:space="preserve">Calha metálica</t>
  </si>
  <si>
    <t xml:space="preserve">Pode ser dispensado (a água simplesmente cai fora)</t>
  </si>
  <si>
    <t xml:space="preserve">Telha de proteção contra animais, com quadro</t>
  </si>
  <si>
    <t xml:space="preserve">Hastes e fiação para proteção contra raios</t>
  </si>
  <si>
    <t xml:space="preserve">PMSP 91.71.08</t>
  </si>
  <si>
    <t xml:space="preserve">04.02 Caixa de escada</t>
  </si>
  <si>
    <t xml:space="preserve">Lances de escada de concreto pré-moldado</t>
  </si>
  <si>
    <t xml:space="preserve">Regra de 3 a partir do orçamento da Cassol</t>
  </si>
  <si>
    <t xml:space="preserve">Patamares de concreto moldados in loco</t>
  </si>
  <si>
    <t xml:space="preserve">FDE SP 03.03.037 (prefabricado - detalhar melhor)</t>
  </si>
  <si>
    <t xml:space="preserve">Alvenaria estrutural</t>
  </si>
  <si>
    <t xml:space="preserve">Laje de concreto moldada in loco</t>
  </si>
  <si>
    <t xml:space="preserve">repetindo item acima - a detalhar</t>
  </si>
  <si>
    <t xml:space="preserve">Capeamento de parede em concreto</t>
  </si>
  <si>
    <t xml:space="preserve">FDE SP 16.80.007</t>
  </si>
  <si>
    <t xml:space="preserve">Vergas e contra-vergas de concreto</t>
  </si>
  <si>
    <t xml:space="preserve">Guarda-corpos metálicos h=110cm</t>
  </si>
  <si>
    <t xml:space="preserve">Concretagem de piso</t>
  </si>
  <si>
    <t xml:space="preserve">PMSP 13.01.19</t>
  </si>
  <si>
    <t xml:space="preserve">Porta exterior 90cm</t>
  </si>
  <si>
    <t xml:space="preserve">FDE SP 06.02.046</t>
  </si>
  <si>
    <t xml:space="preserve">Janela 60x80cm</t>
  </si>
  <si>
    <t xml:space="preserve">Tubulação elétrica + fiação</t>
  </si>
  <si>
    <t xml:space="preserve">Valor de 03.03 / tubulação elétrica</t>
  </si>
  <si>
    <t xml:space="preserve">Interruptores</t>
  </si>
  <si>
    <t xml:space="preserve">Pontos de luz</t>
  </si>
  <si>
    <t xml:space="preserve">Reboco</t>
  </si>
  <si>
    <t xml:space="preserve">Pode ser dispensado</t>
  </si>
  <si>
    <t xml:space="preserve">Pintura</t>
  </si>
  <si>
    <t xml:space="preserve">04.03 Instalações de proteção contra incêndio</t>
  </si>
  <si>
    <t xml:space="preserve">Hidrantes</t>
  </si>
  <si>
    <t xml:space="preserve">PMSP 10.08.55 + 10.08.60</t>
  </si>
  <si>
    <t xml:space="preserve">Tubulação</t>
  </si>
  <si>
    <t xml:space="preserve">valor pego em exemplos</t>
  </si>
  <si>
    <t xml:space="preserve">Extintores</t>
  </si>
  <si>
    <t xml:space="preserve">PMSP 10.08.92</t>
  </si>
  <si>
    <t xml:space="preserve">50m²</t>
  </si>
  <si>
    <t xml:space="preserve">75m²</t>
  </si>
  <si>
    <t xml:space="preserve">Total 50m²</t>
  </si>
  <si>
    <t xml:space="preserve">Total 75m²</t>
  </si>
  <si>
    <t xml:space="preserve">05. Unidades 50m² e 75m²</t>
  </si>
  <si>
    <t xml:space="preserve">05.01 Alvenaria</t>
  </si>
  <si>
    <t xml:space="preserve">Alvenaria não-estrutural em tijolos cerâmicos furados de 14cm</t>
  </si>
  <si>
    <t xml:space="preserve">Alvenaria interna em blocos de gesso de 7cm</t>
  </si>
  <si>
    <t xml:space="preserve">Vergas e contra-vergas de concreto ou bloco canaleta</t>
  </si>
  <si>
    <t xml:space="preserve">Peitoris de pedra conforme projeto</t>
  </si>
  <si>
    <t xml:space="preserve">SINAPI SP 4828</t>
  </si>
  <si>
    <t xml:space="preserve">05.02 Pisos e rodapés</t>
  </si>
  <si>
    <t xml:space="preserve">Piso de cerâmica 40x40cm com juntas em argamassa industrializada</t>
  </si>
  <si>
    <t xml:space="preserve">Piso interior de concreto queimado monolítico e impermeabilizado</t>
  </si>
  <si>
    <t xml:space="preserve">Piso exterior de concreto queimado monolítico e impermeabilizado</t>
  </si>
  <si>
    <t xml:space="preserve">Rodapés interiores em ceramica com altura de 7cm</t>
  </si>
  <si>
    <t xml:space="preserve">PMSP 13.03.09</t>
  </si>
  <si>
    <t xml:space="preserve">05.03 Portas, janelas e guarda-corpos</t>
  </si>
  <si>
    <t xml:space="preserve">Esquadrias de alumínio 150x120cm de correr com duas folhas</t>
  </si>
  <si>
    <t xml:space="preserve">Esquadrias de alumínio de 60x80cm basculante com uma folha</t>
  </si>
  <si>
    <t xml:space="preserve">Tablea geral</t>
  </si>
  <si>
    <t xml:space="preserve">Porta de madeira interior de 80x210cm instalada</t>
  </si>
  <si>
    <t xml:space="preserve">Porta de madeira exterior de 80x210cm instalada</t>
  </si>
  <si>
    <t xml:space="preserve">Guarda-corpo metálico h=110cm</t>
  </si>
  <si>
    <t xml:space="preserve">05.04 Revestimentos e pintura</t>
  </si>
  <si>
    <t xml:space="preserve">Forro de gesso acartonado fixado em estrutura de alumínio suspensa, com tabicas, alisamento e preparo para pintura</t>
  </si>
  <si>
    <t xml:space="preserve">PMSP 12.01.40</t>
  </si>
  <si>
    <t xml:space="preserve">Reboco de argamassa de cimento e areia em paredes interiores</t>
  </si>
  <si>
    <t xml:space="preserve">Reboco de argamassa de cimento e areia em paredes exteriores</t>
  </si>
  <si>
    <t xml:space="preserve">Revestimento de parede em cerâmica de 40x40cm conforme projeto</t>
  </si>
  <si>
    <t xml:space="preserve">Pintura em paredes interiores com tinta acrílica</t>
  </si>
  <si>
    <t xml:space="preserve">Pintura em forros de laje aparente com tinta acrílica</t>
  </si>
  <si>
    <t xml:space="preserve">Usando valor acima</t>
  </si>
  <si>
    <t xml:space="preserve">Pintura em forros de gesso acartonado com tinta acrílica</t>
  </si>
  <si>
    <t xml:space="preserve">Pintura em paredes exteriores com tinta acrílica</t>
  </si>
  <si>
    <t xml:space="preserve">Pintura em portas, janelas, rodapés e mobiliário com tinta esmaltada</t>
  </si>
  <si>
    <t xml:space="preserve">FDE SP 15.80.34</t>
  </si>
  <si>
    <t xml:space="preserve">05.05 Instalações hidrossanitárias</t>
  </si>
  <si>
    <t xml:space="preserve">Bacia sanitária sifonada de louça, com caixa acoplada e tampa, com conexão à parede com tubos de PVC</t>
  </si>
  <si>
    <t xml:space="preserve">SINAPI SP 333.29</t>
  </si>
  <si>
    <t xml:space="preserve">Lavatório suspenso de louça sem coluna com sifão flexível e torneira de aço inox de sobrepor conectada à parede com tubo de PVC</t>
  </si>
  <si>
    <t xml:space="preserve">SINAPI SP 10425</t>
  </si>
  <si>
    <t xml:space="preserve">Ralos de piso em PVC com sifão</t>
  </si>
  <si>
    <t xml:space="preserve">SINAPI SP 11741</t>
  </si>
  <si>
    <t xml:space="preserve">Torneiras de registro em aço</t>
  </si>
  <si>
    <t xml:space="preserve">PMSP 10.05.41</t>
  </si>
  <si>
    <t xml:space="preserve">Tanque suspenso em fibra</t>
  </si>
  <si>
    <t xml:space="preserve">SINAPI SP 11690</t>
  </si>
  <si>
    <t xml:space="preserve">Sifões flexiveis</t>
  </si>
  <si>
    <t xml:space="preserve">SINAPI SP38635</t>
  </si>
  <si>
    <t xml:space="preserve">Torneiras de parede</t>
  </si>
  <si>
    <t xml:space="preserve">SINAPI SP 13983</t>
  </si>
  <si>
    <t xml:space="preserve">Bancada de inox com cuba  central 160cm</t>
  </si>
  <si>
    <t xml:space="preserve">SINAPI SP 1745</t>
  </si>
  <si>
    <t xml:space="preserve">Espera para chuveiro com torneira de aço inox instalada na parede</t>
  </si>
  <si>
    <t xml:space="preserve">SINAPI SP 38127 a conferir</t>
  </si>
  <si>
    <t xml:space="preserve">Conector de parede para gás de cozinha conforme projeto</t>
  </si>
  <si>
    <t xml:space="preserve">05.06 Instalações elétricas</t>
  </si>
  <si>
    <t xml:space="preserve">Quadro geral de distribuição elétrica em PVC embutido 12 disjuntores</t>
  </si>
  <si>
    <t xml:space="preserve">SINAPI SP 13393</t>
  </si>
  <si>
    <t xml:space="preserve">Disjuntores bipolares de 20A</t>
  </si>
  <si>
    <t xml:space="preserve">SINAPI SP 34616</t>
  </si>
  <si>
    <t xml:space="preserve">Disjuntores bipolares de 40A</t>
  </si>
  <si>
    <t xml:space="preserve">SINAPI SP 34623</t>
  </si>
  <si>
    <t xml:space="preserve">Eletroduto de PVC embutido em pisos e paredes</t>
  </si>
  <si>
    <t xml:space="preserve">Fiação de cobre de 2.5mm</t>
  </si>
  <si>
    <t xml:space="preserve">Caixas de passagem em PVC embutidas em paredes</t>
  </si>
  <si>
    <t xml:space="preserve">SINAPI SP 1872</t>
  </si>
  <si>
    <t xml:space="preserve">Tomadas universais de 2 polos + aterramento 10A – 250V</t>
  </si>
  <si>
    <t xml:space="preserve">SINAPI SP 93141</t>
  </si>
  <si>
    <t xml:space="preserve">Interuptores de uma tecla simples 10A – 250V</t>
  </si>
  <si>
    <t xml:space="preserve">Fiação e eletroduto para telefone</t>
  </si>
  <si>
    <t xml:space="preserve">Tabela geral (genérico)</t>
  </si>
  <si>
    <t xml:space="preserve">Tomada para telefone</t>
  </si>
  <si>
    <t xml:space="preserve">FDE SP 09.08.081</t>
  </si>
  <si>
    <t xml:space="preserve">Espera para luminária em laje de concreto</t>
  </si>
  <si>
    <t xml:space="preserve">SINAPI SP 143.37</t>
  </si>
  <si>
    <t xml:space="preserve">luminária simples em PVC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</si>
</sst>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$ &quot;#,##0.00;[RED]&quot;-R$ &quot;#,##0.00"/>
    <numFmt numFmtId="166" formatCode="0.00%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22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b val="true"/>
      <sz val="16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0000FF"/>
      <name val="Arial"/>
      <family val="0"/>
      <charset val="1"/>
    </font>
    <font>
      <b val="true"/>
      <sz val="13"/>
      <name val="Arial"/>
      <family val="0"/>
      <charset val="1"/>
    </font>
    <font>
      <b val="true"/>
      <sz val="13"/>
      <color rgb="FF0000FF"/>
      <name val="Arial"/>
      <family val="0"/>
      <charset val="1"/>
    </font>
    <font>
      <sz val="13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657360</xdr:colOff>
      <xdr:row>3</xdr:row>
      <xdr:rowOff>29160</xdr:rowOff>
    </xdr:from>
    <xdr:to>
      <xdr:col>14</xdr:col>
      <xdr:colOff>237960</xdr:colOff>
      <xdr:row>10</xdr:row>
      <xdr:rowOff>115560</xdr:rowOff>
    </xdr:to>
    <xdr:pic>
      <xdr:nvPicPr>
        <xdr:cNvPr id="0" name="image01.png" descr=""/>
        <xdr:cNvPicPr/>
      </xdr:nvPicPr>
      <xdr:blipFill>
        <a:blip r:embed="rId1"/>
        <a:stretch/>
      </xdr:blipFill>
      <xdr:spPr>
        <a:xfrm>
          <a:off x="10219680" y="694440"/>
          <a:ext cx="3763440" cy="1224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2.8" outlineLevelRow="0" outlineLevelCol="0"/>
  <cols>
    <col collapsed="false" customWidth="true" hidden="false" outlineLevel="0" max="2" min="1" style="0" width="1.08"/>
    <col collapsed="false" customWidth="true" hidden="false" outlineLevel="0" max="3" min="3" style="0" width="7.41"/>
    <col collapsed="false" customWidth="true" hidden="false" outlineLevel="0" max="4" min="4" style="0" width="67.9"/>
    <col collapsed="false" customWidth="true" hidden="false" outlineLevel="0" max="5" min="5" style="0" width="1.08"/>
    <col collapsed="false" customWidth="true" hidden="false" outlineLevel="0" max="6" min="6" style="0" width="12.15"/>
    <col collapsed="false" customWidth="true" hidden="false" outlineLevel="0" max="7" min="7" style="0" width="14.31"/>
    <col collapsed="false" customWidth="true" hidden="false" outlineLevel="0" max="8" min="8" style="0" width="15.39"/>
    <col collapsed="false" customWidth="true" hidden="false" outlineLevel="0" max="9" min="9" style="0" width="15.12"/>
    <col collapsed="false" customWidth="true" hidden="false" outlineLevel="0" max="10" min="10" style="0" width="14.85"/>
    <col collapsed="false" customWidth="true" hidden="false" outlineLevel="0" max="11" min="11" style="0" width="22.41"/>
    <col collapsed="false" customWidth="true" hidden="false" outlineLevel="0" max="12" min="12" style="0" width="1.08"/>
    <col collapsed="false" customWidth="true" hidden="false" outlineLevel="0" max="13" min="13" style="0" width="20.01"/>
    <col collapsed="false" customWidth="true" hidden="false" outlineLevel="0" max="14" min="14" style="0" width="0.93"/>
    <col collapsed="false" customWidth="true" hidden="false" outlineLevel="0" max="15" min="15" style="0" width="32.67"/>
    <col collapsed="false" customWidth="true" hidden="false" outlineLevel="0" max="16" min="16" style="0" width="0.93"/>
    <col collapsed="false" customWidth="true" hidden="false" outlineLevel="0" max="18" min="17" style="0" width="4.71"/>
    <col collapsed="false" customWidth="true" hidden="false" outlineLevel="0" max="19" min="19" style="0" width="8.22"/>
    <col collapsed="false" customWidth="true" hidden="false" outlineLevel="0" max="20" min="20" style="0" width="4.71"/>
    <col collapsed="false" customWidth="true" hidden="false" outlineLevel="0" max="21" min="21" style="0" width="7.02"/>
    <col collapsed="false" customWidth="true" hidden="false" outlineLevel="0" max="26" min="22" style="0" width="4.71"/>
    <col collapsed="false" customWidth="true" hidden="false" outlineLevel="0" max="1025" min="27" style="0" width="19.44"/>
  </cols>
  <sheetData>
    <row r="1" customFormat="false" ht="12.8" hidden="false" customHeight="false" outlineLevel="0" collapsed="false">
      <c r="A1" s="1"/>
      <c r="B1" s="1"/>
      <c r="C1" s="1"/>
      <c r="D1" s="2"/>
      <c r="E1" s="2"/>
      <c r="F1" s="1"/>
      <c r="G1" s="1"/>
      <c r="H1" s="1"/>
      <c r="I1" s="3"/>
      <c r="J1" s="3"/>
      <c r="K1" s="3"/>
      <c r="L1" s="3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6.8" hidden="false" customHeight="false" outlineLevel="0" collapsed="false">
      <c r="A2" s="1"/>
      <c r="B2" s="1"/>
      <c r="C2" s="4" t="s">
        <v>0</v>
      </c>
      <c r="D2" s="5"/>
      <c r="E2" s="5"/>
      <c r="F2" s="4"/>
      <c r="G2" s="1"/>
      <c r="H2" s="1"/>
      <c r="I2" s="3"/>
      <c r="J2" s="3"/>
      <c r="K2" s="3"/>
      <c r="L2" s="3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8" hidden="false" customHeight="false" outlineLevel="0" collapsed="false">
      <c r="A3" s="1"/>
      <c r="B3" s="1"/>
      <c r="C3" s="1"/>
      <c r="D3" s="2"/>
      <c r="E3" s="2"/>
      <c r="F3" s="1"/>
      <c r="G3" s="1"/>
      <c r="H3" s="1"/>
      <c r="I3" s="3"/>
      <c r="J3" s="3"/>
      <c r="K3" s="3"/>
      <c r="L3" s="3"/>
      <c r="M3" s="2"/>
      <c r="N3" s="2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8" hidden="false" customHeight="false" outlineLevel="0" collapsed="false">
      <c r="A4" s="1"/>
      <c r="B4" s="6"/>
      <c r="C4" s="7"/>
      <c r="D4" s="8"/>
      <c r="E4" s="8"/>
      <c r="F4" s="7"/>
      <c r="G4" s="7"/>
      <c r="H4" s="7"/>
      <c r="I4" s="9"/>
      <c r="J4" s="9"/>
      <c r="K4" s="9"/>
      <c r="L4" s="9"/>
      <c r="M4" s="8"/>
      <c r="N4" s="8"/>
      <c r="O4" s="8"/>
      <c r="P4" s="10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8" hidden="false" customHeight="false" outlineLevel="0" collapsed="false">
      <c r="A5" s="1"/>
      <c r="B5" s="11"/>
      <c r="C5" s="12" t="s">
        <v>1</v>
      </c>
      <c r="D5" s="2"/>
      <c r="E5" s="2"/>
      <c r="F5" s="1"/>
      <c r="G5" s="1"/>
      <c r="H5" s="1"/>
      <c r="I5" s="3"/>
      <c r="J5" s="3"/>
      <c r="K5" s="3"/>
      <c r="L5" s="3"/>
      <c r="M5" s="2"/>
      <c r="N5" s="2"/>
      <c r="O5" s="2"/>
      <c r="P5" s="13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8" hidden="false" customHeight="false" outlineLevel="0" collapsed="false">
      <c r="A6" s="1"/>
      <c r="B6" s="11"/>
      <c r="C6" s="1"/>
      <c r="D6" s="2"/>
      <c r="E6" s="2"/>
      <c r="F6" s="1"/>
      <c r="G6" s="1"/>
      <c r="H6" s="1"/>
      <c r="I6" s="3"/>
      <c r="J6" s="3"/>
      <c r="K6" s="3"/>
      <c r="L6" s="3"/>
      <c r="M6" s="2"/>
      <c r="N6" s="2"/>
      <c r="O6" s="2"/>
      <c r="P6" s="13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8" hidden="false" customHeight="false" outlineLevel="0" collapsed="false">
      <c r="A7" s="1"/>
      <c r="B7" s="11"/>
      <c r="C7" s="1" t="s">
        <v>2</v>
      </c>
      <c r="D7" s="2"/>
      <c r="E7" s="2"/>
      <c r="F7" s="1"/>
      <c r="G7" s="1"/>
      <c r="H7" s="1"/>
      <c r="I7" s="3"/>
      <c r="J7" s="3"/>
      <c r="K7" s="3"/>
      <c r="L7" s="3"/>
      <c r="M7" s="2"/>
      <c r="N7" s="2"/>
      <c r="O7" s="2"/>
      <c r="P7" s="13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8" hidden="false" customHeight="false" outlineLevel="0" collapsed="false">
      <c r="A8" s="1"/>
      <c r="B8" s="11"/>
      <c r="C8" s="1" t="s">
        <v>3</v>
      </c>
      <c r="D8" s="2"/>
      <c r="E8" s="2"/>
      <c r="F8" s="1"/>
      <c r="G8" s="1"/>
      <c r="H8" s="1"/>
      <c r="I8" s="3"/>
      <c r="J8" s="3"/>
      <c r="K8" s="3"/>
      <c r="L8" s="3"/>
      <c r="M8" s="2"/>
      <c r="N8" s="2"/>
      <c r="O8" s="2"/>
      <c r="P8" s="13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8" hidden="false" customHeight="false" outlineLevel="0" collapsed="false">
      <c r="A9" s="1"/>
      <c r="B9" s="11"/>
      <c r="C9" s="1" t="s">
        <v>4</v>
      </c>
      <c r="D9" s="2"/>
      <c r="E9" s="2"/>
      <c r="F9" s="1"/>
      <c r="G9" s="1"/>
      <c r="H9" s="1"/>
      <c r="I9" s="3"/>
      <c r="J9" s="3"/>
      <c r="K9" s="3"/>
      <c r="L9" s="3"/>
      <c r="M9" s="2"/>
      <c r="N9" s="2"/>
      <c r="O9" s="2"/>
      <c r="P9" s="13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8" hidden="false" customHeight="false" outlineLevel="0" collapsed="false">
      <c r="A10" s="1"/>
      <c r="B10" s="11"/>
      <c r="C10" s="14" t="s">
        <v>5</v>
      </c>
      <c r="D10" s="15"/>
      <c r="E10" s="1"/>
      <c r="F10" s="1"/>
      <c r="G10" s="1"/>
      <c r="H10" s="1"/>
      <c r="I10" s="3"/>
      <c r="J10" s="3"/>
      <c r="K10" s="3"/>
      <c r="L10" s="3"/>
      <c r="M10" s="2"/>
      <c r="N10" s="2"/>
      <c r="O10" s="2"/>
      <c r="P10" s="1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8" hidden="false" customHeight="false" outlineLevel="0" collapsed="false">
      <c r="A11" s="1"/>
      <c r="B11" s="11"/>
      <c r="C11" s="1" t="s">
        <v>6</v>
      </c>
      <c r="D11" s="15"/>
      <c r="E11" s="1"/>
      <c r="F11" s="1"/>
      <c r="G11" s="1"/>
      <c r="H11" s="1"/>
      <c r="I11" s="3"/>
      <c r="J11" s="3"/>
      <c r="K11" s="3"/>
      <c r="L11" s="3"/>
      <c r="M11" s="2"/>
      <c r="N11" s="2"/>
      <c r="O11" s="2"/>
      <c r="P11" s="1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8" hidden="false" customHeight="false" outlineLevel="0" collapsed="false">
      <c r="A12" s="1"/>
      <c r="B12" s="16"/>
      <c r="C12" s="17"/>
      <c r="D12" s="18"/>
      <c r="E12" s="17"/>
      <c r="F12" s="17"/>
      <c r="G12" s="17"/>
      <c r="H12" s="17"/>
      <c r="I12" s="19"/>
      <c r="J12" s="19"/>
      <c r="K12" s="19"/>
      <c r="L12" s="19"/>
      <c r="M12" s="20"/>
      <c r="N12" s="20"/>
      <c r="O12" s="20"/>
      <c r="P12" s="2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8" hidden="false" customHeight="false" outlineLevel="0" collapsed="false">
      <c r="A13" s="1"/>
      <c r="B13" s="1"/>
      <c r="C13" s="1"/>
      <c r="D13" s="2"/>
      <c r="E13" s="2"/>
      <c r="F13" s="1"/>
      <c r="G13" s="1"/>
      <c r="H13" s="1"/>
      <c r="I13" s="3"/>
      <c r="J13" s="3"/>
      <c r="K13" s="3"/>
      <c r="L13" s="3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9.7" hidden="false" customHeight="false" outlineLevel="0" collapsed="false">
      <c r="A14" s="1"/>
      <c r="B14" s="1"/>
      <c r="C14" s="22" t="s">
        <v>7</v>
      </c>
      <c r="D14" s="23"/>
      <c r="E14" s="23"/>
      <c r="F14" s="1" t="s">
        <v>8</v>
      </c>
      <c r="G14" s="1"/>
      <c r="H14" s="1"/>
      <c r="I14" s="3"/>
      <c r="J14" s="3"/>
      <c r="K14" s="3"/>
      <c r="L14" s="3"/>
      <c r="M14" s="2"/>
      <c r="N14" s="2"/>
      <c r="O14" s="2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8" hidden="false" customHeight="false" outlineLevel="0" collapsed="false">
      <c r="A15" s="1"/>
      <c r="B15" s="1"/>
      <c r="C15" s="1"/>
      <c r="D15" s="2"/>
      <c r="E15" s="2"/>
      <c r="F15" s="1"/>
      <c r="G15" s="1"/>
      <c r="H15" s="1"/>
      <c r="I15" s="3"/>
      <c r="J15" s="3"/>
      <c r="K15" s="3"/>
      <c r="L15" s="3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8" hidden="false" customHeight="false" outlineLevel="0" collapsed="false">
      <c r="A16" s="1"/>
      <c r="B16" s="6"/>
      <c r="C16" s="7"/>
      <c r="D16" s="8"/>
      <c r="E16" s="8"/>
      <c r="F16" s="7"/>
      <c r="G16" s="7"/>
      <c r="H16" s="7"/>
      <c r="I16" s="25"/>
      <c r="J16" s="25"/>
      <c r="K16" s="25"/>
      <c r="L16" s="9"/>
      <c r="M16" s="8"/>
      <c r="N16" s="8"/>
      <c r="O16" s="8"/>
      <c r="P16" s="10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8" hidden="false" customHeight="false" outlineLevel="0" collapsed="false">
      <c r="A17" s="12"/>
      <c r="B17" s="26"/>
      <c r="C17" s="12" t="s">
        <v>9</v>
      </c>
      <c r="D17" s="27"/>
      <c r="E17" s="27"/>
      <c r="F17" s="12"/>
      <c r="G17" s="28" t="s">
        <v>10</v>
      </c>
      <c r="H17" s="28"/>
      <c r="I17" s="29" t="s">
        <v>11</v>
      </c>
      <c r="J17" s="29" t="s">
        <v>12</v>
      </c>
      <c r="K17" s="29" t="s">
        <v>13</v>
      </c>
      <c r="L17" s="30"/>
      <c r="M17" s="27" t="s">
        <v>14</v>
      </c>
      <c r="N17" s="27"/>
      <c r="O17" s="27"/>
      <c r="P17" s="31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2.8" hidden="false" customHeight="false" outlineLevel="0" collapsed="false">
      <c r="A18" s="1"/>
      <c r="B18" s="11"/>
      <c r="C18" s="1"/>
      <c r="D18" s="2"/>
      <c r="E18" s="2"/>
      <c r="F18" s="1"/>
      <c r="G18" s="1"/>
      <c r="H18" s="1"/>
      <c r="I18" s="32"/>
      <c r="J18" s="32"/>
      <c r="K18" s="32"/>
      <c r="L18" s="3"/>
      <c r="M18" s="2"/>
      <c r="N18" s="2"/>
      <c r="O18" s="2"/>
      <c r="P18" s="1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8" hidden="false" customHeight="true" outlineLevel="0" collapsed="false">
      <c r="A19" s="1"/>
      <c r="B19" s="11"/>
      <c r="C19" s="1" t="s">
        <v>15</v>
      </c>
      <c r="D19" s="2"/>
      <c r="E19" s="2"/>
      <c r="F19" s="1"/>
      <c r="G19" s="33" t="n">
        <v>1</v>
      </c>
      <c r="H19" s="34" t="str">
        <f aca="false">M75</f>
        <v>Completo</v>
      </c>
      <c r="I19" s="35" t="n">
        <f aca="false">K75</f>
        <v>556235</v>
      </c>
      <c r="J19" s="36" t="n">
        <f aca="false">K19/K26</f>
        <v>0.15707691702729</v>
      </c>
      <c r="K19" s="35" t="n">
        <f aca="false">G19*I19</f>
        <v>556235</v>
      </c>
      <c r="L19" s="3"/>
      <c r="M19" s="37" t="n">
        <f aca="false">J19+J20+J21+J22</f>
        <v>0.771128483403613</v>
      </c>
      <c r="N19" s="38"/>
      <c r="O19" s="39" t="s">
        <v>16</v>
      </c>
      <c r="P19" s="1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8" hidden="false" customHeight="false" outlineLevel="0" collapsed="false">
      <c r="A20" s="1"/>
      <c r="B20" s="11"/>
      <c r="C20" s="1" t="s">
        <v>17</v>
      </c>
      <c r="D20" s="2"/>
      <c r="E20" s="2"/>
      <c r="F20" s="1"/>
      <c r="G20" s="33" t="n">
        <v>1</v>
      </c>
      <c r="H20" s="34" t="str">
        <f aca="false">M116</f>
        <v>Completo</v>
      </c>
      <c r="I20" s="35" t="n">
        <f aca="false">K116</f>
        <v>1470000</v>
      </c>
      <c r="J20" s="36" t="n">
        <f aca="false">K20/K26</f>
        <v>0.415117833344029</v>
      </c>
      <c r="K20" s="35" t="n">
        <f aca="false">G20*I20</f>
        <v>1470000</v>
      </c>
      <c r="L20" s="3"/>
      <c r="M20" s="37"/>
      <c r="N20" s="40"/>
      <c r="O20" s="39"/>
      <c r="P20" s="1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8" hidden="false" customHeight="false" outlineLevel="0" collapsed="false">
      <c r="A21" s="1"/>
      <c r="B21" s="11"/>
      <c r="C21" s="1" t="s">
        <v>18</v>
      </c>
      <c r="D21" s="2"/>
      <c r="E21" s="2"/>
      <c r="F21" s="1"/>
      <c r="G21" s="33" t="n">
        <v>1</v>
      </c>
      <c r="H21" s="34" t="str">
        <f aca="false">M123</f>
        <v>Completo</v>
      </c>
      <c r="I21" s="35" t="n">
        <f aca="false">K123</f>
        <v>199242.66</v>
      </c>
      <c r="J21" s="36" t="n">
        <f aca="false">K21/K26</f>
        <v>0.0562647492033341</v>
      </c>
      <c r="K21" s="35" t="n">
        <f aca="false">G21*I21</f>
        <v>199242.66</v>
      </c>
      <c r="L21" s="3"/>
      <c r="M21" s="37"/>
      <c r="N21" s="40"/>
      <c r="O21" s="39"/>
      <c r="P21" s="1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8" hidden="false" customHeight="false" outlineLevel="0" collapsed="false">
      <c r="A22" s="1"/>
      <c r="B22" s="11"/>
      <c r="C22" s="1" t="s">
        <v>19</v>
      </c>
      <c r="D22" s="2"/>
      <c r="E22" s="2"/>
      <c r="F22" s="1"/>
      <c r="G22" s="33" t="n">
        <v>1</v>
      </c>
      <c r="H22" s="34" t="str">
        <f aca="false">M174</f>
        <v>Completo</v>
      </c>
      <c r="I22" s="35" t="n">
        <f aca="false">K174</f>
        <v>505214.157</v>
      </c>
      <c r="J22" s="36" t="n">
        <f aca="false">K22/K26</f>
        <v>0.142668983828959</v>
      </c>
      <c r="K22" s="35" t="n">
        <f aca="false">G22*I22</f>
        <v>505214.157</v>
      </c>
      <c r="L22" s="3"/>
      <c r="M22" s="37"/>
      <c r="N22" s="40"/>
      <c r="O22" s="39"/>
      <c r="P22" s="1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8" hidden="false" customHeight="true" outlineLevel="0" collapsed="false">
      <c r="A23" s="1"/>
      <c r="B23" s="11"/>
      <c r="C23" s="1" t="s">
        <v>20</v>
      </c>
      <c r="D23" s="2"/>
      <c r="E23" s="2"/>
      <c r="F23" s="1"/>
      <c r="G23" s="33" t="n">
        <v>27</v>
      </c>
      <c r="H23" s="41" t="str">
        <f aca="false">O212</f>
        <v>Completo</v>
      </c>
      <c r="I23" s="35" t="n">
        <f aca="false">K212</f>
        <v>23116.1063</v>
      </c>
      <c r="J23" s="36" t="n">
        <f aca="false">K23/K26</f>
        <v>0.176251370741748</v>
      </c>
      <c r="K23" s="35" t="n">
        <f aca="false">G23*I23</f>
        <v>624134.8701</v>
      </c>
      <c r="L23" s="3"/>
      <c r="M23" s="37" t="n">
        <f aca="false">J23+J24</f>
        <v>0.228871516596387</v>
      </c>
      <c r="N23" s="38"/>
      <c r="O23" s="39" t="s">
        <v>16</v>
      </c>
      <c r="P23" s="1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8" hidden="false" customHeight="false" outlineLevel="0" collapsed="false">
      <c r="A24" s="1"/>
      <c r="B24" s="11"/>
      <c r="C24" s="1" t="s">
        <v>21</v>
      </c>
      <c r="D24" s="2"/>
      <c r="E24" s="2"/>
      <c r="F24" s="1"/>
      <c r="G24" s="33" t="n">
        <v>6</v>
      </c>
      <c r="H24" s="41"/>
      <c r="I24" s="35" t="n">
        <f aca="false">M212</f>
        <v>31056.08745</v>
      </c>
      <c r="J24" s="36" t="n">
        <f aca="false">K24/K26</f>
        <v>0.0526201458546396</v>
      </c>
      <c r="K24" s="35" t="n">
        <f aca="false">G24*I24</f>
        <v>186336.5247</v>
      </c>
      <c r="L24" s="3"/>
      <c r="M24" s="37"/>
      <c r="N24" s="40"/>
      <c r="O24" s="39"/>
      <c r="P24" s="1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8" hidden="false" customHeight="false" outlineLevel="0" collapsed="false">
      <c r="A25" s="1"/>
      <c r="B25" s="11"/>
      <c r="C25" s="1"/>
      <c r="D25" s="2"/>
      <c r="E25" s="2"/>
      <c r="F25" s="1"/>
      <c r="G25" s="33"/>
      <c r="H25" s="33"/>
      <c r="I25" s="35"/>
      <c r="J25" s="36"/>
      <c r="K25" s="35"/>
      <c r="L25" s="3"/>
      <c r="M25" s="2"/>
      <c r="N25" s="2"/>
      <c r="O25" s="2"/>
      <c r="P25" s="1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8" hidden="false" customHeight="true" outlineLevel="0" collapsed="false">
      <c r="A26" s="12"/>
      <c r="B26" s="26"/>
      <c r="C26" s="12" t="s">
        <v>22</v>
      </c>
      <c r="D26" s="27"/>
      <c r="E26" s="27"/>
      <c r="F26" s="12"/>
      <c r="G26" s="28"/>
      <c r="H26" s="28"/>
      <c r="I26" s="42"/>
      <c r="J26" s="43"/>
      <c r="K26" s="42" t="n">
        <f aca="false">SUM(K19:K25)</f>
        <v>3541163.2118</v>
      </c>
      <c r="L26" s="30"/>
      <c r="M26" s="39" t="s">
        <v>23</v>
      </c>
      <c r="N26" s="39"/>
      <c r="O26" s="39"/>
      <c r="P26" s="31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2.8" hidden="false" customHeight="false" outlineLevel="0" collapsed="false">
      <c r="A27" s="1"/>
      <c r="B27" s="11"/>
      <c r="C27" s="1"/>
      <c r="D27" s="2"/>
      <c r="E27" s="2"/>
      <c r="F27" s="1"/>
      <c r="G27" s="33"/>
      <c r="H27" s="33"/>
      <c r="I27" s="35"/>
      <c r="J27" s="36"/>
      <c r="K27" s="35"/>
      <c r="L27" s="3"/>
      <c r="M27" s="2"/>
      <c r="N27" s="2"/>
      <c r="O27" s="2"/>
      <c r="P27" s="1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8" hidden="false" customHeight="false" outlineLevel="0" collapsed="false">
      <c r="A28" s="1"/>
      <c r="B28" s="11"/>
      <c r="C28" s="1" t="s">
        <v>24</v>
      </c>
      <c r="D28" s="2"/>
      <c r="E28" s="2"/>
      <c r="F28" s="1"/>
      <c r="G28" s="44"/>
      <c r="H28" s="44"/>
      <c r="I28" s="35"/>
      <c r="J28" s="36"/>
      <c r="K28" s="35" t="n">
        <f aca="false">K26/2000</f>
        <v>1770.5816059</v>
      </c>
      <c r="L28" s="3"/>
      <c r="M28" s="2"/>
      <c r="N28" s="2"/>
      <c r="O28" s="2"/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8" hidden="false" customHeight="false" outlineLevel="0" collapsed="false">
      <c r="A29" s="1"/>
      <c r="B29" s="11"/>
      <c r="C29" s="1"/>
      <c r="D29" s="2"/>
      <c r="E29" s="2"/>
      <c r="F29" s="1"/>
      <c r="G29" s="44"/>
      <c r="H29" s="44"/>
      <c r="I29" s="35"/>
      <c r="J29" s="36"/>
      <c r="K29" s="35"/>
      <c r="L29" s="3"/>
      <c r="M29" s="2"/>
      <c r="N29" s="2"/>
      <c r="O29" s="2"/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8" hidden="false" customHeight="false" outlineLevel="0" collapsed="false">
      <c r="A30" s="1"/>
      <c r="B30" s="11"/>
      <c r="C30" s="1" t="s">
        <v>25</v>
      </c>
      <c r="D30" s="2"/>
      <c r="E30" s="2"/>
      <c r="F30" s="1"/>
      <c r="G30" s="44" t="n">
        <v>0.15</v>
      </c>
      <c r="H30" s="44"/>
      <c r="I30" s="35" t="n">
        <f aca="false">G30*K26</f>
        <v>531174.48177</v>
      </c>
      <c r="J30" s="36"/>
      <c r="K30" s="35" t="n">
        <f aca="false">I30</f>
        <v>531174.48177</v>
      </c>
      <c r="L30" s="3"/>
      <c r="M30" s="2" t="s">
        <v>26</v>
      </c>
      <c r="N30" s="2"/>
      <c r="O30" s="2"/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8" hidden="false" customHeight="true" outlineLevel="0" collapsed="false">
      <c r="A31" s="1"/>
      <c r="B31" s="11"/>
      <c r="C31" s="1" t="s">
        <v>27</v>
      </c>
      <c r="D31" s="2"/>
      <c r="E31" s="2"/>
      <c r="F31" s="1"/>
      <c r="G31" s="44" t="n">
        <v>0.3</v>
      </c>
      <c r="H31" s="44"/>
      <c r="I31" s="35" t="n">
        <f aca="false">G31*(K26-K118)</f>
        <v>771348.96354</v>
      </c>
      <c r="J31" s="36"/>
      <c r="K31" s="35" t="n">
        <f aca="false">I31</f>
        <v>771348.96354</v>
      </c>
      <c r="L31" s="3"/>
      <c r="M31" s="45" t="s">
        <v>28</v>
      </c>
      <c r="N31" s="45"/>
      <c r="O31" s="45"/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8" hidden="false" customHeight="false" outlineLevel="0" collapsed="false">
      <c r="A32" s="1"/>
      <c r="B32" s="11"/>
      <c r="C32" s="1"/>
      <c r="D32" s="2"/>
      <c r="E32" s="2"/>
      <c r="F32" s="1"/>
      <c r="G32" s="1"/>
      <c r="H32" s="1"/>
      <c r="I32" s="35"/>
      <c r="J32" s="36"/>
      <c r="K32" s="35"/>
      <c r="L32" s="3"/>
      <c r="M32" s="2"/>
      <c r="N32" s="2"/>
      <c r="O32" s="2"/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6.15" hidden="false" customHeight="true" outlineLevel="0" collapsed="false">
      <c r="A33" s="46"/>
      <c r="B33" s="47"/>
      <c r="C33" s="46" t="s">
        <v>29</v>
      </c>
      <c r="D33" s="48"/>
      <c r="E33" s="48"/>
      <c r="F33" s="46"/>
      <c r="G33" s="46"/>
      <c r="H33" s="46"/>
      <c r="I33" s="35"/>
      <c r="J33" s="49"/>
      <c r="K33" s="50" t="n">
        <f aca="false">K26+K30+K31</f>
        <v>4843686.65711</v>
      </c>
      <c r="L33" s="51"/>
      <c r="M33" s="39" t="s">
        <v>30</v>
      </c>
      <c r="N33" s="39"/>
      <c r="O33" s="39"/>
      <c r="P33" s="52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customFormat="false" ht="12.8" hidden="false" customHeight="false" outlineLevel="0" collapsed="false">
      <c r="A34" s="12"/>
      <c r="B34" s="26"/>
      <c r="C34" s="12"/>
      <c r="D34" s="27"/>
      <c r="E34" s="27"/>
      <c r="F34" s="12"/>
      <c r="G34" s="12"/>
      <c r="H34" s="12"/>
      <c r="I34" s="42"/>
      <c r="J34" s="43"/>
      <c r="K34" s="42"/>
      <c r="L34" s="30"/>
      <c r="M34" s="27"/>
      <c r="N34" s="27"/>
      <c r="O34" s="27"/>
      <c r="P34" s="31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2.8" hidden="false" customHeight="false" outlineLevel="0" collapsed="false">
      <c r="A35" s="1"/>
      <c r="B35" s="11"/>
      <c r="C35" s="1" t="s">
        <v>31</v>
      </c>
      <c r="D35" s="2"/>
      <c r="E35" s="2"/>
      <c r="F35" s="1"/>
      <c r="G35" s="1"/>
      <c r="H35" s="1"/>
      <c r="I35" s="35"/>
      <c r="J35" s="36"/>
      <c r="K35" s="35" t="n">
        <f aca="false">K33/2000</f>
        <v>2421.843328555</v>
      </c>
      <c r="L35" s="3"/>
      <c r="M35" s="2"/>
      <c r="N35" s="2"/>
      <c r="O35" s="2"/>
      <c r="P35" s="1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8" hidden="false" customHeight="false" outlineLevel="0" collapsed="false">
      <c r="A36" s="12"/>
      <c r="B36" s="26"/>
      <c r="C36" s="12"/>
      <c r="D36" s="27"/>
      <c r="E36" s="27"/>
      <c r="F36" s="12"/>
      <c r="G36" s="12"/>
      <c r="H36" s="12"/>
      <c r="I36" s="53"/>
      <c r="J36" s="54"/>
      <c r="K36" s="53"/>
      <c r="L36" s="30"/>
      <c r="M36" s="27"/>
      <c r="N36" s="27"/>
      <c r="O36" s="27"/>
      <c r="P36" s="31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2.8" hidden="false" customHeight="false" outlineLevel="0" collapsed="false">
      <c r="A37" s="12"/>
      <c r="B37" s="55"/>
      <c r="C37" s="56"/>
      <c r="D37" s="57"/>
      <c r="E37" s="57"/>
      <c r="F37" s="56"/>
      <c r="G37" s="56"/>
      <c r="H37" s="56"/>
      <c r="I37" s="58"/>
      <c r="J37" s="58"/>
      <c r="K37" s="58"/>
      <c r="L37" s="58"/>
      <c r="M37" s="57"/>
      <c r="N37" s="57"/>
      <c r="O37" s="57"/>
      <c r="P37" s="59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2.8" hidden="false" customHeight="false" outlineLevel="0" collapsed="false">
      <c r="A38" s="1"/>
      <c r="B38" s="1"/>
      <c r="C38" s="1"/>
      <c r="D38" s="2"/>
      <c r="E38" s="2"/>
      <c r="F38" s="1"/>
      <c r="G38" s="1"/>
      <c r="H38" s="1"/>
      <c r="I38" s="3"/>
      <c r="J38" s="3"/>
      <c r="K38" s="3"/>
      <c r="L38" s="3"/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9.7" hidden="false" customHeight="false" outlineLevel="0" collapsed="false">
      <c r="A39" s="1"/>
      <c r="B39" s="1"/>
      <c r="C39" s="22" t="s">
        <v>32</v>
      </c>
      <c r="D39" s="23"/>
      <c r="E39" s="23"/>
      <c r="F39" s="1" t="s">
        <v>33</v>
      </c>
      <c r="G39" s="1"/>
      <c r="H39" s="1"/>
      <c r="I39" s="3"/>
      <c r="J39" s="3"/>
      <c r="K39" s="3"/>
      <c r="L39" s="3"/>
      <c r="M39" s="2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9.7" hidden="false" customHeight="false" outlineLevel="0" collapsed="false">
      <c r="A40" s="1"/>
      <c r="B40" s="1"/>
      <c r="C40" s="22"/>
      <c r="D40" s="23"/>
      <c r="E40" s="23"/>
      <c r="F40" s="1"/>
      <c r="G40" s="1"/>
      <c r="H40" s="1"/>
      <c r="I40" s="3"/>
      <c r="J40" s="3"/>
      <c r="K40" s="3"/>
      <c r="L40" s="3"/>
      <c r="M40" s="2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8" hidden="false" customHeight="false" outlineLevel="0" collapsed="false">
      <c r="A41" s="1"/>
      <c r="B41" s="6"/>
      <c r="C41" s="7"/>
      <c r="D41" s="8"/>
      <c r="E41" s="8"/>
      <c r="F41" s="7"/>
      <c r="G41" s="7"/>
      <c r="H41" s="7"/>
      <c r="I41" s="9"/>
      <c r="J41" s="9"/>
      <c r="K41" s="9"/>
      <c r="L41" s="9"/>
      <c r="M41" s="8"/>
      <c r="N41" s="8"/>
      <c r="O41" s="8"/>
      <c r="P41" s="10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8" hidden="false" customHeight="false" outlineLevel="0" collapsed="false">
      <c r="A42" s="12"/>
      <c r="B42" s="26"/>
      <c r="C42" s="12" t="s">
        <v>9</v>
      </c>
      <c r="D42" s="27"/>
      <c r="E42" s="27"/>
      <c r="F42" s="12"/>
      <c r="G42" s="28" t="s">
        <v>34</v>
      </c>
      <c r="H42" s="28"/>
      <c r="I42" s="29" t="s">
        <v>35</v>
      </c>
      <c r="J42" s="29" t="s">
        <v>36</v>
      </c>
      <c r="K42" s="29" t="s">
        <v>13</v>
      </c>
      <c r="L42" s="30"/>
      <c r="M42" s="27" t="s">
        <v>37</v>
      </c>
      <c r="N42" s="27"/>
      <c r="O42" s="27"/>
      <c r="P42" s="31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2.8" hidden="false" customHeight="false" outlineLevel="0" collapsed="false">
      <c r="A43" s="1"/>
      <c r="B43" s="11"/>
      <c r="C43" s="1"/>
      <c r="D43" s="2"/>
      <c r="E43" s="2"/>
      <c r="F43" s="1"/>
      <c r="G43" s="33"/>
      <c r="H43" s="33"/>
      <c r="I43" s="32"/>
      <c r="J43" s="32"/>
      <c r="K43" s="32"/>
      <c r="L43" s="3"/>
      <c r="M43" s="2"/>
      <c r="N43" s="2"/>
      <c r="O43" s="2"/>
      <c r="P43" s="1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8" hidden="false" customHeight="true" outlineLevel="0" collapsed="false">
      <c r="A44" s="1"/>
      <c r="B44" s="11"/>
      <c r="C44" s="1" t="s">
        <v>38</v>
      </c>
      <c r="D44" s="2"/>
      <c r="E44" s="2"/>
      <c r="F44" s="1"/>
      <c r="G44" s="33" t="s">
        <v>39</v>
      </c>
      <c r="H44" s="33"/>
      <c r="I44" s="32"/>
      <c r="J44" s="32"/>
      <c r="K44" s="32" t="n">
        <v>970000</v>
      </c>
      <c r="L44" s="3"/>
      <c r="M44" s="45" t="s">
        <v>40</v>
      </c>
      <c r="N44" s="45"/>
      <c r="O44" s="45"/>
      <c r="P44" s="1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8" hidden="false" customHeight="true" outlineLevel="0" collapsed="false">
      <c r="A45" s="1"/>
      <c r="B45" s="11"/>
      <c r="C45" s="1" t="s">
        <v>41</v>
      </c>
      <c r="D45" s="2"/>
      <c r="E45" s="2"/>
      <c r="F45" s="1"/>
      <c r="G45" s="33" t="s">
        <v>42</v>
      </c>
      <c r="H45" s="33"/>
      <c r="I45" s="32"/>
      <c r="J45" s="32"/>
      <c r="K45" s="32" t="n">
        <v>75</v>
      </c>
      <c r="L45" s="3"/>
      <c r="M45" s="45" t="s">
        <v>43</v>
      </c>
      <c r="N45" s="45"/>
      <c r="O45" s="45"/>
      <c r="P45" s="1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8" hidden="false" customHeight="true" outlineLevel="0" collapsed="false">
      <c r="A46" s="1"/>
      <c r="B46" s="11"/>
      <c r="C46" s="1" t="s">
        <v>44</v>
      </c>
      <c r="D46" s="2"/>
      <c r="E46" s="2"/>
      <c r="F46" s="1"/>
      <c r="G46" s="33" t="s">
        <v>42</v>
      </c>
      <c r="H46" s="33"/>
      <c r="I46" s="32"/>
      <c r="J46" s="32"/>
      <c r="K46" s="32" t="n">
        <v>74.22</v>
      </c>
      <c r="L46" s="3"/>
      <c r="M46" s="45" t="s">
        <v>45</v>
      </c>
      <c r="N46" s="45"/>
      <c r="O46" s="45"/>
      <c r="P46" s="1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8" hidden="false" customHeight="false" outlineLevel="0" collapsed="false">
      <c r="A47" s="1"/>
      <c r="B47" s="11"/>
      <c r="C47" s="1" t="s">
        <v>46</v>
      </c>
      <c r="D47" s="2"/>
      <c r="E47" s="2"/>
      <c r="F47" s="1"/>
      <c r="G47" s="33" t="s">
        <v>42</v>
      </c>
      <c r="H47" s="33"/>
      <c r="I47" s="32"/>
      <c r="J47" s="32"/>
      <c r="K47" s="32" t="n">
        <v>46.25</v>
      </c>
      <c r="L47" s="3"/>
      <c r="M47" s="2" t="s">
        <v>47</v>
      </c>
      <c r="N47" s="2"/>
      <c r="O47" s="2"/>
      <c r="P47" s="1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8" hidden="false" customHeight="false" outlineLevel="0" collapsed="false">
      <c r="A48" s="1"/>
      <c r="B48" s="11"/>
      <c r="C48" s="1" t="s">
        <v>48</v>
      </c>
      <c r="D48" s="2"/>
      <c r="E48" s="2"/>
      <c r="F48" s="1"/>
      <c r="G48" s="33" t="s">
        <v>42</v>
      </c>
      <c r="H48" s="33"/>
      <c r="I48" s="32"/>
      <c r="J48" s="32"/>
      <c r="K48" s="32" t="n">
        <v>32.91</v>
      </c>
      <c r="L48" s="3"/>
      <c r="M48" s="2" t="s">
        <v>49</v>
      </c>
      <c r="N48" s="2"/>
      <c r="O48" s="2"/>
      <c r="P48" s="1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8" hidden="false" customHeight="false" outlineLevel="0" collapsed="false">
      <c r="A49" s="1"/>
      <c r="B49" s="11"/>
      <c r="C49" s="1" t="s">
        <v>50</v>
      </c>
      <c r="D49" s="2"/>
      <c r="E49" s="2"/>
      <c r="F49" s="1"/>
      <c r="G49" s="33" t="s">
        <v>51</v>
      </c>
      <c r="H49" s="33"/>
      <c r="I49" s="32"/>
      <c r="J49" s="32"/>
      <c r="K49" s="32" t="n">
        <v>26.64</v>
      </c>
      <c r="L49" s="3"/>
      <c r="M49" s="2" t="s">
        <v>52</v>
      </c>
      <c r="N49" s="60"/>
      <c r="O49" s="60"/>
      <c r="P49" s="1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8" hidden="false" customHeight="true" outlineLevel="0" collapsed="false">
      <c r="A50" s="1"/>
      <c r="B50" s="11"/>
      <c r="C50" s="1" t="s">
        <v>53</v>
      </c>
      <c r="D50" s="2"/>
      <c r="E50" s="2"/>
      <c r="F50" s="1"/>
      <c r="G50" s="33" t="s">
        <v>39</v>
      </c>
      <c r="H50" s="33"/>
      <c r="I50" s="32"/>
      <c r="J50" s="32"/>
      <c r="K50" s="32" t="n">
        <v>758.75</v>
      </c>
      <c r="L50" s="3"/>
      <c r="M50" s="45" t="s">
        <v>54</v>
      </c>
      <c r="N50" s="45"/>
      <c r="O50" s="45"/>
      <c r="P50" s="1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8" hidden="false" customHeight="false" outlineLevel="0" collapsed="false">
      <c r="A51" s="1"/>
      <c r="B51" s="11"/>
      <c r="C51" s="1" t="s">
        <v>55</v>
      </c>
      <c r="D51" s="2"/>
      <c r="E51" s="2"/>
      <c r="F51" s="1"/>
      <c r="G51" s="33" t="s">
        <v>39</v>
      </c>
      <c r="H51" s="33"/>
      <c r="I51" s="32"/>
      <c r="J51" s="32"/>
      <c r="K51" s="32" t="n">
        <v>246.14</v>
      </c>
      <c r="L51" s="3"/>
      <c r="M51" s="60" t="s">
        <v>56</v>
      </c>
      <c r="N51" s="60"/>
      <c r="O51" s="60"/>
      <c r="P51" s="1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8" hidden="false" customHeight="true" outlineLevel="0" collapsed="false">
      <c r="A52" s="1"/>
      <c r="B52" s="11"/>
      <c r="C52" s="45" t="s">
        <v>57</v>
      </c>
      <c r="D52" s="45"/>
      <c r="E52" s="45"/>
      <c r="F52" s="45"/>
      <c r="G52" s="33" t="s">
        <v>39</v>
      </c>
      <c r="H52" s="33"/>
      <c r="I52" s="32"/>
      <c r="J52" s="32"/>
      <c r="K52" s="32" t="n">
        <v>445.85</v>
      </c>
      <c r="L52" s="3"/>
      <c r="M52" s="2" t="s">
        <v>58</v>
      </c>
      <c r="N52" s="2"/>
      <c r="O52" s="2"/>
      <c r="P52" s="1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8" hidden="false" customHeight="true" outlineLevel="0" collapsed="false">
      <c r="A53" s="1"/>
      <c r="B53" s="11"/>
      <c r="C53" s="45" t="s">
        <v>59</v>
      </c>
      <c r="D53" s="45"/>
      <c r="E53" s="45"/>
      <c r="F53" s="45"/>
      <c r="G53" s="33" t="s">
        <v>39</v>
      </c>
      <c r="H53" s="33"/>
      <c r="I53" s="32"/>
      <c r="J53" s="32"/>
      <c r="K53" s="32" t="n">
        <v>529.4</v>
      </c>
      <c r="L53" s="3"/>
      <c r="M53" s="2" t="s">
        <v>60</v>
      </c>
      <c r="N53" s="2"/>
      <c r="O53" s="2"/>
      <c r="P53" s="1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8" hidden="false" customHeight="false" outlineLevel="0" collapsed="false">
      <c r="A54" s="1"/>
      <c r="B54" s="11"/>
      <c r="C54" s="1" t="s">
        <v>61</v>
      </c>
      <c r="D54" s="2"/>
      <c r="E54" s="2"/>
      <c r="F54" s="1"/>
      <c r="G54" s="33" t="s">
        <v>42</v>
      </c>
      <c r="H54" s="33"/>
      <c r="I54" s="32"/>
      <c r="J54" s="32"/>
      <c r="K54" s="32" t="n">
        <v>20.65</v>
      </c>
      <c r="L54" s="3"/>
      <c r="M54" s="2" t="s">
        <v>62</v>
      </c>
      <c r="N54" s="2"/>
      <c r="O54" s="2"/>
      <c r="P54" s="1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8" hidden="false" customHeight="false" outlineLevel="0" collapsed="false">
      <c r="A55" s="1"/>
      <c r="B55" s="11"/>
      <c r="C55" s="1" t="s">
        <v>63</v>
      </c>
      <c r="D55" s="2"/>
      <c r="E55" s="2"/>
      <c r="F55" s="1"/>
      <c r="G55" s="33" t="s">
        <v>42</v>
      </c>
      <c r="H55" s="33"/>
      <c r="I55" s="32"/>
      <c r="J55" s="32"/>
      <c r="K55" s="32" t="n">
        <v>27.2</v>
      </c>
      <c r="L55" s="3"/>
      <c r="M55" s="2" t="s">
        <v>64</v>
      </c>
      <c r="N55" s="2"/>
      <c r="O55" s="2"/>
      <c r="P55" s="1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8" hidden="false" customHeight="false" outlineLevel="0" collapsed="false">
      <c r="A56" s="1"/>
      <c r="B56" s="11"/>
      <c r="C56" s="1" t="s">
        <v>65</v>
      </c>
      <c r="D56" s="2"/>
      <c r="E56" s="2"/>
      <c r="F56" s="1"/>
      <c r="G56" s="33" t="s">
        <v>42</v>
      </c>
      <c r="H56" s="33"/>
      <c r="I56" s="32"/>
      <c r="J56" s="32"/>
      <c r="K56" s="32" t="n">
        <v>22.46</v>
      </c>
      <c r="L56" s="3"/>
      <c r="M56" s="2" t="s">
        <v>66</v>
      </c>
      <c r="N56" s="2"/>
      <c r="O56" s="2"/>
      <c r="P56" s="1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8" hidden="false" customHeight="false" outlineLevel="0" collapsed="false">
      <c r="A57" s="1"/>
      <c r="B57" s="11"/>
      <c r="C57" s="1" t="s">
        <v>67</v>
      </c>
      <c r="D57" s="2"/>
      <c r="E57" s="2"/>
      <c r="F57" s="1"/>
      <c r="G57" s="33" t="s">
        <v>42</v>
      </c>
      <c r="H57" s="33"/>
      <c r="I57" s="32"/>
      <c r="J57" s="32"/>
      <c r="K57" s="32" t="n">
        <v>22.99</v>
      </c>
      <c r="L57" s="3"/>
      <c r="M57" s="2" t="s">
        <v>68</v>
      </c>
      <c r="N57" s="2"/>
      <c r="O57" s="2"/>
      <c r="P57" s="1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8" hidden="false" customHeight="false" outlineLevel="0" collapsed="false">
      <c r="A58" s="1"/>
      <c r="B58" s="11"/>
      <c r="C58" s="1" t="s">
        <v>69</v>
      </c>
      <c r="D58" s="2"/>
      <c r="E58" s="2"/>
      <c r="F58" s="1"/>
      <c r="G58" s="33" t="s">
        <v>42</v>
      </c>
      <c r="H58" s="33"/>
      <c r="I58" s="32"/>
      <c r="J58" s="32"/>
      <c r="K58" s="32" t="n">
        <v>21.08</v>
      </c>
      <c r="L58" s="3"/>
      <c r="M58" s="2" t="s">
        <v>70</v>
      </c>
      <c r="N58" s="2"/>
      <c r="O58" s="2"/>
      <c r="P58" s="1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8" hidden="false" customHeight="false" outlineLevel="0" collapsed="false">
      <c r="A59" s="1"/>
      <c r="B59" s="11"/>
      <c r="C59" s="1" t="s">
        <v>71</v>
      </c>
      <c r="D59" s="2"/>
      <c r="E59" s="2"/>
      <c r="F59" s="1"/>
      <c r="G59" s="33" t="s">
        <v>42</v>
      </c>
      <c r="H59" s="33"/>
      <c r="I59" s="32"/>
      <c r="J59" s="32"/>
      <c r="K59" s="32" t="n">
        <v>23.47</v>
      </c>
      <c r="L59" s="3"/>
      <c r="M59" s="2" t="s">
        <v>72</v>
      </c>
      <c r="N59" s="2"/>
      <c r="O59" s="2"/>
      <c r="P59" s="1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8" hidden="false" customHeight="false" outlineLevel="0" collapsed="false">
      <c r="A60" s="1"/>
      <c r="B60" s="11"/>
      <c r="C60" s="1" t="s">
        <v>73</v>
      </c>
      <c r="D60" s="2"/>
      <c r="E60" s="2"/>
      <c r="F60" s="1"/>
      <c r="G60" s="33" t="s">
        <v>42</v>
      </c>
      <c r="H60" s="33"/>
      <c r="I60" s="32"/>
      <c r="J60" s="32"/>
      <c r="K60" s="32" t="n">
        <v>17.67</v>
      </c>
      <c r="L60" s="3"/>
      <c r="M60" s="2" t="s">
        <v>74</v>
      </c>
      <c r="N60" s="2"/>
      <c r="O60" s="2"/>
      <c r="P60" s="13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8" hidden="false" customHeight="false" outlineLevel="0" collapsed="false">
      <c r="A61" s="1"/>
      <c r="B61" s="11"/>
      <c r="C61" s="1" t="s">
        <v>75</v>
      </c>
      <c r="D61" s="2"/>
      <c r="E61" s="2"/>
      <c r="F61" s="1"/>
      <c r="G61" s="33" t="s">
        <v>51</v>
      </c>
      <c r="H61" s="33"/>
      <c r="I61" s="32"/>
      <c r="J61" s="32"/>
      <c r="K61" s="32" t="n">
        <v>18.3</v>
      </c>
      <c r="L61" s="3"/>
      <c r="M61" s="2" t="s">
        <v>76</v>
      </c>
      <c r="N61" s="2"/>
      <c r="O61" s="2"/>
      <c r="P61" s="13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8" hidden="false" customHeight="false" outlineLevel="0" collapsed="false">
      <c r="A62" s="1"/>
      <c r="B62" s="11"/>
      <c r="C62" s="1" t="s">
        <v>77</v>
      </c>
      <c r="D62" s="2"/>
      <c r="E62" s="2"/>
      <c r="F62" s="1"/>
      <c r="G62" s="33" t="s">
        <v>51</v>
      </c>
      <c r="H62" s="33"/>
      <c r="I62" s="32"/>
      <c r="J62" s="32"/>
      <c r="K62" s="32" t="n">
        <v>34.97</v>
      </c>
      <c r="L62" s="3"/>
      <c r="M62" s="2" t="s">
        <v>78</v>
      </c>
      <c r="N62" s="2"/>
      <c r="O62" s="2"/>
      <c r="P62" s="13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8" hidden="false" customHeight="false" outlineLevel="0" collapsed="false">
      <c r="A63" s="1"/>
      <c r="B63" s="11"/>
      <c r="C63" s="1" t="s">
        <v>79</v>
      </c>
      <c r="D63" s="2"/>
      <c r="E63" s="2"/>
      <c r="F63" s="1"/>
      <c r="G63" s="33" t="s">
        <v>39</v>
      </c>
      <c r="H63" s="33"/>
      <c r="I63" s="32"/>
      <c r="J63" s="32"/>
      <c r="K63" s="32" t="n">
        <v>24.6</v>
      </c>
      <c r="L63" s="3"/>
      <c r="M63" s="2" t="s">
        <v>80</v>
      </c>
      <c r="N63" s="2"/>
      <c r="O63" s="2"/>
      <c r="P63" s="1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8" hidden="false" customHeight="true" outlineLevel="0" collapsed="false">
      <c r="A64" s="1"/>
      <c r="B64" s="11"/>
      <c r="C64" s="1" t="s">
        <v>81</v>
      </c>
      <c r="D64" s="2"/>
      <c r="E64" s="2"/>
      <c r="F64" s="1"/>
      <c r="G64" s="33" t="s">
        <v>39</v>
      </c>
      <c r="H64" s="33"/>
      <c r="I64" s="32"/>
      <c r="J64" s="32"/>
      <c r="K64" s="32" t="n">
        <v>30.07</v>
      </c>
      <c r="L64" s="3"/>
      <c r="M64" s="39" t="s">
        <v>82</v>
      </c>
      <c r="N64" s="39"/>
      <c r="O64" s="39"/>
      <c r="P64" s="1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8" hidden="false" customHeight="true" outlineLevel="0" collapsed="false">
      <c r="A65" s="1"/>
      <c r="B65" s="11"/>
      <c r="C65" s="61" t="s">
        <v>83</v>
      </c>
      <c r="D65" s="61"/>
      <c r="E65" s="2"/>
      <c r="F65" s="1"/>
      <c r="G65" s="33" t="s">
        <v>51</v>
      </c>
      <c r="H65" s="33"/>
      <c r="I65" s="32"/>
      <c r="J65" s="32"/>
      <c r="K65" s="32" t="n">
        <v>14.58</v>
      </c>
      <c r="L65" s="3"/>
      <c r="M65" s="39" t="s">
        <v>84</v>
      </c>
      <c r="N65" s="39"/>
      <c r="O65" s="39"/>
      <c r="P65" s="13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8" hidden="false" customHeight="false" outlineLevel="0" collapsed="false">
      <c r="A66" s="1"/>
      <c r="B66" s="11"/>
      <c r="C66" s="61" t="s">
        <v>85</v>
      </c>
      <c r="D66" s="61"/>
      <c r="E66" s="2"/>
      <c r="F66" s="1"/>
      <c r="G66" s="33" t="s">
        <v>51</v>
      </c>
      <c r="H66" s="33"/>
      <c r="I66" s="32"/>
      <c r="J66" s="32"/>
      <c r="K66" s="32" t="n">
        <v>2.09</v>
      </c>
      <c r="L66" s="3"/>
      <c r="M66" s="2" t="s">
        <v>86</v>
      </c>
      <c r="N66" s="2"/>
      <c r="O66" s="2"/>
      <c r="P66" s="13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8" hidden="false" customHeight="false" outlineLevel="0" collapsed="false">
      <c r="A67" s="1"/>
      <c r="B67" s="11"/>
      <c r="C67" s="1" t="s">
        <v>87</v>
      </c>
      <c r="D67" s="1"/>
      <c r="E67" s="2"/>
      <c r="F67" s="1"/>
      <c r="G67" s="33"/>
      <c r="H67" s="33"/>
      <c r="I67" s="32"/>
      <c r="J67" s="32"/>
      <c r="K67" s="32" t="n">
        <v>125.5</v>
      </c>
      <c r="L67" s="3"/>
      <c r="M67" s="2" t="s">
        <v>88</v>
      </c>
      <c r="N67" s="2"/>
      <c r="O67" s="2"/>
      <c r="P67" s="13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8" hidden="false" customHeight="false" outlineLevel="0" collapsed="false">
      <c r="A68" s="1"/>
      <c r="B68" s="16"/>
      <c r="C68" s="17"/>
      <c r="D68" s="20"/>
      <c r="E68" s="20"/>
      <c r="F68" s="17"/>
      <c r="G68" s="17"/>
      <c r="H68" s="17"/>
      <c r="I68" s="19"/>
      <c r="J68" s="19"/>
      <c r="K68" s="19"/>
      <c r="L68" s="19"/>
      <c r="M68" s="20"/>
      <c r="N68" s="20"/>
      <c r="O68" s="20"/>
      <c r="P68" s="2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8" hidden="false" customHeight="false" outlineLevel="0" collapsed="false">
      <c r="A69" s="1"/>
      <c r="B69" s="1"/>
      <c r="C69" s="1"/>
      <c r="D69" s="2"/>
      <c r="E69" s="2"/>
      <c r="F69" s="1"/>
      <c r="G69" s="1"/>
      <c r="H69" s="1"/>
      <c r="I69" s="3"/>
      <c r="J69" s="3"/>
      <c r="K69" s="3"/>
      <c r="L69" s="3"/>
      <c r="M69" s="2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9.7" hidden="false" customHeight="false" outlineLevel="0" collapsed="false">
      <c r="A70" s="1"/>
      <c r="B70" s="1"/>
      <c r="C70" s="22" t="s">
        <v>89</v>
      </c>
      <c r="D70" s="23"/>
      <c r="E70" s="23"/>
      <c r="F70" s="1" t="s">
        <v>90</v>
      </c>
      <c r="G70" s="1"/>
      <c r="H70" s="1"/>
      <c r="I70" s="3"/>
      <c r="J70" s="3"/>
      <c r="K70" s="3"/>
      <c r="L70" s="3"/>
      <c r="M70" s="2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8" hidden="false" customHeight="false" outlineLevel="0" collapsed="false">
      <c r="A71" s="1"/>
      <c r="B71" s="1"/>
      <c r="C71" s="1"/>
      <c r="D71" s="2"/>
      <c r="E71" s="2"/>
      <c r="F71" s="1"/>
      <c r="G71" s="1"/>
      <c r="H71" s="1"/>
      <c r="I71" s="3"/>
      <c r="J71" s="3"/>
      <c r="K71" s="3"/>
      <c r="L71" s="3"/>
      <c r="M71" s="2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8" hidden="false" customHeight="false" outlineLevel="0" collapsed="false">
      <c r="A72" s="1"/>
      <c r="B72" s="6"/>
      <c r="C72" s="7"/>
      <c r="D72" s="8"/>
      <c r="E72" s="8"/>
      <c r="F72" s="7"/>
      <c r="G72" s="7"/>
      <c r="H72" s="7"/>
      <c r="I72" s="9"/>
      <c r="J72" s="9"/>
      <c r="K72" s="9"/>
      <c r="L72" s="9"/>
      <c r="M72" s="8"/>
      <c r="N72" s="8"/>
      <c r="O72" s="8"/>
      <c r="P72" s="10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8" hidden="false" customHeight="false" outlineLevel="0" collapsed="false">
      <c r="A73" s="12"/>
      <c r="B73" s="26"/>
      <c r="C73" s="12" t="s">
        <v>9</v>
      </c>
      <c r="D73" s="27"/>
      <c r="E73" s="27"/>
      <c r="F73" s="28" t="s">
        <v>34</v>
      </c>
      <c r="G73" s="28" t="s">
        <v>10</v>
      </c>
      <c r="H73" s="28"/>
      <c r="I73" s="29" t="s">
        <v>35</v>
      </c>
      <c r="J73" s="29" t="s">
        <v>36</v>
      </c>
      <c r="K73" s="29" t="s">
        <v>13</v>
      </c>
      <c r="L73" s="30"/>
      <c r="M73" s="27" t="s">
        <v>14</v>
      </c>
      <c r="N73" s="27"/>
      <c r="O73" s="27"/>
      <c r="P73" s="31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2.8" hidden="false" customHeight="false" outlineLevel="0" collapsed="false">
      <c r="A74" s="1"/>
      <c r="B74" s="11"/>
      <c r="C74" s="1"/>
      <c r="D74" s="2"/>
      <c r="E74" s="2"/>
      <c r="F74" s="33"/>
      <c r="G74" s="33"/>
      <c r="H74" s="33"/>
      <c r="I74" s="3"/>
      <c r="J74" s="3"/>
      <c r="K74" s="32"/>
      <c r="L74" s="3"/>
      <c r="M74" s="2"/>
      <c r="N74" s="2"/>
      <c r="O74" s="2"/>
      <c r="P74" s="13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6.15" hidden="false" customHeight="false" outlineLevel="0" collapsed="false">
      <c r="A75" s="1"/>
      <c r="B75" s="11"/>
      <c r="C75" s="46" t="s">
        <v>15</v>
      </c>
      <c r="D75" s="62"/>
      <c r="E75" s="62"/>
      <c r="F75" s="33"/>
      <c r="G75" s="33"/>
      <c r="H75" s="33"/>
      <c r="I75" s="3"/>
      <c r="J75" s="3"/>
      <c r="K75" s="50" t="n">
        <f aca="false">K77+K91+K104</f>
        <v>556235</v>
      </c>
      <c r="L75" s="3"/>
      <c r="M75" s="63" t="s">
        <v>91</v>
      </c>
      <c r="N75" s="2"/>
      <c r="O75" s="2"/>
      <c r="P75" s="13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8" hidden="false" customHeight="false" outlineLevel="0" collapsed="false">
      <c r="A76" s="1"/>
      <c r="B76" s="11"/>
      <c r="C76" s="1"/>
      <c r="D76" s="2"/>
      <c r="E76" s="2"/>
      <c r="F76" s="33"/>
      <c r="G76" s="33"/>
      <c r="H76" s="33"/>
      <c r="I76" s="3"/>
      <c r="J76" s="3"/>
      <c r="K76" s="32"/>
      <c r="L76" s="3"/>
      <c r="M76" s="2"/>
      <c r="N76" s="2"/>
      <c r="O76" s="2"/>
      <c r="P76" s="13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8" hidden="false" customHeight="false" outlineLevel="0" collapsed="false">
      <c r="A77" s="12"/>
      <c r="B77" s="26"/>
      <c r="C77" s="12"/>
      <c r="D77" s="57" t="s">
        <v>92</v>
      </c>
      <c r="E77" s="57"/>
      <c r="F77" s="64"/>
      <c r="G77" s="64"/>
      <c r="H77" s="64"/>
      <c r="I77" s="58"/>
      <c r="J77" s="58"/>
      <c r="K77" s="65" t="n">
        <f aca="false">SUM(K79:K89)</f>
        <v>107500</v>
      </c>
      <c r="L77" s="30"/>
      <c r="M77" s="66" t="n">
        <f aca="false">K77/K26</f>
        <v>0.0303572565200566</v>
      </c>
      <c r="N77" s="27"/>
      <c r="O77" s="2" t="s">
        <v>93</v>
      </c>
      <c r="P77" s="31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2.8" hidden="false" customHeight="false" outlineLevel="0" collapsed="false">
      <c r="A78" s="1"/>
      <c r="B78" s="11"/>
      <c r="C78" s="1"/>
      <c r="D78" s="2"/>
      <c r="E78" s="2"/>
      <c r="F78" s="33"/>
      <c r="G78" s="33"/>
      <c r="H78" s="33"/>
      <c r="I78" s="3"/>
      <c r="J78" s="3"/>
      <c r="K78" s="32"/>
      <c r="L78" s="3"/>
      <c r="M78" s="2"/>
      <c r="N78" s="2"/>
      <c r="O78" s="2"/>
      <c r="P78" s="13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8" hidden="false" customHeight="false" outlineLevel="0" collapsed="false">
      <c r="A79" s="1"/>
      <c r="B79" s="11"/>
      <c r="C79" s="1"/>
      <c r="D79" s="2" t="s">
        <v>94</v>
      </c>
      <c r="E79" s="2"/>
      <c r="F79" s="33" t="s">
        <v>51</v>
      </c>
      <c r="G79" s="33" t="n">
        <v>60</v>
      </c>
      <c r="H79" s="33"/>
      <c r="I79" s="67" t="n">
        <v>50</v>
      </c>
      <c r="J79" s="67"/>
      <c r="K79" s="35" t="n">
        <f aca="false">G79*I79</f>
        <v>3000</v>
      </c>
      <c r="L79" s="3"/>
      <c r="M79" s="2"/>
      <c r="N79" s="2"/>
      <c r="O79" s="2"/>
      <c r="P79" s="13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8" hidden="false" customHeight="false" outlineLevel="0" collapsed="false">
      <c r="A80" s="1"/>
      <c r="B80" s="11"/>
      <c r="C80" s="1"/>
      <c r="D80" s="2" t="s">
        <v>95</v>
      </c>
      <c r="E80" s="2"/>
      <c r="F80" s="33" t="s">
        <v>39</v>
      </c>
      <c r="G80" s="33" t="n">
        <v>1</v>
      </c>
      <c r="H80" s="33"/>
      <c r="I80" s="32" t="n">
        <v>0</v>
      </c>
      <c r="J80" s="32" t="n">
        <v>30000</v>
      </c>
      <c r="K80" s="35" t="n">
        <f aca="false">(G80*I80)+(G80*J80)</f>
        <v>30000</v>
      </c>
      <c r="L80" s="3"/>
      <c r="M80" s="66" t="n">
        <f aca="false">J80/K26</f>
        <v>0.00847179251722509</v>
      </c>
      <c r="N80" s="2"/>
      <c r="O80" s="2" t="s">
        <v>96</v>
      </c>
      <c r="P80" s="13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8" hidden="false" customHeight="true" outlineLevel="0" collapsed="false">
      <c r="A81" s="1"/>
      <c r="B81" s="11"/>
      <c r="C81" s="1"/>
      <c r="D81" s="2" t="s">
        <v>97</v>
      </c>
      <c r="E81" s="2"/>
      <c r="F81" s="33" t="s">
        <v>39</v>
      </c>
      <c r="G81" s="33" t="n">
        <v>1</v>
      </c>
      <c r="H81" s="33"/>
      <c r="I81" s="32" t="n">
        <v>0</v>
      </c>
      <c r="J81" s="32" t="n">
        <v>0</v>
      </c>
      <c r="K81" s="35" t="n">
        <f aca="false">(G81*I81)+(G81*J81)</f>
        <v>0</v>
      </c>
      <c r="L81" s="3"/>
      <c r="M81" s="45" t="s">
        <v>98</v>
      </c>
      <c r="N81" s="45"/>
      <c r="O81" s="45"/>
      <c r="P81" s="13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8" hidden="false" customHeight="false" outlineLevel="0" collapsed="false">
      <c r="A82" s="1"/>
      <c r="B82" s="11"/>
      <c r="C82" s="1"/>
      <c r="D82" s="2" t="s">
        <v>99</v>
      </c>
      <c r="E82" s="2"/>
      <c r="F82" s="33" t="s">
        <v>39</v>
      </c>
      <c r="G82" s="33" t="n">
        <v>1</v>
      </c>
      <c r="H82" s="33"/>
      <c r="I82" s="32" t="n">
        <v>0</v>
      </c>
      <c r="J82" s="32" t="n">
        <v>6500</v>
      </c>
      <c r="K82" s="35" t="n">
        <f aca="false">(G82*I82)+(G82*J82)</f>
        <v>6500</v>
      </c>
      <c r="L82" s="3"/>
      <c r="M82" s="66" t="n">
        <f aca="false">(K83+K82)/K26</f>
        <v>0.00889538214308634</v>
      </c>
      <c r="N82" s="2"/>
      <c r="O82" s="2" t="s">
        <v>100</v>
      </c>
      <c r="P82" s="13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23.95" hidden="false" customHeight="true" outlineLevel="0" collapsed="false">
      <c r="A83" s="1"/>
      <c r="B83" s="11"/>
      <c r="C83" s="1"/>
      <c r="D83" s="2" t="s">
        <v>101</v>
      </c>
      <c r="E83" s="2"/>
      <c r="F83" s="33" t="s">
        <v>39</v>
      </c>
      <c r="G83" s="33" t="n">
        <v>1</v>
      </c>
      <c r="H83" s="33"/>
      <c r="I83" s="32" t="n">
        <v>0</v>
      </c>
      <c r="J83" s="32" t="n">
        <v>25000</v>
      </c>
      <c r="K83" s="35" t="n">
        <f aca="false">(G83*I83)+(G83*J83)</f>
        <v>25000</v>
      </c>
      <c r="L83" s="3"/>
      <c r="M83" s="45" t="s">
        <v>102</v>
      </c>
      <c r="N83" s="45"/>
      <c r="O83" s="45"/>
      <c r="P83" s="13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8" hidden="false" customHeight="false" outlineLevel="0" collapsed="false">
      <c r="A84" s="1"/>
      <c r="B84" s="11"/>
      <c r="C84" s="1"/>
      <c r="D84" s="2" t="s">
        <v>103</v>
      </c>
      <c r="E84" s="2"/>
      <c r="F84" s="33" t="s">
        <v>39</v>
      </c>
      <c r="G84" s="33" t="n">
        <v>1</v>
      </c>
      <c r="H84" s="33"/>
      <c r="I84" s="32" t="n">
        <v>0</v>
      </c>
      <c r="J84" s="32" t="n">
        <v>14000</v>
      </c>
      <c r="K84" s="35" t="n">
        <f aca="false">(G84*I84)+(G84*J84)</f>
        <v>14000</v>
      </c>
      <c r="L84" s="3"/>
      <c r="M84" s="68" t="n">
        <f aca="false">(K84+K85+K86)/K26</f>
        <v>0.0093189717689476</v>
      </c>
      <c r="N84" s="2"/>
      <c r="O84" s="2"/>
      <c r="P84" s="13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23.95" hidden="false" customHeight="false" outlineLevel="0" collapsed="false">
      <c r="A85" s="1"/>
      <c r="B85" s="11"/>
      <c r="C85" s="1"/>
      <c r="D85" s="2" t="s">
        <v>104</v>
      </c>
      <c r="E85" s="2"/>
      <c r="F85" s="33" t="s">
        <v>39</v>
      </c>
      <c r="G85" s="33" t="n">
        <v>1</v>
      </c>
      <c r="H85" s="33"/>
      <c r="I85" s="32" t="n">
        <v>0</v>
      </c>
      <c r="J85" s="32" t="n">
        <v>14000</v>
      </c>
      <c r="K85" s="35" t="n">
        <f aca="false">(G85*I85)+(G85*J85)</f>
        <v>14000</v>
      </c>
      <c r="L85" s="3"/>
      <c r="M85" s="68"/>
      <c r="N85" s="2"/>
      <c r="O85" s="2" t="s">
        <v>105</v>
      </c>
      <c r="P85" s="13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8" hidden="false" customHeight="false" outlineLevel="0" collapsed="false">
      <c r="A86" s="1"/>
      <c r="B86" s="11"/>
      <c r="C86" s="1"/>
      <c r="D86" s="2" t="s">
        <v>106</v>
      </c>
      <c r="E86" s="2"/>
      <c r="F86" s="33" t="s">
        <v>39</v>
      </c>
      <c r="G86" s="33" t="n">
        <v>1</v>
      </c>
      <c r="H86" s="33"/>
      <c r="I86" s="32" t="n">
        <v>0</v>
      </c>
      <c r="J86" s="32" t="n">
        <v>5000</v>
      </c>
      <c r="K86" s="35" t="n">
        <f aca="false">(G86*I86)+(G86*J86)</f>
        <v>5000</v>
      </c>
      <c r="L86" s="3"/>
      <c r="M86" s="68"/>
      <c r="N86" s="2"/>
      <c r="O86" s="2"/>
      <c r="P86" s="13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23.95" hidden="false" customHeight="true" outlineLevel="0" collapsed="false">
      <c r="A87" s="1"/>
      <c r="B87" s="11"/>
      <c r="C87" s="1"/>
      <c r="D87" s="2" t="s">
        <v>107</v>
      </c>
      <c r="E87" s="2"/>
      <c r="F87" s="33" t="s">
        <v>39</v>
      </c>
      <c r="G87" s="33" t="n">
        <v>0</v>
      </c>
      <c r="H87" s="33"/>
      <c r="I87" s="32" t="n">
        <v>0</v>
      </c>
      <c r="J87" s="32" t="n">
        <v>0</v>
      </c>
      <c r="K87" s="35" t="n">
        <f aca="false">(G87*I87)+(G87*J87)</f>
        <v>0</v>
      </c>
      <c r="L87" s="3"/>
      <c r="M87" s="45" t="s">
        <v>108</v>
      </c>
      <c r="N87" s="45"/>
      <c r="O87" s="45"/>
      <c r="P87" s="13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23.95" hidden="false" customHeight="true" outlineLevel="0" collapsed="false">
      <c r="A88" s="1"/>
      <c r="B88" s="11"/>
      <c r="C88" s="1"/>
      <c r="D88" s="2" t="s">
        <v>109</v>
      </c>
      <c r="E88" s="2"/>
      <c r="F88" s="33" t="s">
        <v>39</v>
      </c>
      <c r="G88" s="33" t="n">
        <v>1</v>
      </c>
      <c r="H88" s="33"/>
      <c r="I88" s="32" t="n">
        <v>0</v>
      </c>
      <c r="J88" s="32" t="n">
        <v>5000</v>
      </c>
      <c r="K88" s="35" t="n">
        <f aca="false">(G88*I88)+(G88*J88)</f>
        <v>5000</v>
      </c>
      <c r="L88" s="3"/>
      <c r="M88" s="45" t="s">
        <v>110</v>
      </c>
      <c r="N88" s="45"/>
      <c r="O88" s="45"/>
      <c r="P88" s="13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8" hidden="false" customHeight="true" outlineLevel="0" collapsed="false">
      <c r="A89" s="1"/>
      <c r="B89" s="11"/>
      <c r="C89" s="1"/>
      <c r="D89" s="2" t="s">
        <v>111</v>
      </c>
      <c r="E89" s="2"/>
      <c r="F89" s="33" t="s">
        <v>39</v>
      </c>
      <c r="G89" s="33" t="n">
        <v>1</v>
      </c>
      <c r="H89" s="33"/>
      <c r="I89" s="32" t="n">
        <v>5000</v>
      </c>
      <c r="J89" s="32" t="n">
        <v>0</v>
      </c>
      <c r="K89" s="35" t="n">
        <f aca="false">(G89*I89)+(G89*J89)</f>
        <v>5000</v>
      </c>
      <c r="L89" s="3"/>
      <c r="M89" s="45" t="s">
        <v>112</v>
      </c>
      <c r="N89" s="45"/>
      <c r="O89" s="45"/>
      <c r="P89" s="13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8" hidden="false" customHeight="false" outlineLevel="0" collapsed="false">
      <c r="A90" s="1"/>
      <c r="B90" s="11"/>
      <c r="C90" s="1"/>
      <c r="D90" s="2"/>
      <c r="E90" s="2"/>
      <c r="F90" s="33"/>
      <c r="G90" s="33"/>
      <c r="H90" s="33"/>
      <c r="I90" s="32"/>
      <c r="J90" s="32"/>
      <c r="K90" s="32"/>
      <c r="L90" s="3"/>
      <c r="M90" s="2"/>
      <c r="N90" s="2"/>
      <c r="O90" s="2"/>
      <c r="P90" s="13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8" hidden="false" customHeight="false" outlineLevel="0" collapsed="false">
      <c r="A91" s="12"/>
      <c r="B91" s="26"/>
      <c r="C91" s="12"/>
      <c r="D91" s="57" t="s">
        <v>113</v>
      </c>
      <c r="E91" s="57"/>
      <c r="F91" s="64"/>
      <c r="G91" s="64"/>
      <c r="H91" s="64"/>
      <c r="I91" s="58"/>
      <c r="J91" s="58"/>
      <c r="K91" s="65" t="n">
        <f aca="false">SUM(K93:K102)</f>
        <v>379900</v>
      </c>
      <c r="L91" s="30"/>
      <c r="M91" s="27"/>
      <c r="N91" s="27"/>
      <c r="O91" s="27"/>
      <c r="P91" s="31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2.8" hidden="false" customHeight="false" outlineLevel="0" collapsed="false">
      <c r="A92" s="1"/>
      <c r="B92" s="11"/>
      <c r="C92" s="1"/>
      <c r="D92" s="2"/>
      <c r="E92" s="2"/>
      <c r="F92" s="33"/>
      <c r="G92" s="33"/>
      <c r="H92" s="33"/>
      <c r="I92" s="3"/>
      <c r="J92" s="3"/>
      <c r="K92" s="32"/>
      <c r="L92" s="3"/>
      <c r="M92" s="2"/>
      <c r="N92" s="2"/>
      <c r="O92" s="2"/>
      <c r="P92" s="13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8" hidden="false" customHeight="true" outlineLevel="0" collapsed="false">
      <c r="A93" s="1"/>
      <c r="B93" s="11"/>
      <c r="C93" s="1"/>
      <c r="D93" s="2" t="s">
        <v>114</v>
      </c>
      <c r="E93" s="2"/>
      <c r="F93" s="33" t="s">
        <v>39</v>
      </c>
      <c r="G93" s="33" t="n">
        <v>1</v>
      </c>
      <c r="H93" s="33"/>
      <c r="I93" s="32" t="n">
        <v>35000</v>
      </c>
      <c r="J93" s="32" t="n">
        <v>0</v>
      </c>
      <c r="K93" s="35" t="n">
        <f aca="false">(G93*I93)+(G93*J93)</f>
        <v>35000</v>
      </c>
      <c r="L93" s="3"/>
      <c r="M93" s="45" t="s">
        <v>115</v>
      </c>
      <c r="N93" s="45"/>
      <c r="O93" s="45"/>
      <c r="P93" s="13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8" hidden="false" customHeight="true" outlineLevel="0" collapsed="false">
      <c r="A94" s="1"/>
      <c r="B94" s="11"/>
      <c r="C94" s="1"/>
      <c r="D94" s="2" t="s">
        <v>116</v>
      </c>
      <c r="E94" s="2"/>
      <c r="F94" s="33" t="s">
        <v>117</v>
      </c>
      <c r="G94" s="33" t="n">
        <v>6</v>
      </c>
      <c r="H94" s="33"/>
      <c r="I94" s="32" t="n">
        <v>0</v>
      </c>
      <c r="J94" s="32" t="n">
        <v>9500</v>
      </c>
      <c r="K94" s="35" t="n">
        <f aca="false">(G94*I94)+(G94*J94)</f>
        <v>57000</v>
      </c>
      <c r="L94" s="3"/>
      <c r="M94" s="45" t="s">
        <v>118</v>
      </c>
      <c r="N94" s="45"/>
      <c r="O94" s="45"/>
      <c r="P94" s="13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23.95" hidden="false" customHeight="true" outlineLevel="0" collapsed="false">
      <c r="A95" s="1"/>
      <c r="B95" s="11"/>
      <c r="C95" s="1"/>
      <c r="D95" s="2" t="s">
        <v>119</v>
      </c>
      <c r="E95" s="2"/>
      <c r="F95" s="33" t="s">
        <v>117</v>
      </c>
      <c r="G95" s="33" t="n">
        <v>6</v>
      </c>
      <c r="H95" s="33"/>
      <c r="I95" s="32" t="n">
        <v>0</v>
      </c>
      <c r="J95" s="32" t="n">
        <v>15000</v>
      </c>
      <c r="K95" s="35" t="n">
        <f aca="false">(G95*I95)+(G95*J95)</f>
        <v>90000</v>
      </c>
      <c r="L95" s="3"/>
      <c r="M95" s="45" t="s">
        <v>120</v>
      </c>
      <c r="N95" s="45"/>
      <c r="O95" s="45"/>
      <c r="P95" s="13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8" hidden="false" customHeight="false" outlineLevel="0" collapsed="false">
      <c r="A96" s="1"/>
      <c r="B96" s="11"/>
      <c r="C96" s="1"/>
      <c r="D96" s="2" t="s">
        <v>121</v>
      </c>
      <c r="E96" s="2"/>
      <c r="F96" s="33" t="s">
        <v>51</v>
      </c>
      <c r="G96" s="33" t="n">
        <v>170</v>
      </c>
      <c r="H96" s="33"/>
      <c r="I96" s="67" t="n">
        <v>70</v>
      </c>
      <c r="J96" s="67"/>
      <c r="K96" s="35" t="n">
        <f aca="false">(G96*I96)+(G96*J96)</f>
        <v>11900</v>
      </c>
      <c r="L96" s="3"/>
      <c r="M96" s="2"/>
      <c r="N96" s="2"/>
      <c r="O96" s="2"/>
      <c r="P96" s="13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8" hidden="false" customHeight="true" outlineLevel="0" collapsed="false">
      <c r="A97" s="1"/>
      <c r="B97" s="11"/>
      <c r="C97" s="1"/>
      <c r="D97" s="2" t="s">
        <v>122</v>
      </c>
      <c r="E97" s="2"/>
      <c r="F97" s="33" t="s">
        <v>39</v>
      </c>
      <c r="G97" s="33" t="n">
        <v>1</v>
      </c>
      <c r="H97" s="33"/>
      <c r="I97" s="67" t="n">
        <v>1500</v>
      </c>
      <c r="J97" s="67"/>
      <c r="K97" s="35" t="n">
        <f aca="false">(G97*I97)+(G97*J97)</f>
        <v>1500</v>
      </c>
      <c r="L97" s="3"/>
      <c r="M97" s="45" t="s">
        <v>115</v>
      </c>
      <c r="N97" s="45"/>
      <c r="O97" s="45"/>
      <c r="P97" s="13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8" hidden="false" customHeight="false" outlineLevel="0" collapsed="false">
      <c r="A98" s="1"/>
      <c r="B98" s="11"/>
      <c r="C98" s="1"/>
      <c r="D98" s="2" t="s">
        <v>123</v>
      </c>
      <c r="E98" s="2"/>
      <c r="F98" s="33" t="s">
        <v>39</v>
      </c>
      <c r="G98" s="33" t="n">
        <v>1</v>
      </c>
      <c r="H98" s="33"/>
      <c r="I98" s="32" t="n">
        <v>25000</v>
      </c>
      <c r="J98" s="32" t="n">
        <v>0</v>
      </c>
      <c r="K98" s="35" t="n">
        <f aca="false">(G98*I98)+(G98*J98)</f>
        <v>25000</v>
      </c>
      <c r="L98" s="3"/>
      <c r="M98" s="2"/>
      <c r="N98" s="2"/>
      <c r="O98" s="2"/>
      <c r="P98" s="13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8" hidden="false" customHeight="false" outlineLevel="0" collapsed="false">
      <c r="A99" s="1"/>
      <c r="B99" s="11"/>
      <c r="C99" s="1"/>
      <c r="D99" s="2" t="s">
        <v>124</v>
      </c>
      <c r="E99" s="2"/>
      <c r="F99" s="33" t="s">
        <v>39</v>
      </c>
      <c r="G99" s="33" t="n">
        <v>1</v>
      </c>
      <c r="H99" s="33"/>
      <c r="I99" s="32" t="n">
        <v>18000</v>
      </c>
      <c r="J99" s="32" t="n">
        <v>0</v>
      </c>
      <c r="K99" s="35" t="n">
        <f aca="false">(G99*I99)+(G99*J99)</f>
        <v>18000</v>
      </c>
      <c r="L99" s="3"/>
      <c r="M99" s="2"/>
      <c r="N99" s="2"/>
      <c r="O99" s="2"/>
      <c r="P99" s="13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8" hidden="false" customHeight="true" outlineLevel="0" collapsed="false">
      <c r="A100" s="1"/>
      <c r="B100" s="11"/>
      <c r="C100" s="1"/>
      <c r="D100" s="2" t="s">
        <v>125</v>
      </c>
      <c r="E100" s="2"/>
      <c r="F100" s="33" t="s">
        <v>39</v>
      </c>
      <c r="G100" s="33" t="n">
        <v>1</v>
      </c>
      <c r="H100" s="33"/>
      <c r="I100" s="67" t="n">
        <v>15000</v>
      </c>
      <c r="J100" s="67"/>
      <c r="K100" s="35" t="n">
        <f aca="false">(G100*I100)+(G100*J100)</f>
        <v>15000</v>
      </c>
      <c r="L100" s="3"/>
      <c r="M100" s="45" t="s">
        <v>126</v>
      </c>
      <c r="N100" s="45"/>
      <c r="O100" s="45"/>
      <c r="P100" s="13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8" hidden="false" customHeight="false" outlineLevel="0" collapsed="false">
      <c r="A101" s="1"/>
      <c r="B101" s="11"/>
      <c r="C101" s="1"/>
      <c r="D101" s="2" t="s">
        <v>127</v>
      </c>
      <c r="E101" s="2"/>
      <c r="F101" s="33" t="s">
        <v>39</v>
      </c>
      <c r="G101" s="33" t="n">
        <v>1</v>
      </c>
      <c r="H101" s="33"/>
      <c r="I101" s="67" t="n">
        <v>80000</v>
      </c>
      <c r="J101" s="67"/>
      <c r="K101" s="35" t="n">
        <f aca="false">(G101*I101)+(G101*J101)</f>
        <v>80000</v>
      </c>
      <c r="L101" s="3"/>
      <c r="M101" s="15"/>
      <c r="N101" s="15"/>
      <c r="O101" s="15"/>
      <c r="P101" s="13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8" hidden="false" customHeight="true" outlineLevel="0" collapsed="false">
      <c r="A102" s="1"/>
      <c r="B102" s="11"/>
      <c r="C102" s="1"/>
      <c r="D102" s="2" t="s">
        <v>128</v>
      </c>
      <c r="E102" s="2"/>
      <c r="F102" s="33" t="s">
        <v>39</v>
      </c>
      <c r="G102" s="33" t="n">
        <v>1</v>
      </c>
      <c r="H102" s="33"/>
      <c r="I102" s="32" t="n">
        <v>1500</v>
      </c>
      <c r="J102" s="32" t="n">
        <v>45000</v>
      </c>
      <c r="K102" s="35" t="n">
        <f aca="false">(G102*I102)+(G102*J102)</f>
        <v>46500</v>
      </c>
      <c r="L102" s="3"/>
      <c r="M102" s="45" t="s">
        <v>115</v>
      </c>
      <c r="N102" s="45"/>
      <c r="O102" s="45"/>
      <c r="P102" s="13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8" hidden="false" customHeight="false" outlineLevel="0" collapsed="false">
      <c r="A103" s="1"/>
      <c r="B103" s="11"/>
      <c r="C103" s="1"/>
      <c r="D103" s="2"/>
      <c r="E103" s="2"/>
      <c r="F103" s="33"/>
      <c r="G103" s="33"/>
      <c r="H103" s="33"/>
      <c r="I103" s="32"/>
      <c r="J103" s="32"/>
      <c r="K103" s="32"/>
      <c r="L103" s="3"/>
      <c r="M103" s="2"/>
      <c r="N103" s="2"/>
      <c r="O103" s="2"/>
      <c r="P103" s="13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8" hidden="false" customHeight="false" outlineLevel="0" collapsed="false">
      <c r="A104" s="12"/>
      <c r="B104" s="26"/>
      <c r="C104" s="12"/>
      <c r="D104" s="57" t="s">
        <v>129</v>
      </c>
      <c r="E104" s="57"/>
      <c r="F104" s="64"/>
      <c r="G104" s="64"/>
      <c r="H104" s="64"/>
      <c r="I104" s="58"/>
      <c r="J104" s="58"/>
      <c r="K104" s="65" t="n">
        <f aca="false">SUM(K106:K113)</f>
        <v>68835</v>
      </c>
      <c r="L104" s="30"/>
      <c r="M104" s="27"/>
      <c r="N104" s="27"/>
      <c r="O104" s="27"/>
      <c r="P104" s="31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2.8" hidden="false" customHeight="false" outlineLevel="0" collapsed="false">
      <c r="A105" s="1"/>
      <c r="B105" s="11"/>
      <c r="C105" s="1"/>
      <c r="D105" s="2"/>
      <c r="E105" s="2"/>
      <c r="F105" s="33"/>
      <c r="G105" s="33"/>
      <c r="H105" s="33"/>
      <c r="I105" s="3"/>
      <c r="J105" s="3"/>
      <c r="K105" s="3"/>
      <c r="L105" s="3"/>
      <c r="M105" s="2"/>
      <c r="N105" s="2"/>
      <c r="O105" s="2"/>
      <c r="P105" s="13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8" hidden="false" customHeight="true" outlineLevel="0" collapsed="false">
      <c r="A106" s="1"/>
      <c r="B106" s="11"/>
      <c r="C106" s="1"/>
      <c r="D106" s="2" t="s">
        <v>130</v>
      </c>
      <c r="E106" s="2"/>
      <c r="F106" s="33" t="s">
        <v>42</v>
      </c>
      <c r="G106" s="33" t="n">
        <f aca="false">20*65</f>
        <v>1300</v>
      </c>
      <c r="H106" s="33"/>
      <c r="I106" s="67" t="n">
        <v>2.5</v>
      </c>
      <c r="J106" s="67"/>
      <c r="K106" s="35" t="n">
        <f aca="false">(G106*I106)+(G106*J106)</f>
        <v>3250</v>
      </c>
      <c r="L106" s="3"/>
      <c r="M106" s="45" t="s">
        <v>131</v>
      </c>
      <c r="N106" s="45"/>
      <c r="O106" s="45"/>
      <c r="P106" s="13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8" hidden="false" customHeight="true" outlineLevel="0" collapsed="false">
      <c r="A107" s="1"/>
      <c r="B107" s="11"/>
      <c r="C107" s="1"/>
      <c r="D107" s="2" t="s">
        <v>132</v>
      </c>
      <c r="E107" s="2"/>
      <c r="F107" s="33" t="s">
        <v>42</v>
      </c>
      <c r="G107" s="33" t="n">
        <f aca="false">20*65</f>
        <v>1300</v>
      </c>
      <c r="H107" s="33"/>
      <c r="I107" s="67" t="n">
        <v>7</v>
      </c>
      <c r="J107" s="67"/>
      <c r="K107" s="35" t="n">
        <f aca="false">(G107*I107)+(G107*J107)</f>
        <v>9100</v>
      </c>
      <c r="L107" s="3"/>
      <c r="M107" s="45" t="s">
        <v>131</v>
      </c>
      <c r="N107" s="45"/>
      <c r="O107" s="45"/>
      <c r="P107" s="13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8" hidden="false" customHeight="true" outlineLevel="0" collapsed="false">
      <c r="A108" s="1"/>
      <c r="B108" s="11"/>
      <c r="C108" s="1"/>
      <c r="D108" s="2" t="s">
        <v>133</v>
      </c>
      <c r="E108" s="2"/>
      <c r="F108" s="33" t="s">
        <v>42</v>
      </c>
      <c r="G108" s="33" t="n">
        <f aca="false">20*65</f>
        <v>1300</v>
      </c>
      <c r="H108" s="33"/>
      <c r="I108" s="67" t="n">
        <v>9.5</v>
      </c>
      <c r="J108" s="67"/>
      <c r="K108" s="35" t="n">
        <f aca="false">(G108*I108)+(G108*J108)</f>
        <v>12350</v>
      </c>
      <c r="L108" s="3"/>
      <c r="M108" s="45" t="s">
        <v>131</v>
      </c>
      <c r="N108" s="45"/>
      <c r="O108" s="45"/>
      <c r="P108" s="13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8" hidden="false" customHeight="true" outlineLevel="0" collapsed="false">
      <c r="A109" s="1"/>
      <c r="B109" s="11"/>
      <c r="C109" s="1"/>
      <c r="D109" s="2" t="s">
        <v>134</v>
      </c>
      <c r="E109" s="2"/>
      <c r="F109" s="33" t="s">
        <v>135</v>
      </c>
      <c r="G109" s="33" t="n">
        <v>0</v>
      </c>
      <c r="H109" s="33"/>
      <c r="I109" s="67" t="n">
        <v>10</v>
      </c>
      <c r="J109" s="67"/>
      <c r="K109" s="35" t="n">
        <f aca="false">(G109*I109)+(G109*J109)</f>
        <v>0</v>
      </c>
      <c r="L109" s="3"/>
      <c r="M109" s="45" t="s">
        <v>131</v>
      </c>
      <c r="N109" s="45"/>
      <c r="O109" s="45"/>
      <c r="P109" s="13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8" hidden="false" customHeight="false" outlineLevel="0" collapsed="false">
      <c r="A110" s="1"/>
      <c r="B110" s="11"/>
      <c r="C110" s="1"/>
      <c r="D110" s="2" t="s">
        <v>136</v>
      </c>
      <c r="E110" s="2"/>
      <c r="F110" s="33" t="s">
        <v>42</v>
      </c>
      <c r="G110" s="33" t="str">
        <f aca="false">65*5+15*5</f>
        <v>400</v>
      </c>
      <c r="H110" s="33"/>
      <c r="I110" s="67" t="n">
        <v>85</v>
      </c>
      <c r="J110" s="67"/>
      <c r="K110" s="35" t="n">
        <f aca="false">(G110*I110)+(G110*J110)</f>
        <v>34000</v>
      </c>
      <c r="L110" s="3"/>
      <c r="M110" s="2"/>
      <c r="N110" s="2"/>
      <c r="O110" s="2"/>
      <c r="P110" s="13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8" hidden="false" customHeight="false" outlineLevel="0" collapsed="false">
      <c r="A111" s="1"/>
      <c r="B111" s="11"/>
      <c r="C111" s="1"/>
      <c r="D111" s="2" t="s">
        <v>137</v>
      </c>
      <c r="E111" s="2"/>
      <c r="F111" s="33" t="s">
        <v>42</v>
      </c>
      <c r="G111" s="33" t="n">
        <v>0</v>
      </c>
      <c r="H111" s="33"/>
      <c r="I111" s="67" t="n">
        <v>70</v>
      </c>
      <c r="J111" s="67"/>
      <c r="K111" s="35" t="n">
        <f aca="false">(G111*I111)+(G111*J111)</f>
        <v>0</v>
      </c>
      <c r="L111" s="3"/>
      <c r="M111" s="2"/>
      <c r="N111" s="2"/>
      <c r="O111" s="2"/>
      <c r="P111" s="13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8" hidden="false" customHeight="false" outlineLevel="0" collapsed="false">
      <c r="A112" s="1"/>
      <c r="B112" s="11"/>
      <c r="C112" s="1"/>
      <c r="D112" s="2" t="s">
        <v>138</v>
      </c>
      <c r="E112" s="2"/>
      <c r="F112" s="33" t="s">
        <v>51</v>
      </c>
      <c r="G112" s="33" t="str">
        <f aca="false">65+5+60+15+5+20</f>
        <v>170</v>
      </c>
      <c r="H112" s="33"/>
      <c r="I112" s="67" t="n">
        <v>38</v>
      </c>
      <c r="J112" s="67"/>
      <c r="K112" s="35" t="n">
        <f aca="false">(G112*I112)+(G112*J112)</f>
        <v>6460</v>
      </c>
      <c r="L112" s="3"/>
      <c r="M112" s="2"/>
      <c r="N112" s="2"/>
      <c r="O112" s="2"/>
      <c r="P112" s="13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8" hidden="false" customHeight="false" outlineLevel="0" collapsed="false">
      <c r="A113" s="1"/>
      <c r="B113" s="11"/>
      <c r="C113" s="1"/>
      <c r="D113" s="2" t="s">
        <v>139</v>
      </c>
      <c r="E113" s="2"/>
      <c r="F113" s="33" t="s">
        <v>42</v>
      </c>
      <c r="G113" s="33" t="str">
        <f aca="false">15*5+55*5</f>
        <v>350</v>
      </c>
      <c r="H113" s="33"/>
      <c r="I113" s="67" t="n">
        <v>10.5</v>
      </c>
      <c r="J113" s="67"/>
      <c r="K113" s="35" t="n">
        <f aca="false">(G113*I113)+(G113*J113)</f>
        <v>3675</v>
      </c>
      <c r="L113" s="3"/>
      <c r="M113" s="2"/>
      <c r="N113" s="2"/>
      <c r="O113" s="2"/>
      <c r="P113" s="13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8" hidden="false" customHeight="false" outlineLevel="0" collapsed="false">
      <c r="A114" s="1"/>
      <c r="B114" s="11"/>
      <c r="C114" s="1"/>
      <c r="D114" s="2"/>
      <c r="E114" s="2"/>
      <c r="F114" s="33"/>
      <c r="G114" s="33"/>
      <c r="H114" s="33"/>
      <c r="I114" s="32"/>
      <c r="J114" s="32"/>
      <c r="K114" s="32"/>
      <c r="L114" s="3"/>
      <c r="M114" s="2"/>
      <c r="N114" s="2"/>
      <c r="O114" s="2"/>
      <c r="P114" s="13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8" hidden="false" customHeight="false" outlineLevel="0" collapsed="false">
      <c r="A115" s="1"/>
      <c r="B115" s="11"/>
      <c r="C115" s="1"/>
      <c r="D115" s="2"/>
      <c r="E115" s="2"/>
      <c r="F115" s="33"/>
      <c r="G115" s="33"/>
      <c r="H115" s="33"/>
      <c r="I115" s="32"/>
      <c r="J115" s="32"/>
      <c r="K115" s="32"/>
      <c r="L115" s="3"/>
      <c r="M115" s="2"/>
      <c r="N115" s="2"/>
      <c r="O115" s="2"/>
      <c r="P115" s="13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6.15" hidden="false" customHeight="false" outlineLevel="0" collapsed="false">
      <c r="A116" s="12"/>
      <c r="B116" s="26"/>
      <c r="C116" s="46" t="s">
        <v>17</v>
      </c>
      <c r="D116" s="48"/>
      <c r="E116" s="48"/>
      <c r="F116" s="28"/>
      <c r="G116" s="28"/>
      <c r="H116" s="28"/>
      <c r="I116" s="29"/>
      <c r="J116" s="29"/>
      <c r="K116" s="50" t="n">
        <f aca="false">SUM(K117:K120)</f>
        <v>1470000</v>
      </c>
      <c r="L116" s="30"/>
      <c r="M116" s="63" t="s">
        <v>91</v>
      </c>
      <c r="N116" s="27"/>
      <c r="O116" s="27"/>
      <c r="P116" s="31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2.8" hidden="false" customHeight="false" outlineLevel="0" collapsed="false">
      <c r="A117" s="1"/>
      <c r="B117" s="11"/>
      <c r="C117" s="1"/>
      <c r="D117" s="2"/>
      <c r="E117" s="2"/>
      <c r="F117" s="33"/>
      <c r="G117" s="33"/>
      <c r="H117" s="33"/>
      <c r="I117" s="32"/>
      <c r="J117" s="32"/>
      <c r="K117" s="32"/>
      <c r="L117" s="3"/>
      <c r="M117" s="2"/>
      <c r="N117" s="2"/>
      <c r="O117" s="2"/>
      <c r="P117" s="13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8" hidden="false" customHeight="true" outlineLevel="0" collapsed="false">
      <c r="A118" s="1"/>
      <c r="B118" s="11"/>
      <c r="C118" s="1"/>
      <c r="D118" s="2" t="s">
        <v>140</v>
      </c>
      <c r="E118" s="2"/>
      <c r="F118" s="33" t="s">
        <v>39</v>
      </c>
      <c r="G118" s="33" t="n">
        <v>1</v>
      </c>
      <c r="H118" s="33"/>
      <c r="I118" s="69" t="n">
        <f aca="false">K44</f>
        <v>970000</v>
      </c>
      <c r="J118" s="69"/>
      <c r="K118" s="35" t="n">
        <f aca="false">(G118*I118)+(G118*J118)</f>
        <v>970000</v>
      </c>
      <c r="L118" s="3"/>
      <c r="M118" s="45" t="s">
        <v>141</v>
      </c>
      <c r="N118" s="45"/>
      <c r="O118" s="45"/>
      <c r="P118" s="13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8" hidden="false" customHeight="true" outlineLevel="0" collapsed="false">
      <c r="A119" s="1"/>
      <c r="B119" s="11"/>
      <c r="C119" s="1"/>
      <c r="D119" s="2" t="s">
        <v>142</v>
      </c>
      <c r="E119" s="2"/>
      <c r="F119" s="33" t="s">
        <v>42</v>
      </c>
      <c r="G119" s="33" t="n">
        <v>2000</v>
      </c>
      <c r="H119" s="33"/>
      <c r="I119" s="69" t="n">
        <f aca="false">K45</f>
        <v>75</v>
      </c>
      <c r="J119" s="69"/>
      <c r="K119" s="35" t="n">
        <f aca="false">G119*I119</f>
        <v>150000</v>
      </c>
      <c r="L119" s="3"/>
      <c r="M119" s="45" t="s">
        <v>141</v>
      </c>
      <c r="N119" s="45"/>
      <c r="O119" s="45"/>
      <c r="P119" s="13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8" hidden="false" customHeight="true" outlineLevel="0" collapsed="false">
      <c r="A120" s="1"/>
      <c r="B120" s="11"/>
      <c r="C120" s="1"/>
      <c r="D120" s="2" t="s">
        <v>143</v>
      </c>
      <c r="E120" s="2"/>
      <c r="F120" s="33" t="s">
        <v>39</v>
      </c>
      <c r="G120" s="33" t="n">
        <v>1</v>
      </c>
      <c r="H120" s="33"/>
      <c r="I120" s="67" t="n">
        <v>350000</v>
      </c>
      <c r="J120" s="67"/>
      <c r="K120" s="35" t="n">
        <f aca="false">G120*I120</f>
        <v>350000</v>
      </c>
      <c r="L120" s="3"/>
      <c r="M120" s="45" t="s">
        <v>144</v>
      </c>
      <c r="N120" s="45"/>
      <c r="O120" s="45"/>
      <c r="P120" s="13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8" hidden="false" customHeight="false" outlineLevel="0" collapsed="false">
      <c r="A121" s="1"/>
      <c r="B121" s="11"/>
      <c r="C121" s="1"/>
      <c r="D121" s="2"/>
      <c r="E121" s="2"/>
      <c r="F121" s="33"/>
      <c r="G121" s="33"/>
      <c r="H121" s="33"/>
      <c r="I121" s="32"/>
      <c r="J121" s="32"/>
      <c r="K121" s="32"/>
      <c r="L121" s="3"/>
      <c r="M121" s="2"/>
      <c r="N121" s="2"/>
      <c r="O121" s="2"/>
      <c r="P121" s="13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8" hidden="false" customHeight="false" outlineLevel="0" collapsed="false">
      <c r="A122" s="1"/>
      <c r="B122" s="11"/>
      <c r="C122" s="1"/>
      <c r="D122" s="2"/>
      <c r="E122" s="2"/>
      <c r="F122" s="33"/>
      <c r="G122" s="33"/>
      <c r="H122" s="33"/>
      <c r="I122" s="32"/>
      <c r="J122" s="32"/>
      <c r="K122" s="32"/>
      <c r="L122" s="3"/>
      <c r="M122" s="2"/>
      <c r="N122" s="2"/>
      <c r="O122" s="2"/>
      <c r="P122" s="13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6.15" hidden="false" customHeight="false" outlineLevel="0" collapsed="false">
      <c r="A123" s="12"/>
      <c r="B123" s="26"/>
      <c r="C123" s="46" t="s">
        <v>18</v>
      </c>
      <c r="D123" s="48"/>
      <c r="E123" s="48"/>
      <c r="F123" s="28"/>
      <c r="G123" s="28"/>
      <c r="H123" s="28"/>
      <c r="I123" s="29"/>
      <c r="J123" s="29"/>
      <c r="K123" s="50" t="n">
        <f aca="false">K125+K140+K155+K167</f>
        <v>199242.66</v>
      </c>
      <c r="L123" s="30"/>
      <c r="M123" s="63" t="s">
        <v>91</v>
      </c>
      <c r="N123" s="27"/>
      <c r="O123" s="27"/>
      <c r="P123" s="31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2.8" hidden="false" customHeight="false" outlineLevel="0" collapsed="false">
      <c r="A124" s="1"/>
      <c r="B124" s="11"/>
      <c r="C124" s="1"/>
      <c r="D124" s="2"/>
      <c r="E124" s="2"/>
      <c r="F124" s="33"/>
      <c r="G124" s="33"/>
      <c r="H124" s="33"/>
      <c r="I124" s="32"/>
      <c r="J124" s="32"/>
      <c r="K124" s="32"/>
      <c r="L124" s="3"/>
      <c r="M124" s="2"/>
      <c r="N124" s="2"/>
      <c r="O124" s="2"/>
      <c r="P124" s="13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8" hidden="false" customHeight="false" outlineLevel="0" collapsed="false">
      <c r="A125" s="12"/>
      <c r="B125" s="26"/>
      <c r="C125" s="12"/>
      <c r="D125" s="57" t="s">
        <v>145</v>
      </c>
      <c r="E125" s="57"/>
      <c r="F125" s="64"/>
      <c r="G125" s="64"/>
      <c r="H125" s="64"/>
      <c r="I125" s="70"/>
      <c r="J125" s="70"/>
      <c r="K125" s="65" t="n">
        <f aca="false">SUM(K127:K138)</f>
        <v>45622.23</v>
      </c>
      <c r="L125" s="30"/>
      <c r="M125" s="27"/>
      <c r="N125" s="27"/>
      <c r="O125" s="27"/>
      <c r="P125" s="31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2.8" hidden="false" customHeight="false" outlineLevel="0" collapsed="false">
      <c r="A126" s="1"/>
      <c r="B126" s="11"/>
      <c r="C126" s="1"/>
      <c r="D126" s="2"/>
      <c r="E126" s="2"/>
      <c r="F126" s="33"/>
      <c r="G126" s="33"/>
      <c r="H126" s="33"/>
      <c r="I126" s="32"/>
      <c r="J126" s="32"/>
      <c r="K126" s="32"/>
      <c r="L126" s="3"/>
      <c r="M126" s="2"/>
      <c r="N126" s="2"/>
      <c r="O126" s="2"/>
      <c r="P126" s="13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8" hidden="false" customHeight="true" outlineLevel="0" collapsed="false">
      <c r="A127" s="1"/>
      <c r="B127" s="11"/>
      <c r="C127" s="1"/>
      <c r="D127" s="2" t="s">
        <v>146</v>
      </c>
      <c r="E127" s="2"/>
      <c r="F127" s="33" t="s">
        <v>39</v>
      </c>
      <c r="G127" s="33" t="n">
        <v>1</v>
      </c>
      <c r="H127" s="33"/>
      <c r="I127" s="67" t="n">
        <v>424.41</v>
      </c>
      <c r="J127" s="67"/>
      <c r="K127" s="35" t="n">
        <f aca="false">(G127*I127)+(G127*J127)</f>
        <v>424.41</v>
      </c>
      <c r="L127" s="3"/>
      <c r="M127" s="45" t="s">
        <v>147</v>
      </c>
      <c r="N127" s="45"/>
      <c r="O127" s="45"/>
      <c r="P127" s="13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8" hidden="false" customHeight="false" outlineLevel="0" collapsed="false">
      <c r="A128" s="1"/>
      <c r="B128" s="11"/>
      <c r="C128" s="1"/>
      <c r="D128" s="2" t="s">
        <v>148</v>
      </c>
      <c r="E128" s="2"/>
      <c r="F128" s="33" t="s">
        <v>39</v>
      </c>
      <c r="G128" s="33" t="n">
        <v>1</v>
      </c>
      <c r="H128" s="33"/>
      <c r="I128" s="67" t="n">
        <v>500</v>
      </c>
      <c r="J128" s="67"/>
      <c r="K128" s="35" t="n">
        <f aca="false">(G128*I128)+(G128*J128)</f>
        <v>500</v>
      </c>
      <c r="L128" s="3"/>
      <c r="M128" s="2" t="s">
        <v>149</v>
      </c>
      <c r="N128" s="2"/>
      <c r="O128" s="2"/>
      <c r="P128" s="13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8" hidden="false" customHeight="true" outlineLevel="0" collapsed="false">
      <c r="A129" s="1"/>
      <c r="B129" s="11"/>
      <c r="C129" s="1"/>
      <c r="D129" s="2" t="s">
        <v>150</v>
      </c>
      <c r="E129" s="2"/>
      <c r="F129" s="33" t="s">
        <v>39</v>
      </c>
      <c r="G129" s="33" t="n">
        <v>1</v>
      </c>
      <c r="H129" s="33"/>
      <c r="I129" s="67" t="n">
        <v>568.1</v>
      </c>
      <c r="J129" s="67"/>
      <c r="K129" s="35" t="n">
        <f aca="false">(G129*I129)+(G129*J129)</f>
        <v>568.1</v>
      </c>
      <c r="L129" s="3"/>
      <c r="M129" s="45" t="s">
        <v>151</v>
      </c>
      <c r="N129" s="45"/>
      <c r="O129" s="45"/>
      <c r="P129" s="13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8" hidden="false" customHeight="true" outlineLevel="0" collapsed="false">
      <c r="A130" s="1"/>
      <c r="B130" s="11"/>
      <c r="C130" s="1"/>
      <c r="D130" s="2" t="s">
        <v>152</v>
      </c>
      <c r="E130" s="2"/>
      <c r="F130" s="33" t="s">
        <v>39</v>
      </c>
      <c r="G130" s="33" t="n">
        <v>1</v>
      </c>
      <c r="H130" s="33"/>
      <c r="I130" s="69" t="n">
        <f aca="false">I129</f>
        <v>568.1</v>
      </c>
      <c r="J130" s="69"/>
      <c r="K130" s="35" t="n">
        <f aca="false">(G130*I130)+(G130*J130)</f>
        <v>568.1</v>
      </c>
      <c r="L130" s="3"/>
      <c r="M130" s="45" t="s">
        <v>153</v>
      </c>
      <c r="N130" s="45"/>
      <c r="O130" s="45"/>
      <c r="P130" s="13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8" hidden="false" customHeight="false" outlineLevel="0" collapsed="false">
      <c r="A131" s="1"/>
      <c r="B131" s="11"/>
      <c r="C131" s="1"/>
      <c r="D131" s="2" t="s">
        <v>154</v>
      </c>
      <c r="E131" s="2"/>
      <c r="F131" s="33" t="s">
        <v>39</v>
      </c>
      <c r="G131" s="33" t="n">
        <v>1</v>
      </c>
      <c r="H131" s="33"/>
      <c r="I131" s="67" t="n">
        <v>768.24</v>
      </c>
      <c r="J131" s="67"/>
      <c r="K131" s="35" t="n">
        <f aca="false">(G131*I131)+(G131*J131)</f>
        <v>768.24</v>
      </c>
      <c r="L131" s="3"/>
      <c r="M131" s="2" t="s">
        <v>155</v>
      </c>
      <c r="N131" s="2"/>
      <c r="O131" s="2"/>
      <c r="P131" s="13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8" hidden="false" customHeight="true" outlineLevel="0" collapsed="false">
      <c r="A132" s="1"/>
      <c r="B132" s="11"/>
      <c r="C132" s="1"/>
      <c r="D132" s="2" t="s">
        <v>156</v>
      </c>
      <c r="E132" s="2"/>
      <c r="F132" s="33" t="s">
        <v>39</v>
      </c>
      <c r="G132" s="33" t="n">
        <v>1</v>
      </c>
      <c r="H132" s="33"/>
      <c r="I132" s="67" t="n">
        <v>5390.9</v>
      </c>
      <c r="J132" s="67"/>
      <c r="K132" s="35" t="n">
        <f aca="false">(G132*I132)+(G132*J132)</f>
        <v>5390.9</v>
      </c>
      <c r="L132" s="3"/>
      <c r="M132" s="45" t="s">
        <v>157</v>
      </c>
      <c r="N132" s="45"/>
      <c r="O132" s="45"/>
      <c r="P132" s="13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8" hidden="false" customHeight="true" outlineLevel="0" collapsed="false">
      <c r="A133" s="1"/>
      <c r="B133" s="11"/>
      <c r="C133" s="1"/>
      <c r="D133" s="2" t="s">
        <v>158</v>
      </c>
      <c r="E133" s="2"/>
      <c r="F133" s="33" t="s">
        <v>39</v>
      </c>
      <c r="G133" s="33" t="n">
        <v>1</v>
      </c>
      <c r="H133" s="32"/>
      <c r="I133" s="67" t="n">
        <v>906.92</v>
      </c>
      <c r="J133" s="67"/>
      <c r="K133" s="35" t="str">
        <f aca="false">(G133*H133)+(G133*I133)</f>
        <v>R$ 906.92</v>
      </c>
      <c r="L133" s="3"/>
      <c r="M133" s="45" t="s">
        <v>159</v>
      </c>
      <c r="N133" s="45"/>
      <c r="O133" s="45"/>
      <c r="P133" s="13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8" hidden="false" customHeight="true" outlineLevel="0" collapsed="false">
      <c r="A134" s="1"/>
      <c r="B134" s="11"/>
      <c r="C134" s="1"/>
      <c r="D134" s="2" t="s">
        <v>160</v>
      </c>
      <c r="E134" s="2"/>
      <c r="F134" s="33" t="s">
        <v>39</v>
      </c>
      <c r="G134" s="33" t="n">
        <v>4</v>
      </c>
      <c r="H134" s="71"/>
      <c r="I134" s="67" t="n">
        <v>4427.26</v>
      </c>
      <c r="J134" s="67"/>
      <c r="K134" s="35" t="n">
        <f aca="false">(G134*I134)+(G134*J134)</f>
        <v>17709.04</v>
      </c>
      <c r="L134" s="3"/>
      <c r="M134" s="45" t="s">
        <v>161</v>
      </c>
      <c r="N134" s="45"/>
      <c r="O134" s="45"/>
      <c r="P134" s="13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8" hidden="false" customHeight="true" outlineLevel="0" collapsed="false">
      <c r="A135" s="1"/>
      <c r="B135" s="11"/>
      <c r="C135" s="1"/>
      <c r="D135" s="2" t="s">
        <v>162</v>
      </c>
      <c r="E135" s="2"/>
      <c r="F135" s="33" t="s">
        <v>39</v>
      </c>
      <c r="G135" s="33" t="n">
        <v>1</v>
      </c>
      <c r="H135" s="71"/>
      <c r="I135" s="67" t="n">
        <f aca="false">1207.94+304.83</f>
        <v>1512.77</v>
      </c>
      <c r="J135" s="67"/>
      <c r="K135" s="35" t="n">
        <f aca="false">(G135*I135)+(G135*J135)</f>
        <v>1512.77</v>
      </c>
      <c r="L135" s="3"/>
      <c r="M135" s="45" t="s">
        <v>163</v>
      </c>
      <c r="N135" s="45"/>
      <c r="O135" s="45"/>
      <c r="P135" s="13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8" hidden="false" customHeight="false" outlineLevel="0" collapsed="false">
      <c r="A136" s="1"/>
      <c r="B136" s="11"/>
      <c r="C136" s="1"/>
      <c r="D136" s="2" t="s">
        <v>164</v>
      </c>
      <c r="E136" s="2"/>
      <c r="F136" s="33" t="s">
        <v>39</v>
      </c>
      <c r="G136" s="33" t="n">
        <v>1</v>
      </c>
      <c r="H136" s="33"/>
      <c r="I136" s="67" t="n">
        <v>6436.63</v>
      </c>
      <c r="J136" s="67"/>
      <c r="K136" s="35" t="n">
        <f aca="false">(G136*I136)+(G136*J136)</f>
        <v>6436.63</v>
      </c>
      <c r="L136" s="3"/>
      <c r="M136" s="2" t="s">
        <v>165</v>
      </c>
      <c r="N136" s="2"/>
      <c r="O136" s="2"/>
      <c r="P136" s="13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8" hidden="false" customHeight="false" outlineLevel="0" collapsed="false">
      <c r="A137" s="1"/>
      <c r="B137" s="11"/>
      <c r="C137" s="1"/>
      <c r="D137" s="2" t="s">
        <v>166</v>
      </c>
      <c r="E137" s="2"/>
      <c r="F137" s="33" t="s">
        <v>39</v>
      </c>
      <c r="G137" s="71" t="str">
        <f aca="false">G23+G24</f>
        <v>33</v>
      </c>
      <c r="H137" s="71"/>
      <c r="I137" s="67" t="n">
        <v>105.88</v>
      </c>
      <c r="J137" s="67"/>
      <c r="K137" s="35" t="n">
        <f aca="false">(G137*I137)+(G137*J137)</f>
        <v>3494.04</v>
      </c>
      <c r="L137" s="3"/>
      <c r="M137" s="2" t="s">
        <v>167</v>
      </c>
      <c r="N137" s="2"/>
      <c r="O137" s="2"/>
      <c r="P137" s="13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8" hidden="false" customHeight="true" outlineLevel="0" collapsed="false">
      <c r="A138" s="1"/>
      <c r="B138" s="11"/>
      <c r="C138" s="1"/>
      <c r="D138" s="2" t="s">
        <v>168</v>
      </c>
      <c r="E138" s="2"/>
      <c r="F138" s="33" t="s">
        <v>39</v>
      </c>
      <c r="G138" s="71" t="str">
        <f aca="false">G23+G24</f>
        <v>33</v>
      </c>
      <c r="H138" s="71"/>
      <c r="I138" s="67" t="n">
        <v>250</v>
      </c>
      <c r="J138" s="67"/>
      <c r="K138" s="35" t="n">
        <f aca="false">(G138*I138)+(G138*J138)</f>
        <v>8250</v>
      </c>
      <c r="L138" s="3"/>
      <c r="M138" s="39" t="s">
        <v>169</v>
      </c>
      <c r="N138" s="39"/>
      <c r="O138" s="39"/>
      <c r="P138" s="13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8" hidden="false" customHeight="false" outlineLevel="0" collapsed="false">
      <c r="A139" s="1"/>
      <c r="B139" s="11"/>
      <c r="C139" s="1"/>
      <c r="D139" s="2"/>
      <c r="E139" s="2"/>
      <c r="F139" s="33"/>
      <c r="G139" s="71"/>
      <c r="H139" s="71"/>
      <c r="I139" s="32"/>
      <c r="J139" s="32"/>
      <c r="K139" s="35"/>
      <c r="L139" s="3"/>
      <c r="M139" s="2"/>
      <c r="N139" s="2"/>
      <c r="O139" s="2"/>
      <c r="P139" s="13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8" hidden="false" customHeight="false" outlineLevel="0" collapsed="false">
      <c r="A140" s="12"/>
      <c r="B140" s="26"/>
      <c r="C140" s="12"/>
      <c r="D140" s="57" t="s">
        <v>170</v>
      </c>
      <c r="E140" s="57"/>
      <c r="F140" s="64"/>
      <c r="G140" s="72"/>
      <c r="H140" s="72"/>
      <c r="I140" s="70"/>
      <c r="J140" s="70"/>
      <c r="K140" s="65" t="n">
        <f aca="false">SUM(K142:K153)</f>
        <v>91251.08</v>
      </c>
      <c r="L140" s="30"/>
      <c r="M140" s="27"/>
      <c r="N140" s="27"/>
      <c r="O140" s="27"/>
      <c r="P140" s="31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2.8" hidden="false" customHeight="false" outlineLevel="0" collapsed="false">
      <c r="A141" s="1"/>
      <c r="B141" s="11"/>
      <c r="C141" s="1"/>
      <c r="D141" s="2"/>
      <c r="E141" s="2"/>
      <c r="F141" s="33"/>
      <c r="G141" s="71"/>
      <c r="H141" s="71"/>
      <c r="I141" s="3"/>
      <c r="J141" s="3"/>
      <c r="K141" s="73"/>
      <c r="L141" s="3"/>
      <c r="M141" s="2"/>
      <c r="N141" s="2"/>
      <c r="O141" s="2"/>
      <c r="P141" s="13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8" hidden="false" customHeight="true" outlineLevel="0" collapsed="false">
      <c r="A142" s="1"/>
      <c r="B142" s="11"/>
      <c r="C142" s="1"/>
      <c r="D142" s="2" t="s">
        <v>171</v>
      </c>
      <c r="E142" s="2"/>
      <c r="F142" s="33" t="s">
        <v>135</v>
      </c>
      <c r="G142" s="33" t="n">
        <v>100</v>
      </c>
      <c r="H142" s="33"/>
      <c r="I142" s="67" t="n">
        <f aca="false">20+20+40</f>
        <v>80</v>
      </c>
      <c r="J142" s="67"/>
      <c r="K142" s="35" t="n">
        <f aca="false">(G142*I142)+(G142*J142)</f>
        <v>8000</v>
      </c>
      <c r="L142" s="3"/>
      <c r="M142" s="45" t="s">
        <v>172</v>
      </c>
      <c r="N142" s="45"/>
      <c r="O142" s="45"/>
      <c r="P142" s="13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8" hidden="false" customHeight="true" outlineLevel="0" collapsed="false">
      <c r="A143" s="1"/>
      <c r="B143" s="11"/>
      <c r="C143" s="1"/>
      <c r="D143" s="2" t="s">
        <v>173</v>
      </c>
      <c r="E143" s="2"/>
      <c r="F143" s="33" t="s">
        <v>39</v>
      </c>
      <c r="G143" s="33" t="n">
        <v>2</v>
      </c>
      <c r="H143" s="33"/>
      <c r="I143" s="67" t="n">
        <f aca="false">3665/2</f>
        <v>1832.5</v>
      </c>
      <c r="J143" s="67"/>
      <c r="K143" s="35" t="n">
        <f aca="false">(G143*I143)+(G143*J143)</f>
        <v>3665</v>
      </c>
      <c r="L143" s="3"/>
      <c r="M143" s="45" t="s">
        <v>174</v>
      </c>
      <c r="N143" s="45"/>
      <c r="O143" s="45"/>
      <c r="P143" s="13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8" hidden="false" customHeight="true" outlineLevel="0" collapsed="false">
      <c r="A144" s="1"/>
      <c r="B144" s="11"/>
      <c r="C144" s="1"/>
      <c r="D144" s="2" t="s">
        <v>175</v>
      </c>
      <c r="E144" s="2"/>
      <c r="F144" s="33" t="s">
        <v>39</v>
      </c>
      <c r="G144" s="33" t="n">
        <v>1</v>
      </c>
      <c r="H144" s="33"/>
      <c r="I144" s="67" t="n">
        <v>2535.25</v>
      </c>
      <c r="J144" s="67"/>
      <c r="K144" s="35" t="n">
        <f aca="false">(G144*I144)+(G144*J144)</f>
        <v>2535.25</v>
      </c>
      <c r="L144" s="3"/>
      <c r="M144" s="45" t="s">
        <v>176</v>
      </c>
      <c r="N144" s="45"/>
      <c r="O144" s="45"/>
      <c r="P144" s="13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8" hidden="false" customHeight="true" outlineLevel="0" collapsed="false">
      <c r="A145" s="1"/>
      <c r="B145" s="11"/>
      <c r="C145" s="1"/>
      <c r="D145" s="2" t="s">
        <v>177</v>
      </c>
      <c r="E145" s="2"/>
      <c r="F145" s="33" t="s">
        <v>39</v>
      </c>
      <c r="G145" s="33" t="n">
        <v>18</v>
      </c>
      <c r="H145" s="33"/>
      <c r="I145" s="67" t="n">
        <v>203.76</v>
      </c>
      <c r="J145" s="67"/>
      <c r="K145" s="35" t="n">
        <f aca="false">(G145*I145)+(G145*J145)</f>
        <v>3667.68</v>
      </c>
      <c r="L145" s="3"/>
      <c r="M145" s="45" t="s">
        <v>178</v>
      </c>
      <c r="N145" s="45"/>
      <c r="O145" s="45"/>
      <c r="P145" s="13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8" hidden="false" customHeight="true" outlineLevel="0" collapsed="false">
      <c r="A146" s="1"/>
      <c r="B146" s="11"/>
      <c r="C146" s="1"/>
      <c r="D146" s="2" t="s">
        <v>179</v>
      </c>
      <c r="E146" s="2"/>
      <c r="F146" s="33" t="s">
        <v>39</v>
      </c>
      <c r="G146" s="33" t="n">
        <v>12</v>
      </c>
      <c r="H146" s="33"/>
      <c r="I146" s="67" t="n">
        <v>308.75</v>
      </c>
      <c r="J146" s="67"/>
      <c r="K146" s="35" t="n">
        <f aca="false">(G146*I146)+(G146*J146)</f>
        <v>3705</v>
      </c>
      <c r="L146" s="3"/>
      <c r="M146" s="45" t="s">
        <v>180</v>
      </c>
      <c r="N146" s="45"/>
      <c r="O146" s="45"/>
      <c r="P146" s="13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23.95" hidden="false" customHeight="true" outlineLevel="0" collapsed="false">
      <c r="A147" s="1"/>
      <c r="B147" s="11"/>
      <c r="C147" s="1"/>
      <c r="D147" s="2" t="s">
        <v>181</v>
      </c>
      <c r="E147" s="2"/>
      <c r="F147" s="33" t="s">
        <v>39</v>
      </c>
      <c r="G147" s="33" t="n">
        <v>0</v>
      </c>
      <c r="H147" s="33"/>
      <c r="I147" s="67" t="n">
        <v>0</v>
      </c>
      <c r="J147" s="67"/>
      <c r="K147" s="35" t="n">
        <f aca="false">(G147*I147)+(G147*J147)</f>
        <v>0</v>
      </c>
      <c r="L147" s="3"/>
      <c r="M147" s="45" t="s">
        <v>182</v>
      </c>
      <c r="N147" s="45"/>
      <c r="O147" s="45"/>
      <c r="P147" s="13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8" hidden="false" customHeight="true" outlineLevel="0" collapsed="false">
      <c r="A148" s="1"/>
      <c r="B148" s="11"/>
      <c r="C148" s="1"/>
      <c r="D148" s="2" t="s">
        <v>183</v>
      </c>
      <c r="E148" s="2"/>
      <c r="F148" s="33" t="s">
        <v>51</v>
      </c>
      <c r="G148" s="33" t="str">
        <f aca="false">8*10+55</f>
        <v>135</v>
      </c>
      <c r="H148" s="33"/>
      <c r="I148" s="67" t="n">
        <v>153.35</v>
      </c>
      <c r="J148" s="67"/>
      <c r="K148" s="35" t="n">
        <f aca="false">(G148*I148)+(G148*J148)</f>
        <v>20702.25</v>
      </c>
      <c r="L148" s="3"/>
      <c r="M148" s="45" t="s">
        <v>184</v>
      </c>
      <c r="N148" s="45"/>
      <c r="O148" s="45"/>
      <c r="P148" s="13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8" hidden="false" customHeight="true" outlineLevel="0" collapsed="false">
      <c r="A149" s="1"/>
      <c r="B149" s="11"/>
      <c r="C149" s="1"/>
      <c r="D149" s="2" t="s">
        <v>185</v>
      </c>
      <c r="E149" s="2"/>
      <c r="F149" s="33" t="s">
        <v>51</v>
      </c>
      <c r="G149" s="33" t="n">
        <v>135</v>
      </c>
      <c r="H149" s="33"/>
      <c r="I149" s="67" t="n">
        <v>82.13</v>
      </c>
      <c r="J149" s="67"/>
      <c r="K149" s="35" t="n">
        <f aca="false">(G149*I149)+(G149*J149)</f>
        <v>11087.55</v>
      </c>
      <c r="L149" s="3"/>
      <c r="M149" s="45" t="s">
        <v>186</v>
      </c>
      <c r="N149" s="45"/>
      <c r="O149" s="45"/>
      <c r="P149" s="13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8" hidden="false" customHeight="true" outlineLevel="0" collapsed="false">
      <c r="A150" s="1"/>
      <c r="B150" s="11"/>
      <c r="C150" s="1"/>
      <c r="D150" s="2" t="s">
        <v>187</v>
      </c>
      <c r="E150" s="2"/>
      <c r="F150" s="33" t="s">
        <v>51</v>
      </c>
      <c r="G150" s="33" t="n">
        <v>135</v>
      </c>
      <c r="H150" s="33"/>
      <c r="I150" s="69" t="n">
        <f aca="false">I149</f>
        <v>82.13</v>
      </c>
      <c r="J150" s="69"/>
      <c r="K150" s="35" t="n">
        <f aca="false">(G150*I150)+(G150*J150)</f>
        <v>11087.55</v>
      </c>
      <c r="L150" s="3"/>
      <c r="M150" s="45" t="s">
        <v>153</v>
      </c>
      <c r="N150" s="45"/>
      <c r="O150" s="45"/>
      <c r="P150" s="13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8" hidden="false" customHeight="true" outlineLevel="0" collapsed="false">
      <c r="A151" s="1"/>
      <c r="B151" s="11"/>
      <c r="C151" s="1"/>
      <c r="D151" s="2" t="s">
        <v>188</v>
      </c>
      <c r="E151" s="2"/>
      <c r="F151" s="33" t="s">
        <v>51</v>
      </c>
      <c r="G151" s="33" t="n">
        <v>135</v>
      </c>
      <c r="H151" s="33"/>
      <c r="I151" s="67" t="n">
        <f aca="false">74.7+22.89</f>
        <v>97.59</v>
      </c>
      <c r="J151" s="67"/>
      <c r="K151" s="35" t="n">
        <f aca="false">(G151*I151)+(G151*J151)</f>
        <v>13174.65</v>
      </c>
      <c r="L151" s="3"/>
      <c r="M151" s="45" t="s">
        <v>189</v>
      </c>
      <c r="N151" s="45"/>
      <c r="O151" s="45"/>
      <c r="P151" s="13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8" hidden="false" customHeight="true" outlineLevel="0" collapsed="false">
      <c r="A152" s="1"/>
      <c r="B152" s="11"/>
      <c r="C152" s="1"/>
      <c r="D152" s="2" t="s">
        <v>190</v>
      </c>
      <c r="E152" s="2"/>
      <c r="F152" s="33" t="s">
        <v>51</v>
      </c>
      <c r="G152" s="33" t="n">
        <v>135</v>
      </c>
      <c r="H152" s="33"/>
      <c r="I152" s="69" t="n">
        <f aca="false">I151</f>
        <v>97.59</v>
      </c>
      <c r="J152" s="69"/>
      <c r="K152" s="35" t="n">
        <f aca="false">(G152*I152)+(G152*J152)</f>
        <v>13174.65</v>
      </c>
      <c r="L152" s="3"/>
      <c r="M152" s="45" t="s">
        <v>153</v>
      </c>
      <c r="N152" s="45"/>
      <c r="O152" s="45"/>
      <c r="P152" s="13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8" hidden="false" customHeight="false" outlineLevel="0" collapsed="false">
      <c r="A153" s="1"/>
      <c r="B153" s="11"/>
      <c r="C153" s="1"/>
      <c r="D153" s="2" t="s">
        <v>191</v>
      </c>
      <c r="E153" s="2"/>
      <c r="F153" s="33" t="s">
        <v>39</v>
      </c>
      <c r="G153" s="33" t="n">
        <v>10</v>
      </c>
      <c r="H153" s="33"/>
      <c r="I153" s="67" t="n">
        <v>45.15</v>
      </c>
      <c r="J153" s="67"/>
      <c r="K153" s="35" t="n">
        <f aca="false">(G153*I153)+(G153*J153)</f>
        <v>451.5</v>
      </c>
      <c r="L153" s="3"/>
      <c r="M153" s="2" t="s">
        <v>192</v>
      </c>
      <c r="N153" s="2"/>
      <c r="O153" s="2"/>
      <c r="P153" s="13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8" hidden="false" customHeight="false" outlineLevel="0" collapsed="false">
      <c r="A154" s="1"/>
      <c r="B154" s="11"/>
      <c r="C154" s="1"/>
      <c r="D154" s="2"/>
      <c r="E154" s="2"/>
      <c r="F154" s="33"/>
      <c r="G154" s="33"/>
      <c r="H154" s="33"/>
      <c r="I154" s="32"/>
      <c r="J154" s="32"/>
      <c r="K154" s="35"/>
      <c r="L154" s="3"/>
      <c r="M154" s="2"/>
      <c r="N154" s="2"/>
      <c r="O154" s="2"/>
      <c r="P154" s="13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8" hidden="false" customHeight="false" outlineLevel="0" collapsed="false">
      <c r="A155" s="12"/>
      <c r="B155" s="26"/>
      <c r="C155" s="12"/>
      <c r="D155" s="57" t="s">
        <v>193</v>
      </c>
      <c r="E155" s="57"/>
      <c r="F155" s="64"/>
      <c r="G155" s="64"/>
      <c r="H155" s="64"/>
      <c r="I155" s="70"/>
      <c r="J155" s="70"/>
      <c r="K155" s="65" t="n">
        <f aca="false">SUM(K157:K165)</f>
        <v>56020.3</v>
      </c>
      <c r="L155" s="30"/>
      <c r="M155" s="27"/>
      <c r="N155" s="27"/>
      <c r="O155" s="27"/>
      <c r="P155" s="31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2.8" hidden="false" customHeight="false" outlineLevel="0" collapsed="false">
      <c r="A156" s="1"/>
      <c r="B156" s="11"/>
      <c r="C156" s="1"/>
      <c r="D156" s="2"/>
      <c r="E156" s="2"/>
      <c r="F156" s="33"/>
      <c r="G156" s="33"/>
      <c r="H156" s="33"/>
      <c r="I156" s="32"/>
      <c r="J156" s="32"/>
      <c r="K156" s="35"/>
      <c r="L156" s="3"/>
      <c r="M156" s="2"/>
      <c r="N156" s="2"/>
      <c r="O156" s="2"/>
      <c r="P156" s="13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8" hidden="false" customHeight="false" outlineLevel="0" collapsed="false">
      <c r="A157" s="1"/>
      <c r="B157" s="11"/>
      <c r="C157" s="1"/>
      <c r="D157" s="2" t="s">
        <v>194</v>
      </c>
      <c r="E157" s="2"/>
      <c r="F157" s="33" t="s">
        <v>51</v>
      </c>
      <c r="G157" s="33" t="n">
        <v>216</v>
      </c>
      <c r="H157" s="33"/>
      <c r="I157" s="67" t="n">
        <v>12.82</v>
      </c>
      <c r="J157" s="67"/>
      <c r="K157" s="35" t="n">
        <f aca="false">(G157*I157)+(G157*J157)</f>
        <v>2769.12</v>
      </c>
      <c r="L157" s="3"/>
      <c r="M157" s="2" t="s">
        <v>195</v>
      </c>
      <c r="N157" s="2"/>
      <c r="O157" s="2"/>
      <c r="P157" s="13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8" hidden="false" customHeight="false" outlineLevel="0" collapsed="false">
      <c r="A158" s="1"/>
      <c r="B158" s="11"/>
      <c r="C158" s="1"/>
      <c r="D158" s="2" t="s">
        <v>196</v>
      </c>
      <c r="E158" s="2"/>
      <c r="F158" s="33" t="s">
        <v>39</v>
      </c>
      <c r="G158" s="71" t="str">
        <f aca="false">G23+G24</f>
        <v>33</v>
      </c>
      <c r="H158" s="71"/>
      <c r="I158" s="67" t="n">
        <v>53.82</v>
      </c>
      <c r="J158" s="67"/>
      <c r="K158" s="35" t="n">
        <f aca="false">(G158*I158)+(G158*J158)</f>
        <v>1776.06</v>
      </c>
      <c r="L158" s="3"/>
      <c r="M158" s="2" t="s">
        <v>197</v>
      </c>
      <c r="N158" s="2"/>
      <c r="O158" s="2"/>
      <c r="P158" s="13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8" hidden="false" customHeight="true" outlineLevel="0" collapsed="false">
      <c r="A159" s="1"/>
      <c r="B159" s="11"/>
      <c r="C159" s="1"/>
      <c r="D159" s="2" t="s">
        <v>198</v>
      </c>
      <c r="E159" s="2"/>
      <c r="F159" s="33" t="s">
        <v>51</v>
      </c>
      <c r="G159" s="33" t="n">
        <v>216</v>
      </c>
      <c r="H159" s="33"/>
      <c r="I159" s="67" t="n">
        <f aca="false">3*38.51+3.45</f>
        <v>118.98</v>
      </c>
      <c r="J159" s="67"/>
      <c r="K159" s="35" t="n">
        <f aca="false">(G159*I159)+(G159*J159)</f>
        <v>25699.68</v>
      </c>
      <c r="L159" s="3"/>
      <c r="M159" s="39" t="s">
        <v>199</v>
      </c>
      <c r="N159" s="39"/>
      <c r="O159" s="39"/>
      <c r="P159" s="13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8" hidden="false" customHeight="true" outlineLevel="0" collapsed="false">
      <c r="A160" s="1"/>
      <c r="B160" s="11"/>
      <c r="C160" s="1"/>
      <c r="D160" s="2" t="s">
        <v>200</v>
      </c>
      <c r="E160" s="2"/>
      <c r="F160" s="33" t="s">
        <v>39</v>
      </c>
      <c r="G160" s="71" t="str">
        <f aca="false">G23+G24</f>
        <v>33</v>
      </c>
      <c r="H160" s="71"/>
      <c r="I160" s="67" t="n">
        <f aca="false">35.71+76.04</f>
        <v>111.75</v>
      </c>
      <c r="J160" s="67"/>
      <c r="K160" s="35" t="n">
        <f aca="false">(G160*I160)+(G160*J160)</f>
        <v>3687.75</v>
      </c>
      <c r="L160" s="3"/>
      <c r="M160" s="39" t="s">
        <v>201</v>
      </c>
      <c r="N160" s="39"/>
      <c r="O160" s="39"/>
      <c r="P160" s="13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8" hidden="false" customHeight="false" outlineLevel="0" collapsed="false">
      <c r="A161" s="1"/>
      <c r="B161" s="11"/>
      <c r="C161" s="1"/>
      <c r="D161" s="2" t="s">
        <v>202</v>
      </c>
      <c r="E161" s="2"/>
      <c r="F161" s="33" t="s">
        <v>51</v>
      </c>
      <c r="G161" s="33" t="n">
        <v>216</v>
      </c>
      <c r="H161" s="33"/>
      <c r="I161" s="67" t="n">
        <v>43.4</v>
      </c>
      <c r="J161" s="67"/>
      <c r="K161" s="35" t="n">
        <f aca="false">(G161*I161)+(G161*J161)</f>
        <v>9374.4</v>
      </c>
      <c r="L161" s="3"/>
      <c r="M161" s="2" t="s">
        <v>203</v>
      </c>
      <c r="N161" s="2"/>
      <c r="O161" s="2"/>
      <c r="P161" s="13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8" hidden="false" customHeight="false" outlineLevel="0" collapsed="false">
      <c r="A162" s="1"/>
      <c r="B162" s="11"/>
      <c r="C162" s="1"/>
      <c r="D162" s="2" t="s">
        <v>204</v>
      </c>
      <c r="E162" s="2"/>
      <c r="F162" s="33" t="s">
        <v>39</v>
      </c>
      <c r="G162" s="71" t="str">
        <f aca="false">G23+G24</f>
        <v>33</v>
      </c>
      <c r="H162" s="71"/>
      <c r="I162" s="67" t="n">
        <v>22.81</v>
      </c>
      <c r="J162" s="67"/>
      <c r="K162" s="35" t="n">
        <f aca="false">(G162*I162)+(G162*J162)</f>
        <v>752.73</v>
      </c>
      <c r="L162" s="3"/>
      <c r="M162" s="2" t="s">
        <v>205</v>
      </c>
      <c r="N162" s="2"/>
      <c r="O162" s="2"/>
      <c r="P162" s="13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8" hidden="false" customHeight="false" outlineLevel="0" collapsed="false">
      <c r="A163" s="1"/>
      <c r="B163" s="11"/>
      <c r="C163" s="1"/>
      <c r="D163" s="2" t="s">
        <v>206</v>
      </c>
      <c r="E163" s="2"/>
      <c r="F163" s="33" t="s">
        <v>51</v>
      </c>
      <c r="G163" s="33" t="str">
        <f aca="false">12*8</f>
        <v>96</v>
      </c>
      <c r="H163" s="71"/>
      <c r="I163" s="67" t="n">
        <v>27.9</v>
      </c>
      <c r="J163" s="67"/>
      <c r="K163" s="35" t="n">
        <f aca="false">(G163*I163)+(G163*J163)</f>
        <v>2678.4</v>
      </c>
      <c r="L163" s="3"/>
      <c r="M163" s="2" t="s">
        <v>207</v>
      </c>
      <c r="N163" s="2"/>
      <c r="O163" s="2"/>
      <c r="P163" s="13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8" hidden="false" customHeight="false" outlineLevel="0" collapsed="false">
      <c r="A164" s="1"/>
      <c r="B164" s="11"/>
      <c r="C164" s="1"/>
      <c r="D164" s="2" t="s">
        <v>208</v>
      </c>
      <c r="E164" s="2"/>
      <c r="F164" s="33" t="s">
        <v>39</v>
      </c>
      <c r="G164" s="33" t="n">
        <v>8</v>
      </c>
      <c r="H164" s="71"/>
      <c r="I164" s="67" t="n">
        <v>1004.63</v>
      </c>
      <c r="J164" s="67"/>
      <c r="K164" s="35" t="n">
        <f aca="false">(G164*I164)+(G164*J164)</f>
        <v>8037.04</v>
      </c>
      <c r="L164" s="3"/>
      <c r="M164" s="60" t="s">
        <v>209</v>
      </c>
      <c r="N164" s="60"/>
      <c r="O164" s="60"/>
      <c r="P164" s="13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8" hidden="false" customHeight="true" outlineLevel="0" collapsed="false">
      <c r="A165" s="1"/>
      <c r="B165" s="11"/>
      <c r="C165" s="1"/>
      <c r="D165" s="2" t="s">
        <v>210</v>
      </c>
      <c r="E165" s="2"/>
      <c r="F165" s="33" t="s">
        <v>51</v>
      </c>
      <c r="G165" s="33" t="str">
        <f aca="false">12*8</f>
        <v>96</v>
      </c>
      <c r="H165" s="71"/>
      <c r="I165" s="67" t="n">
        <v>12.97</v>
      </c>
      <c r="J165" s="67"/>
      <c r="K165" s="35" t="n">
        <f aca="false">(G165*I165)+(G165*J165)</f>
        <v>1245.12</v>
      </c>
      <c r="L165" s="3"/>
      <c r="M165" s="45" t="s">
        <v>211</v>
      </c>
      <c r="N165" s="45"/>
      <c r="O165" s="45"/>
      <c r="P165" s="13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8" hidden="false" customHeight="false" outlineLevel="0" collapsed="false">
      <c r="A166" s="1"/>
      <c r="B166" s="11"/>
      <c r="C166" s="1"/>
      <c r="D166" s="2"/>
      <c r="E166" s="2"/>
      <c r="F166" s="33"/>
      <c r="G166" s="71"/>
      <c r="H166" s="71"/>
      <c r="I166" s="32"/>
      <c r="J166" s="32"/>
      <c r="K166" s="35"/>
      <c r="L166" s="3"/>
      <c r="M166" s="2"/>
      <c r="N166" s="2"/>
      <c r="O166" s="2"/>
      <c r="P166" s="13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8" hidden="false" customHeight="false" outlineLevel="0" collapsed="false">
      <c r="A167" s="12"/>
      <c r="B167" s="26"/>
      <c r="C167" s="12"/>
      <c r="D167" s="57" t="s">
        <v>212</v>
      </c>
      <c r="E167" s="57"/>
      <c r="F167" s="64"/>
      <c r="G167" s="72"/>
      <c r="H167" s="72"/>
      <c r="I167" s="70"/>
      <c r="J167" s="70"/>
      <c r="K167" s="65" t="n">
        <f aca="false">SUM(K169:K171)</f>
        <v>6349.05</v>
      </c>
      <c r="L167" s="30"/>
      <c r="M167" s="27"/>
      <c r="N167" s="27"/>
      <c r="O167" s="27"/>
      <c r="P167" s="31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2.8" hidden="false" customHeight="false" outlineLevel="0" collapsed="false">
      <c r="A168" s="1"/>
      <c r="B168" s="11"/>
      <c r="C168" s="1"/>
      <c r="D168" s="2"/>
      <c r="E168" s="2"/>
      <c r="F168" s="33"/>
      <c r="G168" s="71"/>
      <c r="H168" s="71"/>
      <c r="I168" s="32"/>
      <c r="J168" s="32"/>
      <c r="K168" s="35"/>
      <c r="L168" s="3"/>
      <c r="M168" s="2"/>
      <c r="N168" s="2"/>
      <c r="O168" s="2"/>
      <c r="P168" s="13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8" hidden="false" customHeight="false" outlineLevel="0" collapsed="false">
      <c r="A169" s="1"/>
      <c r="B169" s="11"/>
      <c r="C169" s="1"/>
      <c r="D169" s="2" t="s">
        <v>213</v>
      </c>
      <c r="E169" s="2"/>
      <c r="F169" s="33" t="s">
        <v>39</v>
      </c>
      <c r="G169" s="33" t="n">
        <v>1</v>
      </c>
      <c r="H169" s="33"/>
      <c r="I169" s="67" t="n">
        <v>4349.05</v>
      </c>
      <c r="J169" s="67"/>
      <c r="K169" s="35" t="n">
        <f aca="false">(G169*I169)+(G169*J169)</f>
        <v>4349.05</v>
      </c>
      <c r="L169" s="3"/>
      <c r="M169" s="2" t="s">
        <v>214</v>
      </c>
      <c r="N169" s="2"/>
      <c r="O169" s="2"/>
      <c r="P169" s="13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8" hidden="false" customHeight="false" outlineLevel="0" collapsed="false">
      <c r="A170" s="1"/>
      <c r="B170" s="11"/>
      <c r="C170" s="1"/>
      <c r="D170" s="2" t="s">
        <v>215</v>
      </c>
      <c r="E170" s="2"/>
      <c r="F170" s="33" t="s">
        <v>39</v>
      </c>
      <c r="G170" s="33" t="n">
        <v>1</v>
      </c>
      <c r="H170" s="33"/>
      <c r="I170" s="67" t="n">
        <v>1500</v>
      </c>
      <c r="J170" s="67"/>
      <c r="K170" s="35" t="n">
        <f aca="false">(G170*I170)+(G170*J170)</f>
        <v>1500</v>
      </c>
      <c r="L170" s="3"/>
      <c r="M170" s="2" t="s">
        <v>216</v>
      </c>
      <c r="N170" s="2"/>
      <c r="O170" s="2"/>
      <c r="P170" s="13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8" hidden="false" customHeight="false" outlineLevel="0" collapsed="false">
      <c r="A171" s="1"/>
      <c r="B171" s="11"/>
      <c r="C171" s="1"/>
      <c r="D171" s="2" t="s">
        <v>217</v>
      </c>
      <c r="E171" s="2"/>
      <c r="F171" s="33" t="s">
        <v>39</v>
      </c>
      <c r="G171" s="33" t="n">
        <v>1</v>
      </c>
      <c r="H171" s="33"/>
      <c r="I171" s="67" t="n">
        <v>500</v>
      </c>
      <c r="J171" s="67"/>
      <c r="K171" s="35" t="n">
        <f aca="false">(G171*I171)+(G171*J171)</f>
        <v>500</v>
      </c>
      <c r="L171" s="3"/>
      <c r="M171" s="2" t="s">
        <v>216</v>
      </c>
      <c r="N171" s="2"/>
      <c r="O171" s="2"/>
      <c r="P171" s="13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8" hidden="false" customHeight="false" outlineLevel="0" collapsed="false">
      <c r="A172" s="1"/>
      <c r="B172" s="11"/>
      <c r="C172" s="1"/>
      <c r="D172" s="2"/>
      <c r="E172" s="2"/>
      <c r="F172" s="33"/>
      <c r="G172" s="33"/>
      <c r="H172" s="33"/>
      <c r="I172" s="32"/>
      <c r="J172" s="32"/>
      <c r="K172" s="35"/>
      <c r="L172" s="3"/>
      <c r="M172" s="2"/>
      <c r="N172" s="2"/>
      <c r="O172" s="2"/>
      <c r="P172" s="13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8" hidden="false" customHeight="false" outlineLevel="0" collapsed="false">
      <c r="A173" s="1"/>
      <c r="B173" s="11"/>
      <c r="C173" s="1"/>
      <c r="D173" s="2"/>
      <c r="E173" s="2"/>
      <c r="F173" s="33"/>
      <c r="G173" s="33"/>
      <c r="H173" s="33"/>
      <c r="I173" s="32"/>
      <c r="J173" s="32"/>
      <c r="K173" s="35"/>
      <c r="L173" s="3"/>
      <c r="M173" s="2"/>
      <c r="N173" s="2"/>
      <c r="O173" s="2"/>
      <c r="P173" s="13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6.15" hidden="false" customHeight="false" outlineLevel="0" collapsed="false">
      <c r="A174" s="12"/>
      <c r="B174" s="26"/>
      <c r="C174" s="46" t="s">
        <v>19</v>
      </c>
      <c r="D174" s="48"/>
      <c r="E174" s="48"/>
      <c r="F174" s="28"/>
      <c r="G174" s="28"/>
      <c r="H174" s="28"/>
      <c r="I174" s="29"/>
      <c r="J174" s="29"/>
      <c r="K174" s="50" t="n">
        <f aca="false">K176+K184+K202</f>
        <v>505214.157</v>
      </c>
      <c r="L174" s="30"/>
      <c r="M174" s="63" t="s">
        <v>91</v>
      </c>
      <c r="N174" s="27"/>
      <c r="O174" s="27"/>
      <c r="P174" s="31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2.8" hidden="false" customHeight="false" outlineLevel="0" collapsed="false">
      <c r="A175" s="1"/>
      <c r="B175" s="11"/>
      <c r="C175" s="1"/>
      <c r="D175" s="2"/>
      <c r="E175" s="2"/>
      <c r="F175" s="33"/>
      <c r="G175" s="33"/>
      <c r="H175" s="33"/>
      <c r="I175" s="32"/>
      <c r="J175" s="32"/>
      <c r="K175" s="35"/>
      <c r="L175" s="3"/>
      <c r="M175" s="2"/>
      <c r="N175" s="2"/>
      <c r="O175" s="2"/>
      <c r="P175" s="13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8" hidden="false" customHeight="false" outlineLevel="0" collapsed="false">
      <c r="A176" s="12"/>
      <c r="B176" s="26"/>
      <c r="C176" s="12"/>
      <c r="D176" s="57" t="s">
        <v>218</v>
      </c>
      <c r="E176" s="57"/>
      <c r="F176" s="64"/>
      <c r="G176" s="64"/>
      <c r="H176" s="64"/>
      <c r="I176" s="70"/>
      <c r="J176" s="70"/>
      <c r="K176" s="65" t="n">
        <f aca="false">SUM(K178:K182)</f>
        <v>367020.84</v>
      </c>
      <c r="L176" s="30"/>
      <c r="M176" s="27"/>
      <c r="N176" s="27"/>
      <c r="O176" s="27"/>
      <c r="P176" s="31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2.8" hidden="false" customHeight="false" outlineLevel="0" collapsed="false">
      <c r="A177" s="1"/>
      <c r="B177" s="11"/>
      <c r="C177" s="1"/>
      <c r="D177" s="2"/>
      <c r="E177" s="2"/>
      <c r="F177" s="33"/>
      <c r="G177" s="33"/>
      <c r="H177" s="33"/>
      <c r="I177" s="32"/>
      <c r="J177" s="32"/>
      <c r="K177" s="35"/>
      <c r="L177" s="3"/>
      <c r="M177" s="2"/>
      <c r="N177" s="2"/>
      <c r="O177" s="2"/>
      <c r="P177" s="13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8" hidden="false" customHeight="true" outlineLevel="0" collapsed="false">
      <c r="A178" s="1"/>
      <c r="B178" s="11"/>
      <c r="C178" s="1"/>
      <c r="D178" s="2" t="s">
        <v>219</v>
      </c>
      <c r="E178" s="2"/>
      <c r="F178" s="33" t="s">
        <v>220</v>
      </c>
      <c r="G178" s="33" t="str">
        <f aca="false">8*2000</f>
        <v>16000</v>
      </c>
      <c r="H178" s="33"/>
      <c r="I178" s="67" t="n">
        <f aca="false">14.81+4.72</f>
        <v>19.53</v>
      </c>
      <c r="J178" s="67"/>
      <c r="K178" s="35" t="n">
        <f aca="false">(G178*I178)+(G178*J178)</f>
        <v>312480</v>
      </c>
      <c r="L178" s="3"/>
      <c r="M178" s="39" t="s">
        <v>221</v>
      </c>
      <c r="N178" s="39"/>
      <c r="O178" s="39"/>
      <c r="P178" s="13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8" hidden="false" customHeight="false" outlineLevel="0" collapsed="false">
      <c r="A179" s="1"/>
      <c r="B179" s="11"/>
      <c r="C179" s="1"/>
      <c r="D179" s="2" t="s">
        <v>222</v>
      </c>
      <c r="E179" s="2"/>
      <c r="F179" s="33" t="s">
        <v>42</v>
      </c>
      <c r="G179" s="33" t="n">
        <v>2000</v>
      </c>
      <c r="H179" s="33"/>
      <c r="I179" s="67" t="n">
        <v>20.2</v>
      </c>
      <c r="J179" s="67"/>
      <c r="K179" s="35" t="n">
        <f aca="false">(G179*I179)+(G179*J179)</f>
        <v>40400</v>
      </c>
      <c r="L179" s="3"/>
      <c r="M179" s="2" t="s">
        <v>223</v>
      </c>
      <c r="N179" s="2"/>
      <c r="O179" s="2"/>
      <c r="P179" s="13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8" hidden="false" customHeight="true" outlineLevel="0" collapsed="false">
      <c r="A180" s="1"/>
      <c r="B180" s="11"/>
      <c r="C180" s="1"/>
      <c r="D180" s="2" t="s">
        <v>224</v>
      </c>
      <c r="E180" s="2"/>
      <c r="F180" s="33" t="s">
        <v>51</v>
      </c>
      <c r="G180" s="33" t="n">
        <v>56</v>
      </c>
      <c r="H180" s="33"/>
      <c r="I180" s="67" t="n">
        <v>182.05</v>
      </c>
      <c r="J180" s="67"/>
      <c r="K180" s="35" t="n">
        <f aca="false">(G180*I180)+(G180*J180)</f>
        <v>10194.8</v>
      </c>
      <c r="L180" s="3"/>
      <c r="M180" s="45" t="s">
        <v>225</v>
      </c>
      <c r="N180" s="45"/>
      <c r="O180" s="45"/>
      <c r="P180" s="13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8" hidden="false" customHeight="false" outlineLevel="0" collapsed="false">
      <c r="A181" s="1"/>
      <c r="B181" s="11"/>
      <c r="C181" s="1"/>
      <c r="D181" s="2" t="s">
        <v>226</v>
      </c>
      <c r="E181" s="2"/>
      <c r="F181" s="33" t="s">
        <v>42</v>
      </c>
      <c r="G181" s="33" t="str">
        <f aca="false">(56*2+9*2)*0.5</f>
        <v>65</v>
      </c>
      <c r="H181" s="33"/>
      <c r="I181" s="67" t="n">
        <v>35</v>
      </c>
      <c r="J181" s="67"/>
      <c r="K181" s="35" t="n">
        <f aca="false">(G181*I181)+(G181*J181)</f>
        <v>2275</v>
      </c>
      <c r="L181" s="3"/>
      <c r="M181" s="2" t="s">
        <v>149</v>
      </c>
      <c r="N181" s="2"/>
      <c r="O181" s="2"/>
      <c r="P181" s="13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8" hidden="false" customHeight="false" outlineLevel="0" collapsed="false">
      <c r="A182" s="1"/>
      <c r="B182" s="11"/>
      <c r="C182" s="1"/>
      <c r="D182" s="2" t="s">
        <v>227</v>
      </c>
      <c r="E182" s="2"/>
      <c r="F182" s="33" t="s">
        <v>39</v>
      </c>
      <c r="G182" s="33" t="n">
        <v>8</v>
      </c>
      <c r="H182" s="33"/>
      <c r="I182" s="67" t="n">
        <v>208.88</v>
      </c>
      <c r="J182" s="67"/>
      <c r="K182" s="35" t="n">
        <f aca="false">(G182*I182)+(G182*J182)</f>
        <v>1671.04</v>
      </c>
      <c r="L182" s="3"/>
      <c r="M182" s="2" t="s">
        <v>228</v>
      </c>
      <c r="N182" s="2"/>
      <c r="O182" s="2"/>
      <c r="P182" s="13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8" hidden="false" customHeight="false" outlineLevel="0" collapsed="false">
      <c r="A183" s="1"/>
      <c r="B183" s="11"/>
      <c r="C183" s="1"/>
      <c r="D183" s="2"/>
      <c r="E183" s="2"/>
      <c r="F183" s="33"/>
      <c r="G183" s="33"/>
      <c r="H183" s="33"/>
      <c r="I183" s="32"/>
      <c r="J183" s="32"/>
      <c r="K183" s="35"/>
      <c r="L183" s="3"/>
      <c r="M183" s="2"/>
      <c r="N183" s="2"/>
      <c r="O183" s="2"/>
      <c r="P183" s="13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8" hidden="false" customHeight="false" outlineLevel="0" collapsed="false">
      <c r="A184" s="12"/>
      <c r="B184" s="26"/>
      <c r="C184" s="12"/>
      <c r="D184" s="57" t="s">
        <v>229</v>
      </c>
      <c r="E184" s="57"/>
      <c r="F184" s="64"/>
      <c r="G184" s="64"/>
      <c r="H184" s="64"/>
      <c r="I184" s="70"/>
      <c r="J184" s="70"/>
      <c r="K184" s="65" t="n">
        <f aca="false">SUM(K186:K201)</f>
        <v>97566.997</v>
      </c>
      <c r="L184" s="30"/>
      <c r="M184" s="27"/>
      <c r="N184" s="27"/>
      <c r="O184" s="27"/>
      <c r="P184" s="31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2.8" hidden="false" customHeight="false" outlineLevel="0" collapsed="false">
      <c r="A185" s="1"/>
      <c r="B185" s="11"/>
      <c r="C185" s="1"/>
      <c r="D185" s="2"/>
      <c r="E185" s="2"/>
      <c r="F185" s="33"/>
      <c r="G185" s="33"/>
      <c r="H185" s="33"/>
      <c r="I185" s="32"/>
      <c r="J185" s="32"/>
      <c r="K185" s="35"/>
      <c r="L185" s="3"/>
      <c r="M185" s="2"/>
      <c r="N185" s="2"/>
      <c r="O185" s="2"/>
      <c r="P185" s="13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8" hidden="false" customHeight="true" outlineLevel="0" collapsed="false">
      <c r="A186" s="1"/>
      <c r="B186" s="11"/>
      <c r="C186" s="1"/>
      <c r="D186" s="2" t="s">
        <v>230</v>
      </c>
      <c r="E186" s="2"/>
      <c r="F186" s="33" t="s">
        <v>39</v>
      </c>
      <c r="G186" s="33" t="n">
        <v>6</v>
      </c>
      <c r="H186" s="33"/>
      <c r="I186" s="67" t="n">
        <v>7300</v>
      </c>
      <c r="J186" s="67"/>
      <c r="K186" s="35" t="n">
        <f aca="false">(G186*I186)+(G186*J186)</f>
        <v>43800</v>
      </c>
      <c r="L186" s="3"/>
      <c r="M186" s="39" t="s">
        <v>231</v>
      </c>
      <c r="N186" s="39"/>
      <c r="O186" s="39"/>
      <c r="P186" s="13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8" hidden="false" customHeight="true" outlineLevel="0" collapsed="false">
      <c r="A187" s="1"/>
      <c r="B187" s="11"/>
      <c r="C187" s="1"/>
      <c r="D187" s="2" t="s">
        <v>232</v>
      </c>
      <c r="E187" s="2"/>
      <c r="F187" s="33" t="s">
        <v>42</v>
      </c>
      <c r="G187" s="33" t="str">
        <f aca="false">6*(4.2*1.2)</f>
        <v>30.24</v>
      </c>
      <c r="H187" s="33"/>
      <c r="I187" s="67" t="n">
        <v>232.28</v>
      </c>
      <c r="J187" s="67"/>
      <c r="K187" s="35" t="n">
        <f aca="false">(G187*I187)+(G187*J187)</f>
        <v>7024.1472</v>
      </c>
      <c r="L187" s="3"/>
      <c r="M187" s="39" t="s">
        <v>233</v>
      </c>
      <c r="N187" s="39"/>
      <c r="O187" s="39"/>
      <c r="P187" s="13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8" hidden="false" customHeight="false" outlineLevel="0" collapsed="false">
      <c r="A188" s="1"/>
      <c r="B188" s="11"/>
      <c r="C188" s="1"/>
      <c r="D188" s="2" t="s">
        <v>234</v>
      </c>
      <c r="E188" s="2"/>
      <c r="F188" s="33" t="s">
        <v>42</v>
      </c>
      <c r="G188" s="33" t="str">
        <f aca="false">2*(4.2*15)+((3*1.8+0.8)*12)</f>
        <v>200.4</v>
      </c>
      <c r="H188" s="33"/>
      <c r="I188" s="69" t="n">
        <f aca="false">K46</f>
        <v>74.22</v>
      </c>
      <c r="J188" s="69"/>
      <c r="K188" s="35" t="n">
        <f aca="false">(G188*I188)+(G188*J188)</f>
        <v>14873.688</v>
      </c>
      <c r="L188" s="3"/>
      <c r="M188" s="2" t="s">
        <v>141</v>
      </c>
      <c r="N188" s="2"/>
      <c r="O188" s="2"/>
      <c r="P188" s="13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8" hidden="false" customHeight="true" outlineLevel="0" collapsed="false">
      <c r="A189" s="1"/>
      <c r="B189" s="11"/>
      <c r="C189" s="1"/>
      <c r="D189" s="2" t="s">
        <v>235</v>
      </c>
      <c r="E189" s="2"/>
      <c r="F189" s="33" t="s">
        <v>42</v>
      </c>
      <c r="G189" s="33" t="str">
        <f aca="false">4.2*4.2</f>
        <v>17.64</v>
      </c>
      <c r="H189" s="33"/>
      <c r="I189" s="67" t="n">
        <f aca="false">I187</f>
        <v>232.28</v>
      </c>
      <c r="J189" s="67"/>
      <c r="K189" s="35" t="n">
        <f aca="false">(G189*I189)+(G189*J189)</f>
        <v>4097.4192</v>
      </c>
      <c r="L189" s="3"/>
      <c r="M189" s="39" t="s">
        <v>236</v>
      </c>
      <c r="N189" s="39"/>
      <c r="O189" s="39"/>
      <c r="P189" s="13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8" hidden="false" customHeight="false" outlineLevel="0" collapsed="false">
      <c r="A190" s="1"/>
      <c r="B190" s="11"/>
      <c r="C190" s="1"/>
      <c r="D190" s="2" t="s">
        <v>237</v>
      </c>
      <c r="E190" s="2"/>
      <c r="F190" s="33" t="s">
        <v>51</v>
      </c>
      <c r="G190" s="33" t="str">
        <f aca="false">4.2*4</f>
        <v>16.8</v>
      </c>
      <c r="H190" s="33"/>
      <c r="I190" s="67" t="n">
        <v>88.08</v>
      </c>
      <c r="J190" s="67"/>
      <c r="K190" s="35" t="n">
        <f aca="false">(G190*I190)+(G190*J190)</f>
        <v>1479.744</v>
      </c>
      <c r="L190" s="3"/>
      <c r="M190" s="2" t="s">
        <v>238</v>
      </c>
      <c r="N190" s="2"/>
      <c r="O190" s="2"/>
      <c r="P190" s="13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8" hidden="false" customHeight="false" outlineLevel="0" collapsed="false">
      <c r="A191" s="1"/>
      <c r="B191" s="11"/>
      <c r="C191" s="1"/>
      <c r="D191" s="2" t="s">
        <v>239</v>
      </c>
      <c r="E191" s="2"/>
      <c r="F191" s="33" t="s">
        <v>51</v>
      </c>
      <c r="G191" s="33" t="str">
        <f aca="false">1.4*5</f>
        <v>7</v>
      </c>
      <c r="H191" s="33"/>
      <c r="I191" s="69" t="n">
        <f aca="false">K49</f>
        <v>26.64</v>
      </c>
      <c r="J191" s="69"/>
      <c r="K191" s="35" t="n">
        <f aca="false">(G191*I191)+(G191*J191)</f>
        <v>186.48</v>
      </c>
      <c r="L191" s="3"/>
      <c r="M191" s="2" t="s">
        <v>141</v>
      </c>
      <c r="N191" s="2"/>
      <c r="O191" s="2"/>
      <c r="P191" s="13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8" hidden="false" customHeight="false" outlineLevel="0" collapsed="false">
      <c r="A192" s="1"/>
      <c r="B192" s="11"/>
      <c r="C192" s="1"/>
      <c r="D192" s="2" t="s">
        <v>240</v>
      </c>
      <c r="E192" s="2"/>
      <c r="F192" s="33" t="s">
        <v>51</v>
      </c>
      <c r="G192" s="33" t="str">
        <f aca="false">4.2*3</f>
        <v>12.6</v>
      </c>
      <c r="H192" s="33"/>
      <c r="I192" s="69" t="n">
        <f aca="false">K67</f>
        <v>125.5</v>
      </c>
      <c r="J192" s="69"/>
      <c r="K192" s="35" t="n">
        <f aca="false">(G192*I192)+(G192*J192)</f>
        <v>1581.3</v>
      </c>
      <c r="L192" s="3"/>
      <c r="M192" s="2" t="s">
        <v>141</v>
      </c>
      <c r="N192" s="2"/>
      <c r="O192" s="2"/>
      <c r="P192" s="13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8" hidden="false" customHeight="false" outlineLevel="0" collapsed="false">
      <c r="A193" s="1"/>
      <c r="B193" s="11"/>
      <c r="C193" s="1"/>
      <c r="D193" s="2" t="s">
        <v>241</v>
      </c>
      <c r="E193" s="2"/>
      <c r="F193" s="33" t="s">
        <v>135</v>
      </c>
      <c r="G193" s="33" t="str">
        <f aca="false">4.2*4.2*0.1</f>
        <v>1.764</v>
      </c>
      <c r="H193" s="33"/>
      <c r="I193" s="67" t="n">
        <v>279.15</v>
      </c>
      <c r="J193" s="67"/>
      <c r="K193" s="35" t="n">
        <f aca="false">(G193*I193)+(G193*J193)</f>
        <v>492.4206</v>
      </c>
      <c r="L193" s="3"/>
      <c r="M193" s="2" t="s">
        <v>242</v>
      </c>
      <c r="N193" s="2"/>
      <c r="O193" s="2"/>
      <c r="P193" s="13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8" hidden="false" customHeight="false" outlineLevel="0" collapsed="false">
      <c r="A194" s="1"/>
      <c r="B194" s="11"/>
      <c r="C194" s="1"/>
      <c r="D194" s="2" t="s">
        <v>243</v>
      </c>
      <c r="E194" s="2"/>
      <c r="F194" s="33" t="s">
        <v>39</v>
      </c>
      <c r="G194" s="33" t="n">
        <v>1</v>
      </c>
      <c r="H194" s="33"/>
      <c r="I194" s="67" t="n">
        <v>1757.2</v>
      </c>
      <c r="J194" s="67"/>
      <c r="K194" s="35" t="n">
        <f aca="false">(G194*I194)+(G194*J194)</f>
        <v>1757.2</v>
      </c>
      <c r="L194" s="3"/>
      <c r="M194" s="2" t="s">
        <v>244</v>
      </c>
      <c r="N194" s="2"/>
      <c r="O194" s="2"/>
      <c r="P194" s="13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8" hidden="false" customHeight="false" outlineLevel="0" collapsed="false">
      <c r="A195" s="1"/>
      <c r="B195" s="11"/>
      <c r="C195" s="1"/>
      <c r="D195" s="2" t="s">
        <v>245</v>
      </c>
      <c r="E195" s="2"/>
      <c r="F195" s="33" t="s">
        <v>39</v>
      </c>
      <c r="G195" s="33" t="n">
        <v>1</v>
      </c>
      <c r="H195" s="33"/>
      <c r="I195" s="69" t="n">
        <f aca="false">K51</f>
        <v>246.14</v>
      </c>
      <c r="J195" s="69"/>
      <c r="K195" s="35" t="n">
        <f aca="false">(G195*I195)+(G195*J195)</f>
        <v>246.14</v>
      </c>
      <c r="L195" s="3"/>
      <c r="M195" s="2" t="s">
        <v>141</v>
      </c>
      <c r="N195" s="2"/>
      <c r="O195" s="2"/>
      <c r="P195" s="13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8" hidden="false" customHeight="true" outlineLevel="0" collapsed="false">
      <c r="A196" s="1"/>
      <c r="B196" s="11"/>
      <c r="C196" s="1"/>
      <c r="D196" s="2" t="s">
        <v>246</v>
      </c>
      <c r="E196" s="2"/>
      <c r="F196" s="33" t="s">
        <v>51</v>
      </c>
      <c r="G196" s="33" t="str">
        <f aca="false">15+24+6*2.1</f>
        <v>51.6</v>
      </c>
      <c r="H196" s="33"/>
      <c r="I196" s="69" t="n">
        <f aca="false">I159</f>
        <v>118.98</v>
      </c>
      <c r="J196" s="69"/>
      <c r="K196" s="35" t="n">
        <f aca="false">(G196*I196)+(G196*J196)</f>
        <v>6139.368</v>
      </c>
      <c r="L196" s="3"/>
      <c r="M196" s="39" t="s">
        <v>247</v>
      </c>
      <c r="N196" s="39"/>
      <c r="O196" s="39"/>
      <c r="P196" s="13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8" hidden="false" customHeight="false" outlineLevel="0" collapsed="false">
      <c r="A197" s="1"/>
      <c r="B197" s="11"/>
      <c r="C197" s="1"/>
      <c r="D197" s="2" t="s">
        <v>248</v>
      </c>
      <c r="E197" s="2"/>
      <c r="F197" s="33" t="s">
        <v>39</v>
      </c>
      <c r="G197" s="33" t="n">
        <v>6</v>
      </c>
      <c r="H197" s="33"/>
      <c r="I197" s="69" t="n">
        <f aca="false">K63</f>
        <v>24.6</v>
      </c>
      <c r="J197" s="69"/>
      <c r="K197" s="35" t="n">
        <f aca="false">(G197*I197)+(G197*J197)</f>
        <v>147.6</v>
      </c>
      <c r="L197" s="3"/>
      <c r="M197" s="2" t="s">
        <v>141</v>
      </c>
      <c r="N197" s="2"/>
      <c r="O197" s="2"/>
      <c r="P197" s="13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8" hidden="false" customHeight="true" outlineLevel="0" collapsed="false">
      <c r="A198" s="1"/>
      <c r="B198" s="11"/>
      <c r="C198" s="1"/>
      <c r="D198" s="2" t="s">
        <v>249</v>
      </c>
      <c r="E198" s="2"/>
      <c r="F198" s="33" t="s">
        <v>39</v>
      </c>
      <c r="G198" s="33" t="n">
        <v>7</v>
      </c>
      <c r="H198" s="33"/>
      <c r="I198" s="69" t="n">
        <f aca="false">K64</f>
        <v>30.07</v>
      </c>
      <c r="J198" s="69"/>
      <c r="K198" s="35" t="n">
        <f aca="false">(G198*I198)+(G198*J198)</f>
        <v>210.49</v>
      </c>
      <c r="L198" s="3"/>
      <c r="M198" s="39" t="s">
        <v>141</v>
      </c>
      <c r="N198" s="39"/>
      <c r="O198" s="39"/>
      <c r="P198" s="13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8" hidden="false" customHeight="true" outlineLevel="0" collapsed="false">
      <c r="A199" s="1"/>
      <c r="B199" s="11"/>
      <c r="C199" s="1"/>
      <c r="D199" s="2" t="s">
        <v>250</v>
      </c>
      <c r="E199" s="2"/>
      <c r="F199" s="33" t="s">
        <v>42</v>
      </c>
      <c r="G199" s="33" t="str">
        <f aca="false">G188*2</f>
        <v>400.8</v>
      </c>
      <c r="H199" s="33"/>
      <c r="I199" s="69" t="n">
        <f aca="false">K58</f>
        <v>21.08</v>
      </c>
      <c r="J199" s="69"/>
      <c r="K199" s="35" t="n">
        <f aca="false">(G199*I199)+(G199*J199)</f>
        <v>8448.864</v>
      </c>
      <c r="L199" s="3"/>
      <c r="M199" s="45" t="s">
        <v>251</v>
      </c>
      <c r="N199" s="45"/>
      <c r="O199" s="45"/>
      <c r="P199" s="13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8" hidden="false" customHeight="true" outlineLevel="0" collapsed="false">
      <c r="A200" s="1"/>
      <c r="B200" s="11"/>
      <c r="C200" s="1"/>
      <c r="D200" s="2" t="s">
        <v>252</v>
      </c>
      <c r="E200" s="2"/>
      <c r="F200" s="33" t="s">
        <v>42</v>
      </c>
      <c r="G200" s="33" t="str">
        <f aca="false">G199</f>
        <v>400.8</v>
      </c>
      <c r="H200" s="33"/>
      <c r="I200" s="69" t="n">
        <f aca="false">K60</f>
        <v>17.67</v>
      </c>
      <c r="J200" s="69"/>
      <c r="K200" s="35" t="n">
        <f aca="false">(G200*I200)+(G200*J200)</f>
        <v>7082.136</v>
      </c>
      <c r="L200" s="3"/>
      <c r="M200" s="45" t="s">
        <v>251</v>
      </c>
      <c r="N200" s="45"/>
      <c r="O200" s="45"/>
      <c r="P200" s="13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8" hidden="false" customHeight="false" outlineLevel="0" collapsed="false">
      <c r="A201" s="1"/>
      <c r="B201" s="11"/>
      <c r="C201" s="1"/>
      <c r="D201" s="2"/>
      <c r="E201" s="2"/>
      <c r="F201" s="33"/>
      <c r="G201" s="33"/>
      <c r="H201" s="33"/>
      <c r="I201" s="32"/>
      <c r="J201" s="32"/>
      <c r="K201" s="35"/>
      <c r="L201" s="3"/>
      <c r="M201" s="2"/>
      <c r="N201" s="2"/>
      <c r="O201" s="2"/>
      <c r="P201" s="13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8" hidden="false" customHeight="false" outlineLevel="0" collapsed="false">
      <c r="A202" s="1"/>
      <c r="B202" s="11"/>
      <c r="C202" s="1"/>
      <c r="D202" s="57" t="s">
        <v>253</v>
      </c>
      <c r="E202" s="20"/>
      <c r="F202" s="74"/>
      <c r="G202" s="74"/>
      <c r="H202" s="74"/>
      <c r="I202" s="75"/>
      <c r="J202" s="75"/>
      <c r="K202" s="65" t="n">
        <f aca="false">SUM(K204:K206)</f>
        <v>40626.32</v>
      </c>
      <c r="L202" s="3"/>
      <c r="M202" s="2"/>
      <c r="N202" s="2"/>
      <c r="O202" s="2"/>
      <c r="P202" s="13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8" hidden="false" customHeight="false" outlineLevel="0" collapsed="false">
      <c r="A203" s="1"/>
      <c r="B203" s="11"/>
      <c r="C203" s="1"/>
      <c r="D203" s="2"/>
      <c r="E203" s="2"/>
      <c r="F203" s="33"/>
      <c r="G203" s="33"/>
      <c r="H203" s="33"/>
      <c r="I203" s="32"/>
      <c r="J203" s="32"/>
      <c r="K203" s="35"/>
      <c r="L203" s="3"/>
      <c r="M203" s="2"/>
      <c r="N203" s="2"/>
      <c r="O203" s="2"/>
      <c r="P203" s="13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8" hidden="false" customHeight="true" outlineLevel="0" collapsed="false">
      <c r="A204" s="1"/>
      <c r="B204" s="11"/>
      <c r="C204" s="1"/>
      <c r="D204" s="2" t="s">
        <v>254</v>
      </c>
      <c r="E204" s="2"/>
      <c r="F204" s="33" t="s">
        <v>39</v>
      </c>
      <c r="G204" s="33" t="n">
        <v>4</v>
      </c>
      <c r="H204" s="33"/>
      <c r="I204" s="67" t="n">
        <f aca="false">216.49+330.89</f>
        <v>547.38</v>
      </c>
      <c r="J204" s="67"/>
      <c r="K204" s="35" t="n">
        <f aca="false">(G204*I204)+(G204*J204)</f>
        <v>2189.52</v>
      </c>
      <c r="L204" s="3"/>
      <c r="M204" s="39" t="s">
        <v>255</v>
      </c>
      <c r="N204" s="39"/>
      <c r="O204" s="39"/>
      <c r="P204" s="13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8" hidden="false" customHeight="true" outlineLevel="0" collapsed="false">
      <c r="A205" s="1"/>
      <c r="B205" s="11"/>
      <c r="C205" s="1"/>
      <c r="D205" s="2" t="s">
        <v>256</v>
      </c>
      <c r="E205" s="2"/>
      <c r="F205" s="33" t="s">
        <v>51</v>
      </c>
      <c r="G205" s="33" t="str">
        <f aca="false">3*96+12</f>
        <v>300</v>
      </c>
      <c r="H205" s="33"/>
      <c r="I205" s="67" t="n">
        <v>120</v>
      </c>
      <c r="J205" s="67"/>
      <c r="K205" s="35" t="n">
        <f aca="false">(G205*I205)+(G205*J205)</f>
        <v>36000</v>
      </c>
      <c r="L205" s="3"/>
      <c r="M205" s="39" t="s">
        <v>257</v>
      </c>
      <c r="N205" s="39"/>
      <c r="O205" s="39"/>
      <c r="P205" s="13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8" hidden="false" customHeight="false" outlineLevel="0" collapsed="false">
      <c r="A206" s="1"/>
      <c r="B206" s="11"/>
      <c r="C206" s="1"/>
      <c r="D206" s="2" t="s">
        <v>258</v>
      </c>
      <c r="E206" s="2"/>
      <c r="F206" s="33" t="s">
        <v>39</v>
      </c>
      <c r="G206" s="33" t="n">
        <v>16</v>
      </c>
      <c r="H206" s="33"/>
      <c r="I206" s="67" t="n">
        <v>152.3</v>
      </c>
      <c r="J206" s="67"/>
      <c r="K206" s="35" t="n">
        <f aca="false">(G206*I206)+(G206*J206)</f>
        <v>2436.8</v>
      </c>
      <c r="L206" s="3"/>
      <c r="M206" s="2" t="s">
        <v>259</v>
      </c>
      <c r="N206" s="2"/>
      <c r="O206" s="2"/>
      <c r="P206" s="13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8" hidden="false" customHeight="false" outlineLevel="0" collapsed="false">
      <c r="A207" s="1"/>
      <c r="B207" s="11"/>
      <c r="C207" s="1"/>
      <c r="D207" s="2"/>
      <c r="E207" s="2"/>
      <c r="F207" s="33"/>
      <c r="G207" s="33"/>
      <c r="H207" s="33"/>
      <c r="I207" s="32"/>
      <c r="J207" s="32"/>
      <c r="K207" s="35"/>
      <c r="L207" s="3"/>
      <c r="M207" s="2"/>
      <c r="N207" s="2"/>
      <c r="O207" s="2"/>
      <c r="P207" s="13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8" hidden="false" customHeight="false" outlineLevel="0" collapsed="false">
      <c r="A208" s="1"/>
      <c r="B208" s="11"/>
      <c r="C208" s="1"/>
      <c r="D208" s="2"/>
      <c r="E208" s="2"/>
      <c r="F208" s="33"/>
      <c r="G208" s="33"/>
      <c r="H208" s="33"/>
      <c r="I208" s="32"/>
      <c r="J208" s="32"/>
      <c r="K208" s="35"/>
      <c r="L208" s="3"/>
      <c r="M208" s="2"/>
      <c r="N208" s="2"/>
      <c r="O208" s="2"/>
      <c r="P208" s="13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8" hidden="false" customHeight="false" outlineLevel="0" collapsed="false">
      <c r="A209" s="1"/>
      <c r="B209" s="11"/>
      <c r="C209" s="1"/>
      <c r="D209" s="2"/>
      <c r="E209" s="2"/>
      <c r="F209" s="33"/>
      <c r="G209" s="33"/>
      <c r="H209" s="33"/>
      <c r="I209" s="32"/>
      <c r="J209" s="32"/>
      <c r="K209" s="35"/>
      <c r="L209" s="3"/>
      <c r="M209" s="2"/>
      <c r="N209" s="2"/>
      <c r="O209" s="2"/>
      <c r="P209" s="13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8" hidden="false" customHeight="false" outlineLevel="0" collapsed="false">
      <c r="A210" s="12"/>
      <c r="B210" s="26"/>
      <c r="C210" s="12"/>
      <c r="D210" s="27"/>
      <c r="E210" s="27"/>
      <c r="F210" s="28"/>
      <c r="G210" s="28" t="s">
        <v>260</v>
      </c>
      <c r="H210" s="28" t="s">
        <v>261</v>
      </c>
      <c r="I210" s="29"/>
      <c r="J210" s="29"/>
      <c r="K210" s="29" t="s">
        <v>262</v>
      </c>
      <c r="L210" s="29"/>
      <c r="M210" s="76" t="s">
        <v>263</v>
      </c>
      <c r="N210" s="76"/>
      <c r="O210" s="27"/>
      <c r="P210" s="31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2.8" hidden="false" customHeight="false" outlineLevel="0" collapsed="false">
      <c r="A211" s="1"/>
      <c r="B211" s="11"/>
      <c r="C211" s="1"/>
      <c r="D211" s="2"/>
      <c r="E211" s="2"/>
      <c r="F211" s="33"/>
      <c r="G211" s="33"/>
      <c r="H211" s="33"/>
      <c r="I211" s="32"/>
      <c r="J211" s="32"/>
      <c r="K211" s="35"/>
      <c r="L211" s="32"/>
      <c r="M211" s="77"/>
      <c r="N211" s="77"/>
      <c r="O211" s="2"/>
      <c r="P211" s="13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6.15" hidden="false" customHeight="false" outlineLevel="0" collapsed="false">
      <c r="A212" s="12"/>
      <c r="B212" s="26"/>
      <c r="C212" s="46" t="s">
        <v>264</v>
      </c>
      <c r="D212" s="48"/>
      <c r="E212" s="48"/>
      <c r="F212" s="28"/>
      <c r="G212" s="28"/>
      <c r="H212" s="28"/>
      <c r="I212" s="29"/>
      <c r="J212" s="29"/>
      <c r="K212" s="50" t="n">
        <f aca="false">K214+K221+K228+K236+K248+K263</f>
        <v>23116.1063</v>
      </c>
      <c r="L212" s="50"/>
      <c r="M212" s="78" t="n">
        <f aca="false">M214+M228+M236+M248+M263</f>
        <v>31056.08745</v>
      </c>
      <c r="N212" s="78"/>
      <c r="O212" s="63" t="s">
        <v>91</v>
      </c>
      <c r="P212" s="31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2.8" hidden="false" customHeight="false" outlineLevel="0" collapsed="false">
      <c r="A213" s="1"/>
      <c r="B213" s="11"/>
      <c r="C213" s="1"/>
      <c r="D213" s="2"/>
      <c r="E213" s="2"/>
      <c r="F213" s="33"/>
      <c r="G213" s="33"/>
      <c r="H213" s="33"/>
      <c r="I213" s="32"/>
      <c r="J213" s="32"/>
      <c r="K213" s="35"/>
      <c r="L213" s="32"/>
      <c r="M213" s="79"/>
      <c r="N213" s="79"/>
      <c r="O213" s="2"/>
      <c r="P213" s="13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8" hidden="false" customHeight="false" outlineLevel="0" collapsed="false">
      <c r="A214" s="12"/>
      <c r="B214" s="26"/>
      <c r="C214" s="12"/>
      <c r="D214" s="57" t="s">
        <v>265</v>
      </c>
      <c r="E214" s="57"/>
      <c r="F214" s="64"/>
      <c r="G214" s="64"/>
      <c r="H214" s="64"/>
      <c r="I214" s="70"/>
      <c r="J214" s="70"/>
      <c r="K214" s="65" t="n">
        <f aca="false">SUM(K216:K219)</f>
        <v>3586.98</v>
      </c>
      <c r="L214" s="65"/>
      <c r="M214" s="80" t="n">
        <f aca="false">SUM(M216:M219)</f>
        <v>5380.47</v>
      </c>
      <c r="N214" s="81"/>
      <c r="O214" s="27"/>
      <c r="P214" s="31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2.8" hidden="false" customHeight="false" outlineLevel="0" collapsed="false">
      <c r="A215" s="1"/>
      <c r="B215" s="11"/>
      <c r="C215" s="1"/>
      <c r="D215" s="2"/>
      <c r="E215" s="2"/>
      <c r="F215" s="33"/>
      <c r="G215" s="33"/>
      <c r="H215" s="33"/>
      <c r="I215" s="32"/>
      <c r="J215" s="32"/>
      <c r="K215" s="35"/>
      <c r="L215" s="32"/>
      <c r="M215" s="79"/>
      <c r="N215" s="79"/>
      <c r="O215" s="2"/>
      <c r="P215" s="13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6.15" hidden="false" customHeight="false" outlineLevel="0" collapsed="false">
      <c r="A216" s="12"/>
      <c r="B216" s="26"/>
      <c r="C216" s="46"/>
      <c r="D216" s="2" t="s">
        <v>266</v>
      </c>
      <c r="E216" s="15"/>
      <c r="F216" s="33" t="s">
        <v>42</v>
      </c>
      <c r="G216" s="33" t="n">
        <v>62.1</v>
      </c>
      <c r="H216" s="33" t="n">
        <f aca="false">G216*1.5</f>
        <v>93.15</v>
      </c>
      <c r="I216" s="69" t="n">
        <f aca="false">K47</f>
        <v>46.25</v>
      </c>
      <c r="J216" s="69"/>
      <c r="K216" s="35" t="n">
        <f aca="false">(G216*I216)+(G216*J216)</f>
        <v>2872.125</v>
      </c>
      <c r="L216" s="29"/>
      <c r="M216" s="35" t="n">
        <f aca="false">(H216*I216)+(H216*J216)</f>
        <v>4308.1875</v>
      </c>
      <c r="N216" s="35"/>
      <c r="O216" s="2" t="s">
        <v>141</v>
      </c>
      <c r="P216" s="31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6.15" hidden="false" customHeight="false" outlineLevel="0" collapsed="false">
      <c r="A217" s="12"/>
      <c r="B217" s="26"/>
      <c r="C217" s="46"/>
      <c r="D217" s="2" t="s">
        <v>267</v>
      </c>
      <c r="E217" s="15"/>
      <c r="F217" s="33" t="s">
        <v>42</v>
      </c>
      <c r="G217" s="33" t="n">
        <v>6.5</v>
      </c>
      <c r="H217" s="33" t="n">
        <f aca="false">G217*1.5</f>
        <v>9.75</v>
      </c>
      <c r="I217" s="69" t="n">
        <f aca="false">K48</f>
        <v>32.91</v>
      </c>
      <c r="J217" s="69"/>
      <c r="K217" s="35" t="n">
        <f aca="false">(G217*I217)+(G217*J217)</f>
        <v>213.915</v>
      </c>
      <c r="L217" s="29"/>
      <c r="M217" s="35" t="n">
        <f aca="false">(H217*I217)+(H217*J217)</f>
        <v>320.8725</v>
      </c>
      <c r="N217" s="35"/>
      <c r="O217" s="2" t="s">
        <v>141</v>
      </c>
      <c r="P217" s="31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2.8" hidden="false" customHeight="false" outlineLevel="0" collapsed="false">
      <c r="A218" s="1"/>
      <c r="B218" s="11"/>
      <c r="C218" s="1"/>
      <c r="D218" s="2" t="s">
        <v>268</v>
      </c>
      <c r="E218" s="15"/>
      <c r="F218" s="33" t="s">
        <v>51</v>
      </c>
      <c r="G218" s="33" t="str">
        <f aca="false">1.7*4+1+1.2</f>
        <v>9</v>
      </c>
      <c r="H218" s="33" t="n">
        <f aca="false">G218*1.5</f>
        <v>13.5</v>
      </c>
      <c r="I218" s="69" t="n">
        <f aca="false">K49</f>
        <v>26.64</v>
      </c>
      <c r="J218" s="69"/>
      <c r="K218" s="35" t="n">
        <f aca="false">(G218*I218)+(G218*J218)</f>
        <v>239.76</v>
      </c>
      <c r="L218" s="32"/>
      <c r="M218" s="35" t="n">
        <f aca="false">(H218*I218)+(H218*J218)</f>
        <v>359.64</v>
      </c>
      <c r="N218" s="35"/>
      <c r="O218" s="2" t="s">
        <v>141</v>
      </c>
      <c r="P218" s="13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8" hidden="false" customHeight="false" outlineLevel="0" collapsed="false">
      <c r="A219" s="1"/>
      <c r="B219" s="11"/>
      <c r="C219" s="1"/>
      <c r="D219" s="2" t="s">
        <v>269</v>
      </c>
      <c r="E219" s="15"/>
      <c r="F219" s="33" t="s">
        <v>51</v>
      </c>
      <c r="G219" s="33" t="str">
        <f aca="false">1.5*4</f>
        <v>6</v>
      </c>
      <c r="H219" s="33" t="n">
        <f aca="false">G219*1.5</f>
        <v>9</v>
      </c>
      <c r="I219" s="67" t="n">
        <v>43.53</v>
      </c>
      <c r="J219" s="67"/>
      <c r="K219" s="35" t="n">
        <f aca="false">(G219*I219)+(G219*J219)</f>
        <v>261.18</v>
      </c>
      <c r="L219" s="32"/>
      <c r="M219" s="35" t="n">
        <f aca="false">(H219*I219)+(H219*J219)</f>
        <v>391.77</v>
      </c>
      <c r="N219" s="35"/>
      <c r="O219" s="2" t="s">
        <v>270</v>
      </c>
      <c r="P219" s="13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8" hidden="false" customHeight="false" outlineLevel="0" collapsed="false">
      <c r="A220" s="1"/>
      <c r="B220" s="11"/>
      <c r="C220" s="1"/>
      <c r="D220" s="2"/>
      <c r="E220" s="33"/>
      <c r="F220" s="33"/>
      <c r="G220" s="33"/>
      <c r="H220" s="33"/>
      <c r="I220" s="32"/>
      <c r="J220" s="32"/>
      <c r="K220" s="35"/>
      <c r="L220" s="32"/>
      <c r="M220" s="79"/>
      <c r="N220" s="82"/>
      <c r="O220" s="2"/>
      <c r="P220" s="13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8" hidden="false" customHeight="false" outlineLevel="0" collapsed="false">
      <c r="A221" s="12"/>
      <c r="B221" s="26"/>
      <c r="C221" s="12"/>
      <c r="D221" s="57" t="s">
        <v>271</v>
      </c>
      <c r="E221" s="57"/>
      <c r="F221" s="64"/>
      <c r="G221" s="64"/>
      <c r="H221" s="64"/>
      <c r="I221" s="70"/>
      <c r="J221" s="70"/>
      <c r="K221" s="65" t="n">
        <f aca="false">SUM(K223:K226)</f>
        <v>1530.71</v>
      </c>
      <c r="L221" s="65"/>
      <c r="M221" s="80" t="n">
        <f aca="false">SUM(M223:M226)</f>
        <v>2449.188</v>
      </c>
      <c r="N221" s="83"/>
      <c r="O221" s="27"/>
      <c r="P221" s="31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2.8" hidden="false" customHeight="false" outlineLevel="0" collapsed="false">
      <c r="A222" s="1"/>
      <c r="B222" s="11"/>
      <c r="C222" s="1"/>
      <c r="D222" s="2"/>
      <c r="E222" s="2"/>
      <c r="F222" s="33"/>
      <c r="G222" s="33"/>
      <c r="H222" s="33"/>
      <c r="I222" s="32"/>
      <c r="J222" s="32"/>
      <c r="K222" s="35"/>
      <c r="L222" s="32"/>
      <c r="M222" s="79"/>
      <c r="N222" s="82"/>
      <c r="O222" s="2"/>
      <c r="P222" s="13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8" hidden="false" customHeight="false" outlineLevel="0" collapsed="false">
      <c r="A223" s="1"/>
      <c r="B223" s="11"/>
      <c r="C223" s="1"/>
      <c r="D223" s="2" t="s">
        <v>272</v>
      </c>
      <c r="E223" s="2"/>
      <c r="F223" s="33" t="s">
        <v>42</v>
      </c>
      <c r="G223" s="33" t="str">
        <f aca="false">2.9+2.5</f>
        <v>5.4</v>
      </c>
      <c r="H223" s="33" t="str">
        <f aca="false">G223</f>
        <v>5.4</v>
      </c>
      <c r="I223" s="69" t="n">
        <f aca="false">K54</f>
        <v>20.65</v>
      </c>
      <c r="J223" s="69"/>
      <c r="K223" s="35" t="n">
        <f aca="false">(G223*I223)+(G223*J223)</f>
        <v>111.51</v>
      </c>
      <c r="L223" s="32"/>
      <c r="M223" s="35" t="n">
        <f aca="false">(H223*I223)+(H223*J223)</f>
        <v>111.51</v>
      </c>
      <c r="N223" s="73"/>
      <c r="O223" s="2" t="s">
        <v>141</v>
      </c>
      <c r="P223" s="13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8" hidden="false" customHeight="false" outlineLevel="0" collapsed="false">
      <c r="A224" s="1"/>
      <c r="B224" s="11"/>
      <c r="C224" s="1"/>
      <c r="D224" s="2" t="s">
        <v>273</v>
      </c>
      <c r="E224" s="2"/>
      <c r="F224" s="33" t="s">
        <v>42</v>
      </c>
      <c r="G224" s="33" t="str">
        <f aca="false">16+15.4</f>
        <v>31.4</v>
      </c>
      <c r="H224" s="33" t="str">
        <f aca="false">G224+25</f>
        <v>56.4</v>
      </c>
      <c r="I224" s="69" t="n">
        <f aca="false">K56</f>
        <v>22.46</v>
      </c>
      <c r="J224" s="69"/>
      <c r="K224" s="35" t="n">
        <f aca="false">(G224*I224)+(G224*J224)</f>
        <v>705.244</v>
      </c>
      <c r="L224" s="32"/>
      <c r="M224" s="35" t="n">
        <f aca="false">(H224*I224)+(H224*J224)</f>
        <v>1266.744</v>
      </c>
      <c r="N224" s="73"/>
      <c r="O224" s="2" t="s">
        <v>141</v>
      </c>
      <c r="P224" s="13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8" hidden="false" customHeight="false" outlineLevel="0" collapsed="false">
      <c r="A225" s="1"/>
      <c r="B225" s="11"/>
      <c r="C225" s="1"/>
      <c r="D225" s="2" t="s">
        <v>274</v>
      </c>
      <c r="E225" s="2"/>
      <c r="F225" s="33" t="s">
        <v>42</v>
      </c>
      <c r="G225" s="33" t="n">
        <v>11.9</v>
      </c>
      <c r="H225" s="33" t="str">
        <f aca="false">11.9+5.95</f>
        <v>17.85</v>
      </c>
      <c r="I225" s="69" t="n">
        <f aca="false">K56</f>
        <v>22.46</v>
      </c>
      <c r="J225" s="69"/>
      <c r="K225" s="35" t="n">
        <f aca="false">(G225*I225)+(G225*J225)</f>
        <v>267.274</v>
      </c>
      <c r="L225" s="32"/>
      <c r="M225" s="35" t="n">
        <f aca="false">(H225*I225)+(H225*J225)</f>
        <v>400.911</v>
      </c>
      <c r="N225" s="73"/>
      <c r="O225" s="2" t="s">
        <v>141</v>
      </c>
      <c r="P225" s="13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8" hidden="false" customHeight="false" outlineLevel="0" collapsed="false">
      <c r="A226" s="1"/>
      <c r="B226" s="11"/>
      <c r="C226" s="1"/>
      <c r="D226" s="2" t="s">
        <v>275</v>
      </c>
      <c r="E226" s="2"/>
      <c r="F226" s="33" t="s">
        <v>51</v>
      </c>
      <c r="G226" s="33" t="str">
        <f aca="false">(15.4+15.9+2.9+2.5)-(5*0.8)</f>
        <v>32.7</v>
      </c>
      <c r="H226" s="33" t="str">
        <f aca="false">G226*1.5</f>
        <v>49.05</v>
      </c>
      <c r="I226" s="67" t="n">
        <v>13.66</v>
      </c>
      <c r="J226" s="67"/>
      <c r="K226" s="35" t="n">
        <f aca="false">(G226*I226)+(G226*J226)</f>
        <v>446.682</v>
      </c>
      <c r="L226" s="32"/>
      <c r="M226" s="35" t="n">
        <f aca="false">(H226*I226)+(H226*J226)</f>
        <v>670.023</v>
      </c>
      <c r="N226" s="73"/>
      <c r="O226" s="2" t="s">
        <v>276</v>
      </c>
      <c r="P226" s="13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8" hidden="false" customHeight="false" outlineLevel="0" collapsed="false">
      <c r="A227" s="1"/>
      <c r="B227" s="11"/>
      <c r="C227" s="1"/>
      <c r="D227" s="2"/>
      <c r="E227" s="2"/>
      <c r="F227" s="33"/>
      <c r="G227" s="33"/>
      <c r="H227" s="33"/>
      <c r="I227" s="32"/>
      <c r="J227" s="32"/>
      <c r="K227" s="35"/>
      <c r="L227" s="32"/>
      <c r="M227" s="79"/>
      <c r="N227" s="82"/>
      <c r="O227" s="2"/>
      <c r="P227" s="13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8" hidden="false" customHeight="false" outlineLevel="0" collapsed="false">
      <c r="A228" s="12"/>
      <c r="B228" s="26"/>
      <c r="C228" s="12"/>
      <c r="D228" s="57" t="s">
        <v>277</v>
      </c>
      <c r="E228" s="57"/>
      <c r="F228" s="64"/>
      <c r="G228" s="64"/>
      <c r="H228" s="64"/>
      <c r="I228" s="70"/>
      <c r="J228" s="70"/>
      <c r="K228" s="65" t="n">
        <f aca="false">SUM(K230:K234)</f>
        <v>5932.465</v>
      </c>
      <c r="L228" s="65"/>
      <c r="M228" s="80" t="n">
        <f aca="false">SUM(M230:M234)</f>
        <v>8288.0025</v>
      </c>
      <c r="N228" s="83"/>
      <c r="O228" s="27"/>
      <c r="P228" s="31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2.8" hidden="false" customHeight="false" outlineLevel="0" collapsed="false">
      <c r="A229" s="1"/>
      <c r="B229" s="11"/>
      <c r="C229" s="1"/>
      <c r="D229" s="2"/>
      <c r="E229" s="2"/>
      <c r="F229" s="33"/>
      <c r="G229" s="33"/>
      <c r="H229" s="33"/>
      <c r="I229" s="32"/>
      <c r="J229" s="32"/>
      <c r="K229" s="35"/>
      <c r="L229" s="32"/>
      <c r="M229" s="79"/>
      <c r="N229" s="82"/>
      <c r="O229" s="2"/>
      <c r="P229" s="13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8" hidden="false" customHeight="false" outlineLevel="0" collapsed="false">
      <c r="A230" s="1"/>
      <c r="B230" s="11"/>
      <c r="C230" s="1"/>
      <c r="D230" s="2" t="s">
        <v>278</v>
      </c>
      <c r="E230" s="2"/>
      <c r="F230" s="33" t="s">
        <v>39</v>
      </c>
      <c r="G230" s="33" t="n">
        <v>4</v>
      </c>
      <c r="H230" s="33" t="n">
        <v>6</v>
      </c>
      <c r="I230" s="69" t="n">
        <f aca="false">K50</f>
        <v>758.75</v>
      </c>
      <c r="J230" s="69"/>
      <c r="K230" s="35" t="n">
        <f aca="false">(G230*I230)+(G230*J230)</f>
        <v>3035</v>
      </c>
      <c r="L230" s="32"/>
      <c r="M230" s="35" t="n">
        <f aca="false">(H230*I230)+(H230*J230)</f>
        <v>4552.5</v>
      </c>
      <c r="N230" s="73"/>
      <c r="O230" s="2" t="s">
        <v>141</v>
      </c>
      <c r="P230" s="13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8" hidden="false" customHeight="false" outlineLevel="0" collapsed="false">
      <c r="A231" s="1"/>
      <c r="B231" s="11"/>
      <c r="C231" s="1"/>
      <c r="D231" s="2" t="s">
        <v>279</v>
      </c>
      <c r="E231" s="2"/>
      <c r="F231" s="33" t="s">
        <v>39</v>
      </c>
      <c r="G231" s="33" t="n">
        <v>1</v>
      </c>
      <c r="H231" s="33" t="n">
        <v>1</v>
      </c>
      <c r="I231" s="69" t="n">
        <f aca="false">K51</f>
        <v>246.14</v>
      </c>
      <c r="J231" s="69"/>
      <c r="K231" s="35" t="n">
        <f aca="false">(G231*I231)+(G231*J231)</f>
        <v>246.14</v>
      </c>
      <c r="L231" s="32"/>
      <c r="M231" s="35" t="n">
        <f aca="false">(H231*I231)+(H231*J231)</f>
        <v>246.14</v>
      </c>
      <c r="N231" s="73"/>
      <c r="O231" s="2" t="s">
        <v>280</v>
      </c>
      <c r="P231" s="13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8" hidden="false" customHeight="false" outlineLevel="0" collapsed="false">
      <c r="A232" s="1"/>
      <c r="B232" s="11"/>
      <c r="C232" s="1"/>
      <c r="D232" s="2" t="s">
        <v>281</v>
      </c>
      <c r="E232" s="2"/>
      <c r="F232" s="33" t="s">
        <v>39</v>
      </c>
      <c r="G232" s="33" t="n">
        <v>3</v>
      </c>
      <c r="H232" s="33" t="n">
        <v>4</v>
      </c>
      <c r="I232" s="69" t="n">
        <f aca="false">K52</f>
        <v>445.85</v>
      </c>
      <c r="J232" s="69"/>
      <c r="K232" s="35" t="n">
        <f aca="false">(G232*I232)+(G232*J232)</f>
        <v>1337.55</v>
      </c>
      <c r="L232" s="32"/>
      <c r="M232" s="35" t="n">
        <f aca="false">(H232*I232)+(H232*J232)</f>
        <v>1783.4</v>
      </c>
      <c r="N232" s="73"/>
      <c r="O232" s="2" t="s">
        <v>141</v>
      </c>
      <c r="P232" s="13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8" hidden="false" customHeight="false" outlineLevel="0" collapsed="false">
      <c r="A233" s="1"/>
      <c r="B233" s="11"/>
      <c r="C233" s="1"/>
      <c r="D233" s="2" t="s">
        <v>282</v>
      </c>
      <c r="E233" s="2"/>
      <c r="F233" s="33" t="s">
        <v>39</v>
      </c>
      <c r="G233" s="33" t="n">
        <v>1</v>
      </c>
      <c r="H233" s="33" t="n">
        <v>1</v>
      </c>
      <c r="I233" s="69" t="n">
        <f aca="false">K53</f>
        <v>529.4</v>
      </c>
      <c r="J233" s="69"/>
      <c r="K233" s="35" t="n">
        <f aca="false">(G233*I233)+(G233*J233)</f>
        <v>529.4</v>
      </c>
      <c r="L233" s="32"/>
      <c r="M233" s="35" t="n">
        <f aca="false">(H233*I233)+(H233*J233)</f>
        <v>529.4</v>
      </c>
      <c r="N233" s="73"/>
      <c r="O233" s="2" t="s">
        <v>141</v>
      </c>
      <c r="P233" s="1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8" hidden="false" customHeight="false" outlineLevel="0" collapsed="false">
      <c r="A234" s="1"/>
      <c r="B234" s="11"/>
      <c r="C234" s="1"/>
      <c r="D234" s="2" t="s">
        <v>283</v>
      </c>
      <c r="E234" s="2"/>
      <c r="F234" s="33" t="s">
        <v>51</v>
      </c>
      <c r="G234" s="33" t="n">
        <v>6.25</v>
      </c>
      <c r="H234" s="33" t="str">
        <f aca="false">6.25*1.5</f>
        <v>9.375</v>
      </c>
      <c r="I234" s="69" t="n">
        <f aca="false">K67</f>
        <v>125.5</v>
      </c>
      <c r="J234" s="69"/>
      <c r="K234" s="35" t="n">
        <f aca="false">(G234*I234)+(G234*J234)</f>
        <v>784.375</v>
      </c>
      <c r="L234" s="32"/>
      <c r="M234" s="35" t="n">
        <f aca="false">(H234*I234)+(H234*J234)</f>
        <v>1176.5625</v>
      </c>
      <c r="N234" s="73"/>
      <c r="O234" s="2" t="s">
        <v>141</v>
      </c>
      <c r="P234" s="13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8" hidden="false" customHeight="false" outlineLevel="0" collapsed="false">
      <c r="A235" s="1"/>
      <c r="B235" s="11"/>
      <c r="C235" s="1"/>
      <c r="D235" s="2"/>
      <c r="E235" s="2"/>
      <c r="F235" s="33"/>
      <c r="G235" s="33"/>
      <c r="H235" s="33"/>
      <c r="I235" s="32"/>
      <c r="J235" s="32"/>
      <c r="K235" s="35"/>
      <c r="L235" s="32"/>
      <c r="M235" s="79"/>
      <c r="N235" s="82"/>
      <c r="O235" s="2"/>
      <c r="P235" s="13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8" hidden="false" customHeight="false" outlineLevel="0" collapsed="false">
      <c r="A236" s="12"/>
      <c r="B236" s="26"/>
      <c r="C236" s="12"/>
      <c r="D236" s="57" t="s">
        <v>284</v>
      </c>
      <c r="E236" s="57"/>
      <c r="F236" s="64"/>
      <c r="G236" s="64"/>
      <c r="H236" s="64"/>
      <c r="I236" s="70"/>
      <c r="J236" s="70"/>
      <c r="K236" s="65" t="n">
        <f aca="false">SUM(K238:K246)</f>
        <v>5843.0363</v>
      </c>
      <c r="L236" s="65"/>
      <c r="M236" s="80" t="n">
        <f aca="false">SUM(M238:M246)</f>
        <v>9594.04245</v>
      </c>
      <c r="N236" s="83"/>
      <c r="O236" s="27"/>
      <c r="P236" s="31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2.8" hidden="false" customHeight="false" outlineLevel="0" collapsed="false">
      <c r="A237" s="1"/>
      <c r="B237" s="11"/>
      <c r="C237" s="1"/>
      <c r="D237" s="2"/>
      <c r="E237" s="2"/>
      <c r="F237" s="33"/>
      <c r="G237" s="33"/>
      <c r="H237" s="33"/>
      <c r="I237" s="3"/>
      <c r="J237" s="3"/>
      <c r="K237" s="73"/>
      <c r="L237" s="3"/>
      <c r="M237" s="82"/>
      <c r="N237" s="82"/>
      <c r="O237" s="2"/>
      <c r="P237" s="13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23.95" hidden="false" customHeight="false" outlineLevel="0" collapsed="false">
      <c r="A238" s="1"/>
      <c r="B238" s="11"/>
      <c r="C238" s="1"/>
      <c r="D238" s="2" t="s">
        <v>285</v>
      </c>
      <c r="E238" s="2"/>
      <c r="F238" s="33" t="s">
        <v>42</v>
      </c>
      <c r="G238" s="33" t="n">
        <v>0</v>
      </c>
      <c r="H238" s="33" t="n">
        <v>0</v>
      </c>
      <c r="I238" s="67" t="n">
        <v>45.14</v>
      </c>
      <c r="J238" s="67"/>
      <c r="K238" s="35" t="n">
        <f aca="false">(G238*I238)+(G238*J238)</f>
        <v>0</v>
      </c>
      <c r="L238" s="32"/>
      <c r="M238" s="35" t="n">
        <f aca="false">(H238*I238)+(H238*J238)</f>
        <v>0</v>
      </c>
      <c r="N238" s="73"/>
      <c r="O238" s="2" t="s">
        <v>286</v>
      </c>
      <c r="P238" s="13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8" hidden="false" customHeight="false" outlineLevel="0" collapsed="false">
      <c r="A239" s="1"/>
      <c r="B239" s="11"/>
      <c r="C239" s="1"/>
      <c r="D239" s="2" t="s">
        <v>287</v>
      </c>
      <c r="E239" s="2"/>
      <c r="F239" s="33" t="s">
        <v>42</v>
      </c>
      <c r="G239" s="71" t="n">
        <f aca="false">G216</f>
        <v>62.1</v>
      </c>
      <c r="H239" s="71" t="n">
        <f aca="false">H216</f>
        <v>93.15</v>
      </c>
      <c r="I239" s="69" t="n">
        <f aca="false">K57</f>
        <v>22.99</v>
      </c>
      <c r="J239" s="69"/>
      <c r="K239" s="35" t="n">
        <f aca="false">(G239*I239)+(G239*J239)</f>
        <v>1427.679</v>
      </c>
      <c r="L239" s="32"/>
      <c r="M239" s="35" t="n">
        <f aca="false">(H239*I239)+(H239*J239)</f>
        <v>2141.5185</v>
      </c>
      <c r="N239" s="73"/>
      <c r="O239" s="2" t="s">
        <v>141</v>
      </c>
      <c r="P239" s="13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8" hidden="false" customHeight="false" outlineLevel="0" collapsed="false">
      <c r="A240" s="1"/>
      <c r="B240" s="11"/>
      <c r="C240" s="1"/>
      <c r="D240" s="2" t="s">
        <v>288</v>
      </c>
      <c r="E240" s="2"/>
      <c r="F240" s="33" t="s">
        <v>42</v>
      </c>
      <c r="G240" s="71" t="n">
        <f aca="false">G239-39</f>
        <v>23.1</v>
      </c>
      <c r="H240" s="71" t="n">
        <f aca="false">H239-39</f>
        <v>54.15</v>
      </c>
      <c r="I240" s="69" t="n">
        <f aca="false">K58</f>
        <v>21.08</v>
      </c>
      <c r="J240" s="69"/>
      <c r="K240" s="35" t="n">
        <f aca="false">(G240*I240)+(G240*J240)</f>
        <v>486.948</v>
      </c>
      <c r="L240" s="32"/>
      <c r="M240" s="35" t="n">
        <f aca="false">(H240*I240)+(H240*J240)</f>
        <v>1141.482</v>
      </c>
      <c r="N240" s="73"/>
      <c r="O240" s="2" t="s">
        <v>141</v>
      </c>
      <c r="P240" s="13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8" hidden="false" customHeight="false" outlineLevel="0" collapsed="false">
      <c r="A241" s="1"/>
      <c r="B241" s="11"/>
      <c r="C241" s="1"/>
      <c r="D241" s="2" t="s">
        <v>289</v>
      </c>
      <c r="E241" s="2"/>
      <c r="F241" s="33" t="s">
        <v>42</v>
      </c>
      <c r="G241" s="33" t="str">
        <f aca="false">5.96+3.16</f>
        <v>9.12</v>
      </c>
      <c r="H241" s="33" t="str">
        <f aca="false">G241*1.5</f>
        <v>13.68</v>
      </c>
      <c r="I241" s="69" t="n">
        <f aca="false">K55</f>
        <v>27.2</v>
      </c>
      <c r="J241" s="69"/>
      <c r="K241" s="35" t="n">
        <f aca="false">(G241*I241)+(G241*J241)</f>
        <v>248.064</v>
      </c>
      <c r="L241" s="32"/>
      <c r="M241" s="35" t="n">
        <f aca="false">(H241*I241)+(H241*J241)</f>
        <v>372.096</v>
      </c>
      <c r="N241" s="73"/>
      <c r="O241" s="2" t="s">
        <v>141</v>
      </c>
      <c r="P241" s="13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8" hidden="false" customHeight="false" outlineLevel="0" collapsed="false">
      <c r="A242" s="1"/>
      <c r="B242" s="11"/>
      <c r="C242" s="1"/>
      <c r="D242" s="2" t="s">
        <v>290</v>
      </c>
      <c r="E242" s="2"/>
      <c r="F242" s="33" t="s">
        <v>42</v>
      </c>
      <c r="G242" s="71" t="n">
        <f aca="false">G239+(2*G217)</f>
        <v>75.1</v>
      </c>
      <c r="H242" s="71" t="n">
        <f aca="false">H239+(2*H217)</f>
        <v>112.65</v>
      </c>
      <c r="I242" s="69" t="n">
        <f aca="false">K59</f>
        <v>23.47</v>
      </c>
      <c r="J242" s="69"/>
      <c r="K242" s="35" t="n">
        <f aca="false">(G242*I242)+(G242*J242)</f>
        <v>1762.597</v>
      </c>
      <c r="L242" s="32"/>
      <c r="M242" s="35" t="n">
        <f aca="false">(H242*I242)+(H242*J242)</f>
        <v>2643.8955</v>
      </c>
      <c r="N242" s="73"/>
      <c r="O242" s="2" t="s">
        <v>141</v>
      </c>
      <c r="P242" s="13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8" hidden="false" customHeight="false" outlineLevel="0" collapsed="false">
      <c r="A243" s="1"/>
      <c r="B243" s="11"/>
      <c r="C243" s="1"/>
      <c r="D243" s="2" t="s">
        <v>291</v>
      </c>
      <c r="E243" s="2"/>
      <c r="F243" s="33" t="s">
        <v>42</v>
      </c>
      <c r="G243" s="71" t="n">
        <f aca="false">G223+G224+G225</f>
        <v>48.7</v>
      </c>
      <c r="H243" s="71" t="n">
        <f aca="false">H223+H224+H225</f>
        <v>79.65</v>
      </c>
      <c r="I243" s="69" t="n">
        <f aca="false">I242</f>
        <v>23.47</v>
      </c>
      <c r="J243" s="69"/>
      <c r="K243" s="35" t="n">
        <f aca="false">(G243*I243)+(G243*J243)</f>
        <v>1142.989</v>
      </c>
      <c r="L243" s="32"/>
      <c r="M243" s="35" t="n">
        <f aca="false">(H243*I243)+(H243*J243)</f>
        <v>1869.3855</v>
      </c>
      <c r="N243" s="73"/>
      <c r="O243" s="2" t="s">
        <v>292</v>
      </c>
      <c r="P243" s="13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8" hidden="false" customHeight="false" outlineLevel="0" collapsed="false">
      <c r="A244" s="1"/>
      <c r="B244" s="11"/>
      <c r="C244" s="1"/>
      <c r="D244" s="2" t="s">
        <v>293</v>
      </c>
      <c r="E244" s="2"/>
      <c r="F244" s="33" t="s">
        <v>42</v>
      </c>
      <c r="G244" s="33" t="n">
        <v>0</v>
      </c>
      <c r="H244" s="33" t="n">
        <v>0</v>
      </c>
      <c r="I244" s="69" t="n">
        <f aca="false">I243</f>
        <v>23.47</v>
      </c>
      <c r="J244" s="69"/>
      <c r="K244" s="35" t="n">
        <f aca="false">(G244*I244)+(G244*J244)</f>
        <v>0</v>
      </c>
      <c r="L244" s="32"/>
      <c r="M244" s="35" t="n">
        <f aca="false">(H244*I244)+(H244*J244)</f>
        <v>0</v>
      </c>
      <c r="N244" s="73"/>
      <c r="O244" s="2" t="s">
        <v>292</v>
      </c>
      <c r="P244" s="13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8" hidden="false" customHeight="false" outlineLevel="0" collapsed="false">
      <c r="A245" s="1"/>
      <c r="B245" s="11"/>
      <c r="C245" s="1"/>
      <c r="D245" s="2" t="s">
        <v>294</v>
      </c>
      <c r="E245" s="2"/>
      <c r="F245" s="33" t="s">
        <v>42</v>
      </c>
      <c r="G245" s="71" t="n">
        <f aca="false">G240</f>
        <v>23.1</v>
      </c>
      <c r="H245" s="71" t="n">
        <f aca="false">H240</f>
        <v>54.15</v>
      </c>
      <c r="I245" s="69" t="n">
        <f aca="false">K60</f>
        <v>17.67</v>
      </c>
      <c r="J245" s="69"/>
      <c r="K245" s="35" t="n">
        <f aca="false">(G245*I245)+(G245*J245)</f>
        <v>408.177</v>
      </c>
      <c r="L245" s="32"/>
      <c r="M245" s="35" t="n">
        <f aca="false">(H245*I245)+(H245*J245)</f>
        <v>956.8305</v>
      </c>
      <c r="N245" s="73"/>
      <c r="O245" s="2" t="s">
        <v>141</v>
      </c>
      <c r="P245" s="13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8" hidden="false" customHeight="false" outlineLevel="0" collapsed="false">
      <c r="A246" s="1"/>
      <c r="B246" s="11"/>
      <c r="C246" s="1"/>
      <c r="D246" s="2" t="s">
        <v>295</v>
      </c>
      <c r="E246" s="2"/>
      <c r="F246" s="33" t="s">
        <v>42</v>
      </c>
      <c r="G246" s="71" t="n">
        <f aca="false">(G232*0.8*2.1*2)+(0.9*2.1*2)+(G226*0.07)</f>
        <v>16.149</v>
      </c>
      <c r="H246" s="71" t="n">
        <f aca="false">(H232*0.8*2.1*2)+(0.9*2.1*2)+(H226*0.07)</f>
        <v>20.6535</v>
      </c>
      <c r="I246" s="67" t="n">
        <v>22.7</v>
      </c>
      <c r="J246" s="67"/>
      <c r="K246" s="35" t="n">
        <f aca="false">(G246*I246)+(G246*J246)</f>
        <v>366.5823</v>
      </c>
      <c r="L246" s="32"/>
      <c r="M246" s="35" t="n">
        <f aca="false">(H246*I246)+(H246*J246)</f>
        <v>468.83445</v>
      </c>
      <c r="N246" s="73"/>
      <c r="O246" s="2" t="s">
        <v>296</v>
      </c>
      <c r="P246" s="13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8" hidden="false" customHeight="false" outlineLevel="0" collapsed="false">
      <c r="A247" s="1"/>
      <c r="B247" s="11"/>
      <c r="C247" s="1"/>
      <c r="D247" s="2"/>
      <c r="E247" s="2"/>
      <c r="F247" s="33"/>
      <c r="G247" s="33"/>
      <c r="H247" s="33"/>
      <c r="I247" s="32"/>
      <c r="J247" s="32"/>
      <c r="K247" s="35"/>
      <c r="L247" s="32"/>
      <c r="M247" s="79"/>
      <c r="N247" s="82"/>
      <c r="O247" s="2"/>
      <c r="P247" s="13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8" hidden="false" customHeight="false" outlineLevel="0" collapsed="false">
      <c r="A248" s="12"/>
      <c r="B248" s="26"/>
      <c r="C248" s="12"/>
      <c r="D248" s="57" t="s">
        <v>297</v>
      </c>
      <c r="E248" s="57"/>
      <c r="F248" s="64"/>
      <c r="G248" s="64"/>
      <c r="H248" s="64"/>
      <c r="I248" s="70"/>
      <c r="J248" s="70"/>
      <c r="K248" s="65" t="n">
        <f aca="false">SUM(K250:K261)</f>
        <v>1822.313</v>
      </c>
      <c r="L248" s="65"/>
      <c r="M248" s="80" t="n">
        <f aca="false">SUM(M250:M261)</f>
        <v>2086.9145</v>
      </c>
      <c r="N248" s="83"/>
      <c r="O248" s="27"/>
      <c r="P248" s="31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2.8" hidden="false" customHeight="false" outlineLevel="0" collapsed="false">
      <c r="A249" s="1"/>
      <c r="B249" s="11"/>
      <c r="C249" s="1"/>
      <c r="D249" s="2"/>
      <c r="E249" s="2"/>
      <c r="F249" s="33"/>
      <c r="G249" s="33"/>
      <c r="H249" s="33"/>
      <c r="I249" s="32"/>
      <c r="J249" s="32"/>
      <c r="K249" s="35"/>
      <c r="L249" s="32"/>
      <c r="M249" s="79"/>
      <c r="N249" s="82"/>
      <c r="O249" s="2"/>
      <c r="P249" s="13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23.95" hidden="false" customHeight="false" outlineLevel="0" collapsed="false">
      <c r="A250" s="1"/>
      <c r="B250" s="11"/>
      <c r="C250" s="1"/>
      <c r="D250" s="2" t="s">
        <v>298</v>
      </c>
      <c r="E250" s="15"/>
      <c r="F250" s="33" t="s">
        <v>39</v>
      </c>
      <c r="G250" s="33" t="n">
        <v>1</v>
      </c>
      <c r="H250" s="33" t="n">
        <v>1</v>
      </c>
      <c r="I250" s="67" t="n">
        <v>333.29</v>
      </c>
      <c r="J250" s="67"/>
      <c r="K250" s="35" t="n">
        <f aca="false">(G250*I250)+(G250*J250)</f>
        <v>333.29</v>
      </c>
      <c r="L250" s="32"/>
      <c r="M250" s="35" t="n">
        <f aca="false">(H250*I250)+(H250*J250)</f>
        <v>333.29</v>
      </c>
      <c r="N250" s="73"/>
      <c r="O250" s="2" t="s">
        <v>299</v>
      </c>
      <c r="P250" s="13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23.95" hidden="false" customHeight="false" outlineLevel="0" collapsed="false">
      <c r="A251" s="1"/>
      <c r="B251" s="11"/>
      <c r="C251" s="1"/>
      <c r="D251" s="2" t="s">
        <v>300</v>
      </c>
      <c r="E251" s="15"/>
      <c r="F251" s="33" t="s">
        <v>39</v>
      </c>
      <c r="G251" s="33" t="n">
        <v>1</v>
      </c>
      <c r="H251" s="33" t="n">
        <v>1</v>
      </c>
      <c r="I251" s="67" t="n">
        <v>81.57</v>
      </c>
      <c r="J251" s="67"/>
      <c r="K251" s="35" t="n">
        <f aca="false">(G251*I251)+(G251*J251)</f>
        <v>81.57</v>
      </c>
      <c r="L251" s="32"/>
      <c r="M251" s="35" t="n">
        <f aca="false">(H251*I251)+(H251*J251)</f>
        <v>81.57</v>
      </c>
      <c r="N251" s="73"/>
      <c r="O251" s="2" t="s">
        <v>301</v>
      </c>
      <c r="P251" s="13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8" hidden="false" customHeight="false" outlineLevel="0" collapsed="false">
      <c r="A252" s="1"/>
      <c r="B252" s="11"/>
      <c r="C252" s="1"/>
      <c r="D252" s="2" t="s">
        <v>302</v>
      </c>
      <c r="E252" s="15"/>
      <c r="F252" s="33" t="s">
        <v>39</v>
      </c>
      <c r="G252" s="33" t="n">
        <v>2</v>
      </c>
      <c r="H252" s="33" t="n">
        <v>2</v>
      </c>
      <c r="I252" s="67" t="n">
        <v>5.59</v>
      </c>
      <c r="J252" s="67"/>
      <c r="K252" s="35" t="n">
        <f aca="false">(G252*I252)+(G252*J252)</f>
        <v>11.18</v>
      </c>
      <c r="L252" s="32"/>
      <c r="M252" s="35" t="n">
        <f aca="false">(H252*I252)+(H252*J252)</f>
        <v>11.18</v>
      </c>
      <c r="N252" s="73"/>
      <c r="O252" s="2" t="s">
        <v>303</v>
      </c>
      <c r="P252" s="13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8" hidden="false" customHeight="false" outlineLevel="0" collapsed="false">
      <c r="A253" s="1"/>
      <c r="B253" s="11"/>
      <c r="C253" s="1"/>
      <c r="D253" s="2" t="s">
        <v>304</v>
      </c>
      <c r="E253" s="15"/>
      <c r="F253" s="33" t="s">
        <v>39</v>
      </c>
      <c r="G253" s="33" t="n">
        <v>3</v>
      </c>
      <c r="H253" s="33" t="n">
        <v>3</v>
      </c>
      <c r="I253" s="67" t="n">
        <v>51.17</v>
      </c>
      <c r="J253" s="67"/>
      <c r="K253" s="35" t="n">
        <f aca="false">(G253*I253)+(G253*J253)</f>
        <v>153.51</v>
      </c>
      <c r="L253" s="32"/>
      <c r="M253" s="35" t="n">
        <f aca="false">(H253*I253)+(H253*J253)</f>
        <v>153.51</v>
      </c>
      <c r="N253" s="73"/>
      <c r="O253" s="2" t="s">
        <v>305</v>
      </c>
      <c r="P253" s="13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8" hidden="false" customHeight="false" outlineLevel="0" collapsed="false">
      <c r="A254" s="1"/>
      <c r="B254" s="11"/>
      <c r="C254" s="1"/>
      <c r="D254" s="2" t="s">
        <v>306</v>
      </c>
      <c r="E254" s="15"/>
      <c r="F254" s="33" t="s">
        <v>39</v>
      </c>
      <c r="G254" s="33" t="n">
        <v>1</v>
      </c>
      <c r="H254" s="33" t="n">
        <v>1</v>
      </c>
      <c r="I254" s="67" t="n">
        <v>116.42</v>
      </c>
      <c r="J254" s="67"/>
      <c r="K254" s="35" t="n">
        <f aca="false">(G254*I254)+(G254*J254)</f>
        <v>116.42</v>
      </c>
      <c r="L254" s="32"/>
      <c r="M254" s="35" t="n">
        <f aca="false">(H254*I254)+(H254*J254)</f>
        <v>116.42</v>
      </c>
      <c r="N254" s="73"/>
      <c r="O254" s="2" t="s">
        <v>307</v>
      </c>
      <c r="P254" s="13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8" hidden="false" customHeight="false" outlineLevel="0" collapsed="false">
      <c r="A255" s="1"/>
      <c r="B255" s="11"/>
      <c r="C255" s="1"/>
      <c r="D255" s="2" t="s">
        <v>308</v>
      </c>
      <c r="E255" s="15"/>
      <c r="F255" s="33" t="s">
        <v>39</v>
      </c>
      <c r="G255" s="33" t="n">
        <v>2</v>
      </c>
      <c r="H255" s="33" t="n">
        <v>2</v>
      </c>
      <c r="I255" s="67" t="n">
        <v>8.46</v>
      </c>
      <c r="J255" s="67"/>
      <c r="K255" s="35" t="n">
        <f aca="false">(G255*I255)+(G255*J255)</f>
        <v>16.92</v>
      </c>
      <c r="L255" s="32"/>
      <c r="M255" s="35" t="n">
        <f aca="false">(H255*I255)+(H255*J255)</f>
        <v>16.92</v>
      </c>
      <c r="N255" s="73"/>
      <c r="O255" s="2" t="s">
        <v>309</v>
      </c>
      <c r="P255" s="13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8" hidden="false" customHeight="false" outlineLevel="0" collapsed="false">
      <c r="A256" s="1"/>
      <c r="B256" s="11"/>
      <c r="C256" s="1"/>
      <c r="D256" s="2" t="s">
        <v>310</v>
      </c>
      <c r="E256" s="15"/>
      <c r="F256" s="33" t="s">
        <v>39</v>
      </c>
      <c r="G256" s="33" t="n">
        <v>2</v>
      </c>
      <c r="H256" s="33" t="n">
        <v>2</v>
      </c>
      <c r="I256" s="67" t="n">
        <v>39.64</v>
      </c>
      <c r="J256" s="67"/>
      <c r="K256" s="35" t="n">
        <f aca="false">(G256*I256)+(G256*J256)</f>
        <v>79.28</v>
      </c>
      <c r="L256" s="32"/>
      <c r="M256" s="35" t="n">
        <f aca="false">(H256*I256)+(H256*J256)</f>
        <v>79.28</v>
      </c>
      <c r="N256" s="73"/>
      <c r="O256" s="2" t="s">
        <v>311</v>
      </c>
      <c r="P256" s="13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8" hidden="false" customHeight="false" outlineLevel="0" collapsed="false">
      <c r="A257" s="1"/>
      <c r="B257" s="11"/>
      <c r="C257" s="1"/>
      <c r="D257" s="2" t="s">
        <v>312</v>
      </c>
      <c r="E257" s="15"/>
      <c r="F257" s="33" t="s">
        <v>39</v>
      </c>
      <c r="G257" s="33" t="n">
        <v>1</v>
      </c>
      <c r="H257" s="33" t="n">
        <v>1</v>
      </c>
      <c r="I257" s="67" t="n">
        <v>172.82</v>
      </c>
      <c r="J257" s="67"/>
      <c r="K257" s="35" t="n">
        <f aca="false">(G257*I257)+(G257*J257)</f>
        <v>172.82</v>
      </c>
      <c r="L257" s="32"/>
      <c r="M257" s="35" t="n">
        <f aca="false">(H257*I257)+(H257*J257)</f>
        <v>172.82</v>
      </c>
      <c r="N257" s="73"/>
      <c r="O257" s="2" t="s">
        <v>313</v>
      </c>
      <c r="P257" s="13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8" hidden="false" customHeight="false" outlineLevel="0" collapsed="false">
      <c r="A258" s="1"/>
      <c r="B258" s="11"/>
      <c r="C258" s="1"/>
      <c r="D258" s="2" t="s">
        <v>314</v>
      </c>
      <c r="E258" s="15"/>
      <c r="F258" s="33" t="s">
        <v>39</v>
      </c>
      <c r="G258" s="33" t="n">
        <v>1</v>
      </c>
      <c r="H258" s="33" t="n">
        <v>1</v>
      </c>
      <c r="I258" s="67" t="n">
        <v>305.31</v>
      </c>
      <c r="J258" s="67"/>
      <c r="K258" s="35" t="n">
        <f aca="false">(G258*I258)+(G258*J258)</f>
        <v>305.31</v>
      </c>
      <c r="L258" s="32"/>
      <c r="M258" s="35" t="n">
        <f aca="false">(H258*I258)+(H258*J258)</f>
        <v>305.31</v>
      </c>
      <c r="N258" s="73"/>
      <c r="O258" s="2" t="s">
        <v>315</v>
      </c>
      <c r="P258" s="13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8" hidden="false" customHeight="false" outlineLevel="0" collapsed="false">
      <c r="A259" s="1"/>
      <c r="B259" s="11"/>
      <c r="C259" s="1"/>
      <c r="D259" s="2" t="s">
        <v>194</v>
      </c>
      <c r="E259" s="15"/>
      <c r="F259" s="33" t="s">
        <v>51</v>
      </c>
      <c r="G259" s="33" t="str">
        <f aca="false">2+1+1.7+5.3</f>
        <v>10</v>
      </c>
      <c r="H259" s="33" t="str">
        <f aca="false">1.5*G259</f>
        <v>15</v>
      </c>
      <c r="I259" s="69" t="n">
        <f aca="false">K61</f>
        <v>18.3</v>
      </c>
      <c r="J259" s="69"/>
      <c r="K259" s="35" t="n">
        <f aca="false">(G259*I259)+(G259*J259)</f>
        <v>183</v>
      </c>
      <c r="L259" s="32"/>
      <c r="M259" s="35" t="n">
        <f aca="false">(H259*I259)+(H259*J259)</f>
        <v>274.5</v>
      </c>
      <c r="N259" s="73"/>
      <c r="O259" s="2" t="s">
        <v>141</v>
      </c>
      <c r="P259" s="13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8" hidden="false" customHeight="false" outlineLevel="0" collapsed="false">
      <c r="A260" s="1"/>
      <c r="B260" s="11"/>
      <c r="C260" s="1"/>
      <c r="D260" s="2" t="s">
        <v>206</v>
      </c>
      <c r="E260" s="15"/>
      <c r="F260" s="33" t="s">
        <v>51</v>
      </c>
      <c r="G260" s="33" t="str">
        <f aca="false">6.2+0.5+0.5+1.5+1.2</f>
        <v>9.9</v>
      </c>
      <c r="H260" s="33" t="str">
        <f aca="false">G260*1.5</f>
        <v>14.85</v>
      </c>
      <c r="I260" s="69" t="n">
        <f aca="false">K62</f>
        <v>34.97</v>
      </c>
      <c r="J260" s="69"/>
      <c r="K260" s="35" t="n">
        <f aca="false">(G260*I260)+(G260*J260)</f>
        <v>346.203</v>
      </c>
      <c r="L260" s="32"/>
      <c r="M260" s="35" t="n">
        <f aca="false">(H260*I260)+(H260*J260)</f>
        <v>519.3045</v>
      </c>
      <c r="N260" s="73"/>
      <c r="O260" s="2" t="s">
        <v>141</v>
      </c>
      <c r="P260" s="13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8" hidden="false" customHeight="false" outlineLevel="0" collapsed="false">
      <c r="A261" s="1"/>
      <c r="B261" s="11"/>
      <c r="C261" s="1"/>
      <c r="D261" s="2" t="s">
        <v>316</v>
      </c>
      <c r="E261" s="15"/>
      <c r="F261" s="33" t="s">
        <v>39</v>
      </c>
      <c r="G261" s="33" t="n">
        <v>1</v>
      </c>
      <c r="H261" s="33" t="n">
        <v>1</v>
      </c>
      <c r="I261" s="67" t="n">
        <v>22.81</v>
      </c>
      <c r="J261" s="67"/>
      <c r="K261" s="35" t="n">
        <f aca="false">(G261*I261)+(G261*J261)</f>
        <v>22.81</v>
      </c>
      <c r="L261" s="32"/>
      <c r="M261" s="35" t="n">
        <f aca="false">(H261*I261)+(H261*J261)</f>
        <v>22.81</v>
      </c>
      <c r="N261" s="73"/>
      <c r="O261" s="2" t="s">
        <v>205</v>
      </c>
      <c r="P261" s="13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8" hidden="false" customHeight="false" outlineLevel="0" collapsed="false">
      <c r="A262" s="1"/>
      <c r="B262" s="11"/>
      <c r="C262" s="1"/>
      <c r="D262" s="2"/>
      <c r="E262" s="2"/>
      <c r="F262" s="33"/>
      <c r="G262" s="33"/>
      <c r="H262" s="33"/>
      <c r="I262" s="32"/>
      <c r="J262" s="32"/>
      <c r="K262" s="35"/>
      <c r="L262" s="32"/>
      <c r="M262" s="79"/>
      <c r="N262" s="82"/>
      <c r="O262" s="2"/>
      <c r="P262" s="13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8" hidden="false" customHeight="false" outlineLevel="0" collapsed="false">
      <c r="A263" s="12"/>
      <c r="B263" s="26"/>
      <c r="C263" s="12"/>
      <c r="D263" s="57" t="s">
        <v>317</v>
      </c>
      <c r="E263" s="57"/>
      <c r="F263" s="64"/>
      <c r="G263" s="64"/>
      <c r="H263" s="64"/>
      <c r="I263" s="70"/>
      <c r="J263" s="70"/>
      <c r="K263" s="65" t="n">
        <f aca="false">SUM(K265:K276)</f>
        <v>4400.602</v>
      </c>
      <c r="L263" s="65"/>
      <c r="M263" s="80" t="n">
        <f aca="false">SUM(M265:M276)</f>
        <v>5706.658</v>
      </c>
      <c r="N263" s="83"/>
      <c r="O263" s="27"/>
      <c r="P263" s="31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2.8" hidden="false" customHeight="false" outlineLevel="0" collapsed="false">
      <c r="A264" s="1"/>
      <c r="B264" s="11"/>
      <c r="C264" s="1"/>
      <c r="D264" s="2"/>
      <c r="E264" s="2"/>
      <c r="F264" s="33"/>
      <c r="G264" s="33"/>
      <c r="H264" s="33"/>
      <c r="I264" s="32"/>
      <c r="J264" s="32"/>
      <c r="K264" s="35"/>
      <c r="L264" s="32"/>
      <c r="M264" s="79"/>
      <c r="N264" s="82"/>
      <c r="O264" s="2"/>
      <c r="P264" s="13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8" hidden="false" customHeight="false" outlineLevel="0" collapsed="false">
      <c r="A265" s="1"/>
      <c r="B265" s="11"/>
      <c r="C265" s="1"/>
      <c r="D265" s="2" t="s">
        <v>318</v>
      </c>
      <c r="E265" s="15"/>
      <c r="F265" s="33" t="s">
        <v>39</v>
      </c>
      <c r="G265" s="33" t="n">
        <v>1</v>
      </c>
      <c r="H265" s="33" t="n">
        <v>1</v>
      </c>
      <c r="I265" s="67" t="n">
        <v>236.28</v>
      </c>
      <c r="J265" s="67"/>
      <c r="K265" s="35" t="n">
        <f aca="false">(G265*I265)+(G265*J265)</f>
        <v>236.28</v>
      </c>
      <c r="L265" s="32"/>
      <c r="M265" s="35" t="n">
        <f aca="false">(H265*I265)+(H265*J265)</f>
        <v>236.28</v>
      </c>
      <c r="N265" s="73"/>
      <c r="O265" s="2" t="s">
        <v>319</v>
      </c>
      <c r="P265" s="13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8" hidden="false" customHeight="false" outlineLevel="0" collapsed="false">
      <c r="A266" s="1"/>
      <c r="B266" s="11"/>
      <c r="C266" s="1"/>
      <c r="D266" s="2" t="s">
        <v>320</v>
      </c>
      <c r="E266" s="15"/>
      <c r="F266" s="33" t="s">
        <v>39</v>
      </c>
      <c r="G266" s="33" t="n">
        <v>5</v>
      </c>
      <c r="H266" s="33" t="n">
        <v>5</v>
      </c>
      <c r="I266" s="67" t="n">
        <v>40.76</v>
      </c>
      <c r="J266" s="67"/>
      <c r="K266" s="35" t="n">
        <f aca="false">(G266*I266)+(G266*J266)</f>
        <v>203.8</v>
      </c>
      <c r="L266" s="32"/>
      <c r="M266" s="35" t="n">
        <f aca="false">(H266*I266)+(H266*J266)</f>
        <v>203.8</v>
      </c>
      <c r="N266" s="73"/>
      <c r="O266" s="2" t="s">
        <v>321</v>
      </c>
      <c r="P266" s="13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8" hidden="false" customHeight="false" outlineLevel="0" collapsed="false">
      <c r="A267" s="1"/>
      <c r="B267" s="11"/>
      <c r="C267" s="1"/>
      <c r="D267" s="2" t="s">
        <v>322</v>
      </c>
      <c r="E267" s="15"/>
      <c r="F267" s="33" t="s">
        <v>39</v>
      </c>
      <c r="G267" s="33" t="n">
        <v>1</v>
      </c>
      <c r="H267" s="33" t="n">
        <v>1</v>
      </c>
      <c r="I267" s="67" t="n">
        <v>40.13</v>
      </c>
      <c r="J267" s="67"/>
      <c r="K267" s="35" t="n">
        <f aca="false">(G267*I267)+(G267*J267)</f>
        <v>40.13</v>
      </c>
      <c r="L267" s="32"/>
      <c r="M267" s="35" t="n">
        <f aca="false">(H267*I267)+(H267*J267)</f>
        <v>40.13</v>
      </c>
      <c r="N267" s="73"/>
      <c r="O267" s="2" t="s">
        <v>323</v>
      </c>
      <c r="P267" s="13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8" hidden="false" customHeight="false" outlineLevel="0" collapsed="false">
      <c r="A268" s="1"/>
      <c r="B268" s="11"/>
      <c r="C268" s="1"/>
      <c r="D268" s="2" t="s">
        <v>324</v>
      </c>
      <c r="E268" s="15"/>
      <c r="F268" s="33" t="s">
        <v>51</v>
      </c>
      <c r="G268" s="33" t="str">
        <f aca="false">7.1+1.2+6.5+9.4+6.5+3.1+3.7+3.7+6</f>
        <v>47.2</v>
      </c>
      <c r="H268" s="33" t="str">
        <f aca="false">1.5*G268</f>
        <v>70.8</v>
      </c>
      <c r="I268" s="69" t="n">
        <f aca="false">K65</f>
        <v>14.58</v>
      </c>
      <c r="J268" s="69"/>
      <c r="K268" s="35" t="n">
        <f aca="false">(G268*I268)+(G268*J268)</f>
        <v>688.176</v>
      </c>
      <c r="L268" s="32"/>
      <c r="M268" s="35" t="n">
        <f aca="false">(H268*I268)+(H268*J268)</f>
        <v>1032.264</v>
      </c>
      <c r="N268" s="73"/>
      <c r="O268" s="2" t="s">
        <v>141</v>
      </c>
      <c r="P268" s="13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8" hidden="false" customHeight="false" outlineLevel="0" collapsed="false">
      <c r="A269" s="1"/>
      <c r="B269" s="11"/>
      <c r="C269" s="1"/>
      <c r="D269" s="2" t="s">
        <v>325</v>
      </c>
      <c r="E269" s="15"/>
      <c r="F269" s="33" t="s">
        <v>51</v>
      </c>
      <c r="G269" s="71" t="n">
        <f aca="false">G268*2</f>
        <v>94.4</v>
      </c>
      <c r="H269" s="71" t="n">
        <f aca="false">H268*2</f>
        <v>141.6</v>
      </c>
      <c r="I269" s="69" t="n">
        <f aca="false">K66</f>
        <v>2.09</v>
      </c>
      <c r="J269" s="69"/>
      <c r="K269" s="35" t="n">
        <f aca="false">(G269*I269)+(G269*J269)</f>
        <v>197.296</v>
      </c>
      <c r="L269" s="32"/>
      <c r="M269" s="35" t="n">
        <f aca="false">(H269*I269)+(H269*J269)</f>
        <v>295.944</v>
      </c>
      <c r="N269" s="73"/>
      <c r="O269" s="2" t="s">
        <v>141</v>
      </c>
      <c r="P269" s="13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8" hidden="false" customHeight="false" outlineLevel="0" collapsed="false">
      <c r="A270" s="1"/>
      <c r="B270" s="11"/>
      <c r="C270" s="1"/>
      <c r="D270" s="2" t="s">
        <v>326</v>
      </c>
      <c r="E270" s="15"/>
      <c r="F270" s="33" t="s">
        <v>39</v>
      </c>
      <c r="G270" s="33" t="n">
        <f aca="false">G271+G272+10</f>
        <v>31</v>
      </c>
      <c r="H270" s="33" t="n">
        <f aca="false">H271+H272+10</f>
        <v>37</v>
      </c>
      <c r="I270" s="67" t="n">
        <v>1.33</v>
      </c>
      <c r="J270" s="67"/>
      <c r="K270" s="35" t="n">
        <f aca="false">(G270*I270)+(G270*J270)</f>
        <v>41.23</v>
      </c>
      <c r="L270" s="32"/>
      <c r="M270" s="35" t="n">
        <f aca="false">(H270*I270)+(H270*J270)</f>
        <v>49.21</v>
      </c>
      <c r="N270" s="73"/>
      <c r="O270" s="2" t="s">
        <v>327</v>
      </c>
      <c r="P270" s="13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8" hidden="false" customHeight="false" outlineLevel="0" collapsed="false">
      <c r="A271" s="1"/>
      <c r="B271" s="11"/>
      <c r="C271" s="1"/>
      <c r="D271" s="2" t="s">
        <v>328</v>
      </c>
      <c r="E271" s="15"/>
      <c r="F271" s="33" t="s">
        <v>39</v>
      </c>
      <c r="G271" s="33" t="n">
        <v>14</v>
      </c>
      <c r="H271" s="33" t="n">
        <v>18</v>
      </c>
      <c r="I271" s="67" t="n">
        <v>138.7</v>
      </c>
      <c r="J271" s="67"/>
      <c r="K271" s="35" t="n">
        <f aca="false">(G271*I271)+(G271*J271)</f>
        <v>1941.8</v>
      </c>
      <c r="L271" s="32"/>
      <c r="M271" s="35" t="n">
        <f aca="false">(H271*I271)+(H271*J271)</f>
        <v>2496.6</v>
      </c>
      <c r="N271" s="73"/>
      <c r="O271" s="2" t="s">
        <v>329</v>
      </c>
      <c r="P271" s="13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8" hidden="false" customHeight="false" outlineLevel="0" collapsed="false">
      <c r="A272" s="1"/>
      <c r="B272" s="11"/>
      <c r="C272" s="1"/>
      <c r="D272" s="2" t="s">
        <v>330</v>
      </c>
      <c r="E272" s="15"/>
      <c r="F272" s="33" t="s">
        <v>39</v>
      </c>
      <c r="G272" s="33" t="n">
        <v>7</v>
      </c>
      <c r="H272" s="33" t="n">
        <v>9</v>
      </c>
      <c r="I272" s="69" t="str">
        <f aca="false">K63</f>
        <v>R$ 24.60</v>
      </c>
      <c r="J272" s="69"/>
      <c r="K272" s="35" t="str">
        <f aca="false">(G272*H272)+(G272*I272)</f>
        <v>R$ 235.20</v>
      </c>
      <c r="L272" s="32"/>
      <c r="M272" s="35" t="str">
        <f aca="false">(H272*H272)+(H272*I272)</f>
        <v>R$ 302.40</v>
      </c>
      <c r="N272" s="73"/>
      <c r="O272" s="2" t="s">
        <v>141</v>
      </c>
      <c r="P272" s="13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8" hidden="false" customHeight="false" outlineLevel="0" collapsed="false">
      <c r="A273" s="1"/>
      <c r="B273" s="11"/>
      <c r="C273" s="1"/>
      <c r="D273" s="2" t="s">
        <v>331</v>
      </c>
      <c r="E273" s="15"/>
      <c r="F273" s="33" t="s">
        <v>51</v>
      </c>
      <c r="G273" s="33" t="n">
        <v>10</v>
      </c>
      <c r="H273" s="33" t="n">
        <v>10</v>
      </c>
      <c r="I273" s="69" t="str">
        <f aca="false">I268+I269</f>
        <v>R$ 16.67</v>
      </c>
      <c r="J273" s="69"/>
      <c r="K273" s="35" t="str">
        <f aca="false">(G273*I273)+(G273*J273)</f>
        <v>R$ 166.70</v>
      </c>
      <c r="L273" s="32"/>
      <c r="M273" s="35" t="str">
        <f aca="false">(H273*I273)+(H273*J273)</f>
        <v>R$ 166.70</v>
      </c>
      <c r="N273" s="73"/>
      <c r="O273" s="2" t="s">
        <v>332</v>
      </c>
      <c r="P273" s="13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8" hidden="false" customHeight="false" outlineLevel="0" collapsed="false">
      <c r="A274" s="1"/>
      <c r="B274" s="11"/>
      <c r="C274" s="1"/>
      <c r="D274" s="2" t="s">
        <v>333</v>
      </c>
      <c r="E274" s="15"/>
      <c r="F274" s="33" t="s">
        <v>39</v>
      </c>
      <c r="G274" s="33" t="n">
        <v>1</v>
      </c>
      <c r="H274" s="33" t="n">
        <v>1</v>
      </c>
      <c r="I274" s="67" t="n">
        <v>99.46</v>
      </c>
      <c r="J274" s="67"/>
      <c r="K274" s="35" t="str">
        <f aca="false">(G274*H274)+(G274*I274)</f>
        <v>R$ 100.46</v>
      </c>
      <c r="L274" s="32"/>
      <c r="M274" s="35" t="str">
        <f aca="false">(H274*H274)+(H274*I274)</f>
        <v>R$ 100.46</v>
      </c>
      <c r="N274" s="73"/>
      <c r="O274" s="2" t="s">
        <v>334</v>
      </c>
      <c r="P274" s="13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8" hidden="false" customHeight="false" outlineLevel="0" collapsed="false">
      <c r="A275" s="1"/>
      <c r="B275" s="11"/>
      <c r="C275" s="1"/>
      <c r="D275" s="2" t="s">
        <v>335</v>
      </c>
      <c r="E275" s="15"/>
      <c r="F275" s="33" t="s">
        <v>39</v>
      </c>
      <c r="G275" s="33" t="n">
        <v>7</v>
      </c>
      <c r="H275" s="33" t="n">
        <v>9</v>
      </c>
      <c r="I275" s="67" t="n">
        <v>120.2</v>
      </c>
      <c r="J275" s="67"/>
      <c r="K275" s="35" t="n">
        <f aca="false">(G275*I275)+(G275*J275)</f>
        <v>841.4</v>
      </c>
      <c r="L275" s="32"/>
      <c r="M275" s="35" t="n">
        <f aca="false">(H275*I275)+(H275*J275)</f>
        <v>1081.8</v>
      </c>
      <c r="N275" s="73"/>
      <c r="O275" s="2" t="s">
        <v>336</v>
      </c>
      <c r="P275" s="13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8" hidden="false" customHeight="false" outlineLevel="0" collapsed="false">
      <c r="A276" s="1"/>
      <c r="B276" s="11"/>
      <c r="C276" s="1"/>
      <c r="D276" s="2" t="s">
        <v>337</v>
      </c>
      <c r="E276" s="15"/>
      <c r="F276" s="33" t="s">
        <v>39</v>
      </c>
      <c r="G276" s="33" t="n">
        <v>7</v>
      </c>
      <c r="H276" s="33" t="n">
        <v>9</v>
      </c>
      <c r="I276" s="69" t="n">
        <f aca="false">K64</f>
        <v>30.07</v>
      </c>
      <c r="J276" s="69"/>
      <c r="K276" s="35" t="n">
        <f aca="false">(G276*I276)+(G276*J276)</f>
        <v>210.49</v>
      </c>
      <c r="L276" s="32"/>
      <c r="M276" s="35" t="n">
        <f aca="false">(H276*I276)+(H276*J276)</f>
        <v>270.63</v>
      </c>
      <c r="N276" s="73"/>
      <c r="O276" s="2" t="s">
        <v>141</v>
      </c>
      <c r="P276" s="13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8" hidden="false" customHeight="false" outlineLevel="0" collapsed="false">
      <c r="A277" s="1"/>
      <c r="B277" s="11"/>
      <c r="C277" s="1"/>
      <c r="D277" s="2"/>
      <c r="E277" s="2"/>
      <c r="F277" s="33"/>
      <c r="G277" s="1"/>
      <c r="H277" s="1"/>
      <c r="I277" s="3"/>
      <c r="J277" s="3"/>
      <c r="K277" s="3"/>
      <c r="L277" s="3"/>
      <c r="M277" s="2"/>
      <c r="N277" s="2"/>
      <c r="O277" s="2"/>
      <c r="P277" s="13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8" hidden="false" customHeight="false" outlineLevel="0" collapsed="false">
      <c r="A278" s="1"/>
      <c r="B278" s="16"/>
      <c r="C278" s="17"/>
      <c r="D278" s="20"/>
      <c r="E278" s="20"/>
      <c r="F278" s="74"/>
      <c r="G278" s="17"/>
      <c r="H278" s="17"/>
      <c r="I278" s="19"/>
      <c r="J278" s="19"/>
      <c r="K278" s="19"/>
      <c r="L278" s="19"/>
      <c r="M278" s="20"/>
      <c r="N278" s="20"/>
      <c r="O278" s="20"/>
      <c r="P278" s="21"/>
      <c r="Q278" s="1"/>
      <c r="R278" s="1"/>
      <c r="S278" s="1"/>
      <c r="T278" s="1"/>
      <c r="U278" s="1"/>
      <c r="V278" s="1"/>
      <c r="W278" s="1"/>
      <c r="X278" s="1"/>
      <c r="Y278" s="1"/>
      <c r="Z278" s="1"/>
    </row>
  </sheetData>
  <mergeCells count="191">
    <mergeCell ref="M19:M22"/>
    <mergeCell ref="O19:O22"/>
    <mergeCell ref="H23:H24"/>
    <mergeCell ref="M23:M24"/>
    <mergeCell ref="O23:O24"/>
    <mergeCell ref="M26:O26"/>
    <mergeCell ref="M31:O31"/>
    <mergeCell ref="M33:O33"/>
    <mergeCell ref="M44:O44"/>
    <mergeCell ref="M45:O45"/>
    <mergeCell ref="M46:O46"/>
    <mergeCell ref="M50:O50"/>
    <mergeCell ref="C52:F52"/>
    <mergeCell ref="C53:F53"/>
    <mergeCell ref="M64:O64"/>
    <mergeCell ref="C65:D65"/>
    <mergeCell ref="M65:O65"/>
    <mergeCell ref="C66:D66"/>
    <mergeCell ref="I79:J79"/>
    <mergeCell ref="M81:O81"/>
    <mergeCell ref="M83:O83"/>
    <mergeCell ref="M84:M86"/>
    <mergeCell ref="M87:O87"/>
    <mergeCell ref="M88:O88"/>
    <mergeCell ref="M89:O89"/>
    <mergeCell ref="M93:O93"/>
    <mergeCell ref="M94:O94"/>
    <mergeCell ref="M95:O95"/>
    <mergeCell ref="I96:J96"/>
    <mergeCell ref="I97:J97"/>
    <mergeCell ref="M97:O97"/>
    <mergeCell ref="I100:J100"/>
    <mergeCell ref="M100:O100"/>
    <mergeCell ref="I101:J101"/>
    <mergeCell ref="M102:O102"/>
    <mergeCell ref="I106:J106"/>
    <mergeCell ref="M106:O106"/>
    <mergeCell ref="I107:J107"/>
    <mergeCell ref="M107:O107"/>
    <mergeCell ref="I108:J108"/>
    <mergeCell ref="M108:O108"/>
    <mergeCell ref="I109:J109"/>
    <mergeCell ref="M109:O109"/>
    <mergeCell ref="I110:J110"/>
    <mergeCell ref="I111:J111"/>
    <mergeCell ref="I112:J112"/>
    <mergeCell ref="I113:J113"/>
    <mergeCell ref="I118:J118"/>
    <mergeCell ref="M118:O118"/>
    <mergeCell ref="I119:J119"/>
    <mergeCell ref="M119:O119"/>
    <mergeCell ref="I120:J120"/>
    <mergeCell ref="M120:O120"/>
    <mergeCell ref="I127:J127"/>
    <mergeCell ref="M127:O127"/>
    <mergeCell ref="I128:J128"/>
    <mergeCell ref="I129:J129"/>
    <mergeCell ref="M129:O129"/>
    <mergeCell ref="I130:J130"/>
    <mergeCell ref="M130:O130"/>
    <mergeCell ref="I131:J131"/>
    <mergeCell ref="I132:J132"/>
    <mergeCell ref="M132:O132"/>
    <mergeCell ref="I133:J133"/>
    <mergeCell ref="M133:O133"/>
    <mergeCell ref="I134:J134"/>
    <mergeCell ref="M134:O134"/>
    <mergeCell ref="I135:J135"/>
    <mergeCell ref="M135:O135"/>
    <mergeCell ref="I136:J136"/>
    <mergeCell ref="I137:J137"/>
    <mergeCell ref="I138:J138"/>
    <mergeCell ref="M138:O138"/>
    <mergeCell ref="I142:J142"/>
    <mergeCell ref="M142:O142"/>
    <mergeCell ref="I143:J143"/>
    <mergeCell ref="M143:O143"/>
    <mergeCell ref="I144:J144"/>
    <mergeCell ref="M144:O144"/>
    <mergeCell ref="I145:J145"/>
    <mergeCell ref="M145:O145"/>
    <mergeCell ref="I146:J146"/>
    <mergeCell ref="M146:O146"/>
    <mergeCell ref="I147:J147"/>
    <mergeCell ref="M147:O147"/>
    <mergeCell ref="I148:J148"/>
    <mergeCell ref="M148:O148"/>
    <mergeCell ref="I149:J149"/>
    <mergeCell ref="M149:O149"/>
    <mergeCell ref="I150:J150"/>
    <mergeCell ref="M150:O150"/>
    <mergeCell ref="I151:J151"/>
    <mergeCell ref="M151:O151"/>
    <mergeCell ref="I152:J152"/>
    <mergeCell ref="M152:O152"/>
    <mergeCell ref="I153:J153"/>
    <mergeCell ref="I157:J157"/>
    <mergeCell ref="I158:J158"/>
    <mergeCell ref="I159:J159"/>
    <mergeCell ref="M159:O159"/>
    <mergeCell ref="I160:J160"/>
    <mergeCell ref="M160:O160"/>
    <mergeCell ref="I161:J161"/>
    <mergeCell ref="I162:J162"/>
    <mergeCell ref="I163:J163"/>
    <mergeCell ref="I164:J164"/>
    <mergeCell ref="I165:J165"/>
    <mergeCell ref="M165:O165"/>
    <mergeCell ref="I169:J169"/>
    <mergeCell ref="I170:J170"/>
    <mergeCell ref="I171:J171"/>
    <mergeCell ref="I178:J178"/>
    <mergeCell ref="M178:O178"/>
    <mergeCell ref="I179:J179"/>
    <mergeCell ref="I180:J180"/>
    <mergeCell ref="M180:O180"/>
    <mergeCell ref="I181:J181"/>
    <mergeCell ref="I182:J182"/>
    <mergeCell ref="I186:J186"/>
    <mergeCell ref="M186:O186"/>
    <mergeCell ref="I187:J187"/>
    <mergeCell ref="M187:O187"/>
    <mergeCell ref="I188:J188"/>
    <mergeCell ref="I189:J189"/>
    <mergeCell ref="M189:O189"/>
    <mergeCell ref="I190:J190"/>
    <mergeCell ref="I191:J191"/>
    <mergeCell ref="I192:J192"/>
    <mergeCell ref="I193:J193"/>
    <mergeCell ref="I194:J194"/>
    <mergeCell ref="I195:J195"/>
    <mergeCell ref="I196:J196"/>
    <mergeCell ref="M196:O196"/>
    <mergeCell ref="I197:J197"/>
    <mergeCell ref="I198:J198"/>
    <mergeCell ref="M198:O198"/>
    <mergeCell ref="I199:J199"/>
    <mergeCell ref="M199:O199"/>
    <mergeCell ref="I200:J200"/>
    <mergeCell ref="M200:O200"/>
    <mergeCell ref="I204:J204"/>
    <mergeCell ref="M204:O204"/>
    <mergeCell ref="I205:J205"/>
    <mergeCell ref="M205:O205"/>
    <mergeCell ref="I206:J206"/>
    <mergeCell ref="I216:J216"/>
    <mergeCell ref="I217:J217"/>
    <mergeCell ref="I218:J218"/>
    <mergeCell ref="I219:J219"/>
    <mergeCell ref="I223:J223"/>
    <mergeCell ref="I224:J224"/>
    <mergeCell ref="I225:J225"/>
    <mergeCell ref="I226:J226"/>
    <mergeCell ref="I230:J230"/>
    <mergeCell ref="I231:J231"/>
    <mergeCell ref="I232:J232"/>
    <mergeCell ref="I233:J233"/>
    <mergeCell ref="I234:J234"/>
    <mergeCell ref="I238:J238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59:J259"/>
    <mergeCell ref="I260:J260"/>
    <mergeCell ref="I261:J261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6:J27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Yorik van Havre</cp:lastModifiedBy>
  <dcterms:modified xsi:type="dcterms:W3CDTF">2017-04-26T18:36:04Z</dcterms:modified>
  <cp:revision>3</cp:revision>
  <dc:subject/>
  <dc:title/>
</cp:coreProperties>
</file>