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sov\Desktop\4 курс\ВКР\"/>
    </mc:Choice>
  </mc:AlternateContent>
  <xr:revisionPtr revIDLastSave="0" documentId="13_ncr:1_{A7F0CECD-CA2E-4F8E-867E-8B806A961FBF}" xr6:coauthVersionLast="47" xr6:coauthVersionMax="47" xr10:uidLastSave="{00000000-0000-0000-0000-000000000000}"/>
  <bookViews>
    <workbookView xWindow="-108" yWindow="-108" windowWidth="23256" windowHeight="12456" firstSheet="1" activeTab="2" xr2:uid="{489CC50C-F681-4130-B7CE-EC1EE278EB03}"/>
  </bookViews>
  <sheets>
    <sheet name="gdp" sheetId="1" r:id="rId1"/>
    <sheet name="доля годы" sheetId="3" r:id="rId2"/>
    <sheet name="QoQ" sheetId="4" r:id="rId3"/>
    <sheet name="cross-sectoral variation" sheetId="5" r:id="rId4"/>
    <sheet name="cross-sectoral correlation" sheetId="7" r:id="rId5"/>
    <sheet name="csv for graph" sheetId="6" r:id="rId6"/>
    <sheet name="csc for graph" sheetId="8" r:id="rId7"/>
  </sheets>
  <definedNames>
    <definedName name="_QR001">#REF!</definedName>
    <definedName name="_QR002">#REF!</definedName>
    <definedName name="_QR003">#REF!</definedName>
    <definedName name="_QR004">#REF!</definedName>
    <definedName name="_QR011">#REF!</definedName>
    <definedName name="_QR012">#REF!</definedName>
    <definedName name="_QR013">#REF!</definedName>
    <definedName name="_QR014">#REF!</definedName>
    <definedName name="_QR021">#REF!</definedName>
    <definedName name="_QR022">#REF!</definedName>
    <definedName name="_QR023">#REF!</definedName>
    <definedName name="_QR024">#REF!</definedName>
    <definedName name="_QR971">#REF!</definedName>
    <definedName name="_QR972">#REF!</definedName>
    <definedName name="_QR981">#REF!</definedName>
    <definedName name="_QR982">#REF!</definedName>
    <definedName name="_QR983">#REF!</definedName>
    <definedName name="_QR984">#REF!</definedName>
    <definedName name="_QR991">#REF!</definedName>
    <definedName name="_QR992">#REF!</definedName>
    <definedName name="_QR993">#REF!</definedName>
    <definedName name="_qr994">#REF!</definedName>
    <definedName name="BroadMoney2016">#REF!</definedName>
    <definedName name="Consumer">#REF!</definedName>
    <definedName name="Corporates">#REF!</definedName>
    <definedName name="D1_Currency">OFFSET(#REF!, 0, 0, COUNTA(#REF!), 1)</definedName>
    <definedName name="D1_Current">OFFSET(#REF!, 0, 0, COUNTA(#REF!), 1)</definedName>
    <definedName name="D1_Date">OFFSET(#REF!, 0, 0, COUNTA(#REF!), )</definedName>
    <definedName name="D1_Finrez">OFFSET(#REF!, 0, 0, COUNTA(#REF!), 1)</definedName>
    <definedName name="D1_Interest">OFFSET(#REF!, 0, 0, COUNTA(#REF!), 1)</definedName>
    <definedName name="D1_NCR">OFFSET(#REF!, 0, 0, COUNTA(#REF!), 1)</definedName>
    <definedName name="D1_Other">OFFSET(#REF!, 0, 0, COUNTA(#REF!), 1)</definedName>
    <definedName name="D1_Reserves">OFFSET(#REF!, 0, 0, COUNTA(#REF!), 1)</definedName>
    <definedName name="D1_RKO">OFFSET(#REF!, 0, 0, COUNTA(#REF!), 1)</definedName>
    <definedName name="D1a_Currency">OFFSET(#REF!, 0, 0, COUNTA(#REF!), 1)</definedName>
    <definedName name="D1a_Current">OFFSET(#REF!, 0, 0, COUNTA(#REF!), 1)</definedName>
    <definedName name="D1a_Date">OFFSET(#REF!, 0, 0, COUNTA(#REF!), )</definedName>
    <definedName name="D1a_Finrez">OFFSET(#REF!, 0, 0, COUNTA(#REF!), 1)</definedName>
    <definedName name="D1a_Interest">OFFSET(#REF!, 0, 0, COUNTA(#REF!), 1)</definedName>
    <definedName name="D1a_NCR">OFFSET(#REF!, 0, 0, COUNTA(#REF!), 1)</definedName>
    <definedName name="D1a_Other">OFFSET(#REF!, 0, 0, COUNTA(#REF!), 1)</definedName>
    <definedName name="D1a_Reserves">OFFSET(#REF!, 0, 0, COUNTA(#REF!), 1)</definedName>
    <definedName name="D1a_RKO">OFFSET(#REF!, 0, 0, COUNTA(#REF!), 1)</definedName>
    <definedName name="D2_Bonds">OFFSET(#REF!, 0, 0, COUNTA(#REF!), 1)</definedName>
    <definedName name="D2_BoR">OFFSET(#REF!, 0, 0, COUNTA(#REF!), 1)</definedName>
    <definedName name="D2_Credits2Households">OFFSET(#REF!, 0, 0, COUNTA(#REF!), 1)</definedName>
    <definedName name="D2_Credits2NonResidents">OFFSET(#REF!, 0, 0, COUNTA(#REF!), 1)</definedName>
    <definedName name="D2_Credits2Residents">OFFSET(#REF!, 0, 0, COUNTA(#REF!), 1)</definedName>
    <definedName name="D2_Date">OFFSET(#REF!, 0, 0, COUNTA(#REF!), )</definedName>
    <definedName name="D2_Government">OFFSET(#REF!, 0, 0, COUNTA(#REF!), 1)</definedName>
    <definedName name="D2_HouseholdDeposits">OFFSET(#REF!, 0, 0, COUNTA(#REF!), 1)</definedName>
    <definedName name="D2_Interest">OFFSET(#REF!, 0, 0, COUNTA(#REF!), 1)</definedName>
    <definedName name="D2_OtherAssets">OFFSET(#REF!, 0, 0, COUNTA(#REF!), 1)</definedName>
    <definedName name="D2_OtherDeposits">OFFSET(#REF!, 0, 0, COUNTA(#REF!), 1)</definedName>
    <definedName name="D2_OtherLiabilities">OFFSET(#REF!, 0, 0, COUNTA(#REF!), 1)</definedName>
    <definedName name="D2a_Bonds">OFFSET(#REF!, 0, 0, COUNTA(#REF!), 1)</definedName>
    <definedName name="D2a_BoR">OFFSET(#REF!, 0, 0, COUNTA(#REF!), 1)</definedName>
    <definedName name="D2a_Credits2Households">OFFSET(#REF!, 0, 0, COUNTA(#REF!), 1)</definedName>
    <definedName name="D2a_Credits2NonResidents">OFFSET(#REF!, 0, 0, COUNTA(#REF!), 1)</definedName>
    <definedName name="D2a_Credits2Residents">OFFSET(#REF!, 0, 0, COUNTA(#REF!), 1)</definedName>
    <definedName name="D2a_Date">OFFSET(#REF!, 0, 0, COUNTA(#REF!), )</definedName>
    <definedName name="D2a_Government">OFFSET(#REF!, 0, 0, COUNTA(#REF!), 1)</definedName>
    <definedName name="D2a_HouseholdDeposits">OFFSET(#REF!, 0, 0, COUNTA(#REF!), 1)</definedName>
    <definedName name="D2a_Interest">OFFSET(#REF!, 0, 0, COUNTA(#REF!), 1)</definedName>
    <definedName name="D2a_OtherAssets">OFFSET(#REF!, 0, 0, COUNTA(#REF!), 1)</definedName>
    <definedName name="D2a_OtherDeposits">OFFSET(#REF!, 0, 0, COUNTA(#REF!), 1)</definedName>
    <definedName name="D2a_OtherLiabilities">OFFSET(#REF!, 0, 0, COUNTA(#REF!), 1)</definedName>
    <definedName name="D3_Current">OFFSET(#REF!, 0, 0, COUNTA(#REF!), 1)</definedName>
    <definedName name="D3_Current_30">OFFSET(#REF!, 0, 0, COUNTA(#REF!), 1)</definedName>
    <definedName name="D3_Date">OFFSET(#REF!, 0, 0, COUNTA(#REF!), )</definedName>
    <definedName name="D3_Finrez">OFFSET(#REF!, 0, 0, COUNTA(#REF!), 1)</definedName>
    <definedName name="D3_Interest">OFFSET(#REF!, 0, 0, COUNTA(#REF!), 1)</definedName>
    <definedName name="D3_Interest_30">OFFSET(#REF!, 0, 0, COUNTA(#REF!), 1)</definedName>
    <definedName name="D3_Other">OFFSET(#REF!, 0, 0, COUNTA(#REF!), 1)</definedName>
    <definedName name="D3_Other_30">OFFSET(#REF!, 0, 0, COUNTA(#REF!), 1)</definedName>
    <definedName name="D3_Reserves">OFFSET(#REF!, 0, 0, COUNTA(#REF!), 1)</definedName>
    <definedName name="D3_Reserves_30">OFFSET(#REF!, 0, 0, COUNTA(#REF!), 1)</definedName>
    <definedName name="D4_30">OFFSET(#REF!, 0, 0, COUNTA(#REF!), 1)</definedName>
    <definedName name="D4_Date">OFFSET(#REF!, 0, 0, COUNTA(#REF!), )</definedName>
    <definedName name="D4_Finrez">OFFSET(#REF!, 0, 0, COUNTA(#REF!), 1)</definedName>
    <definedName name="D4_Other">OFFSET(#REF!, 0, 0, COUNTA(#REF!), 1)</definedName>
    <definedName name="D5_Credits2Households">OFFSET(#REF!, 0, 0, COUNTA(#REF!), 1)</definedName>
    <definedName name="D5_Credits2Households_30">OFFSET(#REF!, 0, 0, COUNTA(#REF!), 1)</definedName>
    <definedName name="D5_Credits2Organisations">OFFSET(#REF!, 0, 0, COUNTA(#REF!), 1)</definedName>
    <definedName name="D5_Credits2Organisations_30">OFFSET(#REF!, 0, 0, COUNTA(#REF!), 1)</definedName>
    <definedName name="D5_Date">OFFSET(#REF!, 0, 0, COUNTA(#REF!), )</definedName>
    <definedName name="D5_HouseholdDeposits">OFFSET(#REF!, 0, 0, COUNTA(#REF!), 1)</definedName>
    <definedName name="D5_HouseholdDeposits_30">OFFSET(#REF!, 0, 0, COUNTA(#REF!), 1)</definedName>
    <definedName name="D5_Interest">OFFSET(#REF!, 0, 0, COUNTA(#REF!), 1)</definedName>
    <definedName name="D5_OrganisationsDeposits">OFFSET(#REF!, 0, 0, COUNTA(#REF!), 1)</definedName>
    <definedName name="D5_OrganisationsDeposits_30">OFFSET(#REF!, 0, 0, COUNTA(#REF!), 1)</definedName>
    <definedName name="D5_OtherAssets">OFFSET(#REF!, 0, 0, COUNTA(#REF!), 1)</definedName>
    <definedName name="D5_OtherAssets_30">OFFSET(#REF!, 0, 0, COUNTA(#REF!), 1)</definedName>
    <definedName name="D5_OtherLiabilities">OFFSET(#REF!, 0, 0, COUNTA(#REF!), 1)</definedName>
    <definedName name="D5_OtherLiabilities_30">OFFSET(#REF!, 0, 0, COUNTA(#REF!), 1)</definedName>
    <definedName name="DevelopedEconomies">#REF!</definedName>
    <definedName name="Developing_economies">#REF!</definedName>
    <definedName name="DFG">OFFSET(#REF!, 0, 0, COUNTA(#REF!),1)</definedName>
    <definedName name="diff_big">OFFSET(#REF!, 0, 0, COUNTA(#REF!), 1)</definedName>
    <definedName name="diff_cons">OFFSET(#REF!, 0, 0, COUNTA(#REF!), 1)</definedName>
    <definedName name="diff_data">OFFSET(#REF!, 0, 0, COUNTA(#REF!), )</definedName>
    <definedName name="diff_mortgage">OFFSET(#REF!, 0, 0, COUNTA(#REF!), 1)</definedName>
    <definedName name="diff_small">OFFSET(#REF!, 0, 0, COUNTA(#REF!), 1)</definedName>
    <definedName name="Economies_in_transition">#REF!</definedName>
    <definedName name="EU">#REF!</definedName>
    <definedName name="EU_15">#REF!</definedName>
    <definedName name="Europe">#REF!</definedName>
    <definedName name="F_Consumer">#REF!</definedName>
    <definedName name="F_Corporates">#REF!</definedName>
    <definedName name="F_Mortgage">#REF!</definedName>
    <definedName name="F_SME">#REF!</definedName>
    <definedName name="Factor_Name">#REF!</definedName>
    <definedName name="Factor_Value">#REF!</definedName>
    <definedName name="Fuel_exporting_countries">#REF!</definedName>
    <definedName name="G7_">#REF!</definedName>
    <definedName name="GPB_BOP_OPTIONS">#REF!</definedName>
    <definedName name="GPB_IIP_OPTIONS">#REF!</definedName>
    <definedName name="gtf">#REF!</definedName>
    <definedName name="IDE">#REF!</definedName>
    <definedName name="Index_Name">#REF!</definedName>
    <definedName name="Index_Value">#REF!</definedName>
    <definedName name="Inflation19802000">#REF!</definedName>
    <definedName name="Inflation2000current">#REF!</definedName>
    <definedName name="MonetizationYoY19601980">#REF!</definedName>
    <definedName name="MonetizationYoY19802000">#REF!</definedName>
    <definedName name="MonetizationYoY2000current">#REF!</definedName>
    <definedName name="Mortgage">#REF!</definedName>
    <definedName name="net_big">OFFSET(#REF!, 0, 0, COUNTA(#REF!), 1)</definedName>
    <definedName name="net_cons">OFFSET(#REF!, 0, 0, COUNTA(#REF!), 1)</definedName>
    <definedName name="net_data">OFFSET(#REF!, 0, 0, COUNTA(#REF!), )</definedName>
    <definedName name="net_mortgage">OFFSET(#REF!, 0, 0, COUNTA(#REF!), 1)</definedName>
    <definedName name="net_small">OFFSET(#REF!, 0, 0, COUNTA(#REF!), 1)</definedName>
    <definedName name="New_EU_States">#REF!</definedName>
    <definedName name="Other_countries">#REF!</definedName>
    <definedName name="Other_Europe">#REF!</definedName>
    <definedName name="RSQR1">#REF!</definedName>
    <definedName name="RSQR2">#REF!</definedName>
    <definedName name="SF">#REF!</definedName>
    <definedName name="SH">#REF!</definedName>
    <definedName name="SME">#REF!</definedName>
    <definedName name="SP">#REF!</definedName>
    <definedName name="SpreadsheetBuilder_2" hidden="1">#REF!</definedName>
    <definedName name="SpreadsheetBuilder_3" hidden="1">#REF!</definedName>
    <definedName name="SpreadsheetBuilder_4" hidden="1">#REF!</definedName>
    <definedName name="StartDate">#REF!</definedName>
    <definedName name="uu">OFFSET(#REF!, 0, 0, COUNTA(#REF!), 1)</definedName>
    <definedName name="ап">#REF!</definedName>
    <definedName name="Вал_деп_нас">OFFSET(#REF!, 0, 0, COUNTA(#REF!),1)</definedName>
    <definedName name="Вал_деп_орг">OFFSET(#REF!, 0, 0, COUNTA(#REF!),1)</definedName>
    <definedName name="День_M2X">OFFSET(#REF!, 0, 0, COUNTA(#REF!),1)</definedName>
    <definedName name="День_Кредит">OFFSET(#REF!,0,0,COUNTA(#REF!),1)</definedName>
    <definedName name="Долгоср_вал_кред">OFFSET(#REF!, 0, 0, COUNTA(#REF!),1)</definedName>
    <definedName name="Долгоср_руб_кред">OFFSET(#REF!, 0, 0, COUNTA(#REF!),1)</definedName>
    <definedName name="Краткоср_вал_кред">OFFSET(#REF!,0, 0, COUNTA(#REF!), 1)</definedName>
    <definedName name="Краткоср_руб_кред">OFFSET(#REF!, 0, 0, COUNTA(#REF!),1)</definedName>
    <definedName name="Нал_руб">OFFSET(#REF!, 0, 0, COUNTA(#REF!),1)</definedName>
    <definedName name="Переоценка_M2X">OFFSET(#REF!, 0, 0, COUNTA(#REF!),1)</definedName>
    <definedName name="Переоценка_кред">OFFSET(#REF!, 0, 0, COUNTA(#REF!),1)</definedName>
    <definedName name="Прирост_M2X">OFFSET(#REF!, 0, 0, COUNTA(#REF!),1)</definedName>
    <definedName name="Прирост_кред">OFFSET(#REF!,0,0,COUNTA(#REF!),1)</definedName>
    <definedName name="рорыовфролф">#REF!</definedName>
    <definedName name="рр">#REF!</definedName>
    <definedName name="Руб_деп_нас">OFFSET(#REF!, 0, 0, COUNTA(#REF!),1)</definedName>
    <definedName name="Руб_деп_орг">OFFSET(#REF!, 0, 0, COUNTA(#REF!),1)</definedName>
    <definedName name="ФильтрФормулами" comment="Отфильтровывает небалансовые данные на листе ДКПБС">IFERROR(INDEX(#REF!,SMALL(IF(IFERROR(MATCH(#REF!,#REF!,0)&gt;0,FALSE),ROW(#REF!)-ROW(#REF!)+1),ROWS(#REF!))),"")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7" l="1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10" i="7"/>
  <c r="AE11" i="7"/>
  <c r="AF11" i="7"/>
  <c r="AG11" i="7"/>
  <c r="AH11" i="7"/>
  <c r="AI11" i="7"/>
  <c r="AJ11" i="7"/>
  <c r="AK11" i="7"/>
  <c r="AL11" i="7"/>
  <c r="AM11" i="7"/>
  <c r="AN11" i="7"/>
  <c r="AO11" i="7"/>
  <c r="AE12" i="7"/>
  <c r="AF12" i="7"/>
  <c r="AG12" i="7"/>
  <c r="AH12" i="7"/>
  <c r="AI12" i="7"/>
  <c r="AJ12" i="7"/>
  <c r="AK12" i="7"/>
  <c r="AL12" i="7"/>
  <c r="AM12" i="7"/>
  <c r="AN12" i="7"/>
  <c r="AO12" i="7"/>
  <c r="AE13" i="7"/>
  <c r="AF13" i="7"/>
  <c r="AG13" i="7"/>
  <c r="AH13" i="7"/>
  <c r="AI13" i="7"/>
  <c r="AJ13" i="7"/>
  <c r="AK13" i="7"/>
  <c r="AL13" i="7"/>
  <c r="AM13" i="7"/>
  <c r="AN13" i="7"/>
  <c r="AO13" i="7"/>
  <c r="AE14" i="7"/>
  <c r="AF14" i="7"/>
  <c r="AG14" i="7"/>
  <c r="AH14" i="7"/>
  <c r="AI14" i="7"/>
  <c r="AJ14" i="7"/>
  <c r="AK14" i="7"/>
  <c r="AL14" i="7"/>
  <c r="AM14" i="7"/>
  <c r="AN14" i="7"/>
  <c r="AO14" i="7"/>
  <c r="AE15" i="7"/>
  <c r="AF15" i="7"/>
  <c r="AG15" i="7"/>
  <c r="AH15" i="7"/>
  <c r="AI15" i="7"/>
  <c r="AJ15" i="7"/>
  <c r="AK15" i="7"/>
  <c r="AL15" i="7"/>
  <c r="AM15" i="7"/>
  <c r="AN15" i="7"/>
  <c r="AO15" i="7"/>
  <c r="AE16" i="7"/>
  <c r="AF16" i="7"/>
  <c r="AG16" i="7"/>
  <c r="AH16" i="7"/>
  <c r="AI16" i="7"/>
  <c r="AJ16" i="7"/>
  <c r="AK16" i="7"/>
  <c r="AL16" i="7"/>
  <c r="AM16" i="7"/>
  <c r="AN16" i="7"/>
  <c r="AO16" i="7"/>
  <c r="AE17" i="7"/>
  <c r="AF17" i="7"/>
  <c r="AG17" i="7"/>
  <c r="AH17" i="7"/>
  <c r="AI17" i="7"/>
  <c r="AJ17" i="7"/>
  <c r="AK17" i="7"/>
  <c r="AL17" i="7"/>
  <c r="AM17" i="7"/>
  <c r="AN17" i="7"/>
  <c r="AO17" i="7"/>
  <c r="AE18" i="7"/>
  <c r="AF18" i="7"/>
  <c r="AG18" i="7"/>
  <c r="AH18" i="7"/>
  <c r="AI18" i="7"/>
  <c r="AJ18" i="7"/>
  <c r="AK18" i="7"/>
  <c r="AL18" i="7"/>
  <c r="AM18" i="7"/>
  <c r="AN18" i="7"/>
  <c r="AO18" i="7"/>
  <c r="AE19" i="7"/>
  <c r="AF19" i="7"/>
  <c r="AG19" i="7"/>
  <c r="AH19" i="7"/>
  <c r="AI19" i="7"/>
  <c r="AJ19" i="7"/>
  <c r="AK19" i="7"/>
  <c r="AL19" i="7"/>
  <c r="AM19" i="7"/>
  <c r="AN19" i="7"/>
  <c r="AO19" i="7"/>
  <c r="AE20" i="7"/>
  <c r="AF20" i="7"/>
  <c r="AG20" i="7"/>
  <c r="AH20" i="7"/>
  <c r="AI20" i="7"/>
  <c r="AJ20" i="7"/>
  <c r="AK20" i="7"/>
  <c r="AL20" i="7"/>
  <c r="AM20" i="7"/>
  <c r="AN20" i="7"/>
  <c r="AO20" i="7"/>
  <c r="AE21" i="7"/>
  <c r="AF21" i="7"/>
  <c r="AG21" i="7"/>
  <c r="AH21" i="7"/>
  <c r="AI21" i="7"/>
  <c r="AJ21" i="7"/>
  <c r="AK21" i="7"/>
  <c r="AL21" i="7"/>
  <c r="AM21" i="7"/>
  <c r="AN21" i="7"/>
  <c r="AO21" i="7"/>
  <c r="AE22" i="7"/>
  <c r="AF22" i="7"/>
  <c r="AG22" i="7"/>
  <c r="AH22" i="7"/>
  <c r="AI22" i="7"/>
  <c r="AJ22" i="7"/>
  <c r="AK22" i="7"/>
  <c r="AL22" i="7"/>
  <c r="AM22" i="7"/>
  <c r="AN22" i="7"/>
  <c r="AO22" i="7"/>
  <c r="AE23" i="7"/>
  <c r="AF23" i="7"/>
  <c r="AG23" i="7"/>
  <c r="AH23" i="7"/>
  <c r="AI23" i="7"/>
  <c r="AJ23" i="7"/>
  <c r="AK23" i="7"/>
  <c r="AL23" i="7"/>
  <c r="AM23" i="7"/>
  <c r="AN23" i="7"/>
  <c r="AO23" i="7"/>
  <c r="AE24" i="7"/>
  <c r="AF24" i="7"/>
  <c r="AG24" i="7"/>
  <c r="AH24" i="7"/>
  <c r="AI24" i="7"/>
  <c r="AJ24" i="7"/>
  <c r="AK24" i="7"/>
  <c r="AL24" i="7"/>
  <c r="AM24" i="7"/>
  <c r="AN24" i="7"/>
  <c r="AO24" i="7"/>
  <c r="AE25" i="7"/>
  <c r="AF25" i="7"/>
  <c r="AG25" i="7"/>
  <c r="AH25" i="7"/>
  <c r="AI25" i="7"/>
  <c r="AJ25" i="7"/>
  <c r="AK25" i="7"/>
  <c r="AL25" i="7"/>
  <c r="AM25" i="7"/>
  <c r="AN25" i="7"/>
  <c r="AO25" i="7"/>
  <c r="AE26" i="7"/>
  <c r="AF26" i="7"/>
  <c r="AG26" i="7"/>
  <c r="AH26" i="7"/>
  <c r="AI26" i="7"/>
  <c r="AJ26" i="7"/>
  <c r="AK26" i="7"/>
  <c r="AL26" i="7"/>
  <c r="AM26" i="7"/>
  <c r="AN26" i="7"/>
  <c r="AO26" i="7"/>
  <c r="AE27" i="7"/>
  <c r="AF27" i="7"/>
  <c r="AG27" i="7"/>
  <c r="AH27" i="7"/>
  <c r="AI27" i="7"/>
  <c r="AJ27" i="7"/>
  <c r="AK27" i="7"/>
  <c r="AL27" i="7"/>
  <c r="AM27" i="7"/>
  <c r="AN27" i="7"/>
  <c r="AO27" i="7"/>
  <c r="AE28" i="7"/>
  <c r="AF28" i="7"/>
  <c r="AG28" i="7"/>
  <c r="AH28" i="7"/>
  <c r="AI28" i="7"/>
  <c r="AJ28" i="7"/>
  <c r="AK28" i="7"/>
  <c r="AL28" i="7"/>
  <c r="AM28" i="7"/>
  <c r="AN28" i="7"/>
  <c r="AO28" i="7"/>
  <c r="AE29" i="7"/>
  <c r="AF29" i="7"/>
  <c r="AG29" i="7"/>
  <c r="AH29" i="7"/>
  <c r="AI29" i="7"/>
  <c r="AJ29" i="7"/>
  <c r="AK29" i="7"/>
  <c r="AL29" i="7"/>
  <c r="AM29" i="7"/>
  <c r="AN29" i="7"/>
  <c r="AO29" i="7"/>
  <c r="AE30" i="7"/>
  <c r="AF30" i="7"/>
  <c r="AG30" i="7"/>
  <c r="AH30" i="7"/>
  <c r="AI30" i="7"/>
  <c r="AJ30" i="7"/>
  <c r="AK30" i="7"/>
  <c r="AL30" i="7"/>
  <c r="AM30" i="7"/>
  <c r="AN30" i="7"/>
  <c r="AO30" i="7"/>
  <c r="AE31" i="7"/>
  <c r="AF31" i="7"/>
  <c r="AG31" i="7"/>
  <c r="AH31" i="7"/>
  <c r="AI31" i="7"/>
  <c r="AJ31" i="7"/>
  <c r="AK31" i="7"/>
  <c r="AL31" i="7"/>
  <c r="AM31" i="7"/>
  <c r="AN31" i="7"/>
  <c r="AO31" i="7"/>
  <c r="AE32" i="7"/>
  <c r="AF32" i="7"/>
  <c r="AG32" i="7"/>
  <c r="AH32" i="7"/>
  <c r="AI32" i="7"/>
  <c r="AJ32" i="7"/>
  <c r="AK32" i="7"/>
  <c r="AL32" i="7"/>
  <c r="AM32" i="7"/>
  <c r="AN32" i="7"/>
  <c r="AO32" i="7"/>
  <c r="AE33" i="7"/>
  <c r="AF33" i="7"/>
  <c r="AG33" i="7"/>
  <c r="AH33" i="7"/>
  <c r="AI33" i="7"/>
  <c r="AJ33" i="7"/>
  <c r="AK33" i="7"/>
  <c r="AL33" i="7"/>
  <c r="AM33" i="7"/>
  <c r="AN33" i="7"/>
  <c r="AO33" i="7"/>
  <c r="AE34" i="7"/>
  <c r="AF34" i="7"/>
  <c r="AG34" i="7"/>
  <c r="AH34" i="7"/>
  <c r="AI34" i="7"/>
  <c r="AJ34" i="7"/>
  <c r="AK34" i="7"/>
  <c r="AL34" i="7"/>
  <c r="AM34" i="7"/>
  <c r="AN34" i="7"/>
  <c r="AO34" i="7"/>
  <c r="AE35" i="7"/>
  <c r="AF35" i="7"/>
  <c r="AG35" i="7"/>
  <c r="AH35" i="7"/>
  <c r="AI35" i="7"/>
  <c r="AJ35" i="7"/>
  <c r="AK35" i="7"/>
  <c r="AL35" i="7"/>
  <c r="AM35" i="7"/>
  <c r="AN35" i="7"/>
  <c r="AO35" i="7"/>
  <c r="AE36" i="7"/>
  <c r="AF36" i="7"/>
  <c r="AG36" i="7"/>
  <c r="AH36" i="7"/>
  <c r="AI36" i="7"/>
  <c r="AJ36" i="7"/>
  <c r="AK36" i="7"/>
  <c r="AL36" i="7"/>
  <c r="AM36" i="7"/>
  <c r="AN36" i="7"/>
  <c r="AO36" i="7"/>
  <c r="AE37" i="7"/>
  <c r="AF37" i="7"/>
  <c r="AG37" i="7"/>
  <c r="AH37" i="7"/>
  <c r="AI37" i="7"/>
  <c r="AJ37" i="7"/>
  <c r="AK37" i="7"/>
  <c r="AL37" i="7"/>
  <c r="AM37" i="7"/>
  <c r="AN37" i="7"/>
  <c r="AO37" i="7"/>
  <c r="AE38" i="7"/>
  <c r="AF38" i="7"/>
  <c r="AG38" i="7"/>
  <c r="AH38" i="7"/>
  <c r="AI38" i="7"/>
  <c r="AJ38" i="7"/>
  <c r="AK38" i="7"/>
  <c r="AL38" i="7"/>
  <c r="AM38" i="7"/>
  <c r="AN38" i="7"/>
  <c r="AO38" i="7"/>
  <c r="AE39" i="7"/>
  <c r="AF39" i="7"/>
  <c r="AG39" i="7"/>
  <c r="AH39" i="7"/>
  <c r="AI39" i="7"/>
  <c r="AJ39" i="7"/>
  <c r="AK39" i="7"/>
  <c r="AL39" i="7"/>
  <c r="AM39" i="7"/>
  <c r="AN39" i="7"/>
  <c r="AO39" i="7"/>
  <c r="AE40" i="7"/>
  <c r="AF40" i="7"/>
  <c r="AG40" i="7"/>
  <c r="AH40" i="7"/>
  <c r="AI40" i="7"/>
  <c r="AJ40" i="7"/>
  <c r="AK40" i="7"/>
  <c r="AL40" i="7"/>
  <c r="AM40" i="7"/>
  <c r="AN40" i="7"/>
  <c r="AO40" i="7"/>
  <c r="AE41" i="7"/>
  <c r="AF41" i="7"/>
  <c r="AG41" i="7"/>
  <c r="AH41" i="7"/>
  <c r="AI41" i="7"/>
  <c r="AJ41" i="7"/>
  <c r="AK41" i="7"/>
  <c r="AL41" i="7"/>
  <c r="AM41" i="7"/>
  <c r="AN41" i="7"/>
  <c r="AO41" i="7"/>
  <c r="AE42" i="7"/>
  <c r="AF42" i="7"/>
  <c r="AG42" i="7"/>
  <c r="AH42" i="7"/>
  <c r="AI42" i="7"/>
  <c r="AJ42" i="7"/>
  <c r="AK42" i="7"/>
  <c r="AL42" i="7"/>
  <c r="AM42" i="7"/>
  <c r="AN42" i="7"/>
  <c r="AO42" i="7"/>
  <c r="AE43" i="7"/>
  <c r="AF43" i="7"/>
  <c r="AG43" i="7"/>
  <c r="AH43" i="7"/>
  <c r="AI43" i="7"/>
  <c r="AJ43" i="7"/>
  <c r="AK43" i="7"/>
  <c r="AL43" i="7"/>
  <c r="AM43" i="7"/>
  <c r="AN43" i="7"/>
  <c r="AO43" i="7"/>
  <c r="AE44" i="7"/>
  <c r="AF44" i="7"/>
  <c r="AG44" i="7"/>
  <c r="AH44" i="7"/>
  <c r="AI44" i="7"/>
  <c r="AJ44" i="7"/>
  <c r="AK44" i="7"/>
  <c r="AL44" i="7"/>
  <c r="AM44" i="7"/>
  <c r="AN44" i="7"/>
  <c r="AO44" i="7"/>
  <c r="AE45" i="7"/>
  <c r="AF45" i="7"/>
  <c r="AG45" i="7"/>
  <c r="AH45" i="7"/>
  <c r="AI45" i="7"/>
  <c r="AJ45" i="7"/>
  <c r="AK45" i="7"/>
  <c r="AL45" i="7"/>
  <c r="AM45" i="7"/>
  <c r="AN45" i="7"/>
  <c r="AO45" i="7"/>
  <c r="AE46" i="7"/>
  <c r="AF46" i="7"/>
  <c r="AG46" i="7"/>
  <c r="AH46" i="7"/>
  <c r="AI46" i="7"/>
  <c r="AJ46" i="7"/>
  <c r="AK46" i="7"/>
  <c r="AL46" i="7"/>
  <c r="AM46" i="7"/>
  <c r="AN46" i="7"/>
  <c r="AO46" i="7"/>
  <c r="AE47" i="7"/>
  <c r="AF47" i="7"/>
  <c r="AG47" i="7"/>
  <c r="AH47" i="7"/>
  <c r="AI47" i="7"/>
  <c r="AJ47" i="7"/>
  <c r="AK47" i="7"/>
  <c r="AL47" i="7"/>
  <c r="AM47" i="7"/>
  <c r="AN47" i="7"/>
  <c r="AO47" i="7"/>
  <c r="AE48" i="7"/>
  <c r="AF48" i="7"/>
  <c r="AG48" i="7"/>
  <c r="AH48" i="7"/>
  <c r="AI48" i="7"/>
  <c r="AJ48" i="7"/>
  <c r="AK48" i="7"/>
  <c r="AL48" i="7"/>
  <c r="AM48" i="7"/>
  <c r="AN48" i="7"/>
  <c r="AO48" i="7"/>
  <c r="AE49" i="7"/>
  <c r="AF49" i="7"/>
  <c r="AG49" i="7"/>
  <c r="AH49" i="7"/>
  <c r="AI49" i="7"/>
  <c r="AJ49" i="7"/>
  <c r="AK49" i="7"/>
  <c r="AL49" i="7"/>
  <c r="AM49" i="7"/>
  <c r="AN49" i="7"/>
  <c r="AO49" i="7"/>
  <c r="AE50" i="7"/>
  <c r="AF50" i="7"/>
  <c r="AG50" i="7"/>
  <c r="AH50" i="7"/>
  <c r="AI50" i="7"/>
  <c r="AJ50" i="7"/>
  <c r="AK50" i="7"/>
  <c r="AL50" i="7"/>
  <c r="AM50" i="7"/>
  <c r="AN50" i="7"/>
  <c r="AO50" i="7"/>
  <c r="AE51" i="7"/>
  <c r="AF51" i="7"/>
  <c r="AG51" i="7"/>
  <c r="AH51" i="7"/>
  <c r="AI51" i="7"/>
  <c r="AJ51" i="7"/>
  <c r="AK51" i="7"/>
  <c r="AL51" i="7"/>
  <c r="AM51" i="7"/>
  <c r="AN51" i="7"/>
  <c r="AO51" i="7"/>
  <c r="AE52" i="7"/>
  <c r="AF52" i="7"/>
  <c r="AG52" i="7"/>
  <c r="AH52" i="7"/>
  <c r="AI52" i="7"/>
  <c r="AJ52" i="7"/>
  <c r="AK52" i="7"/>
  <c r="AL52" i="7"/>
  <c r="AM52" i="7"/>
  <c r="AN52" i="7"/>
  <c r="AO52" i="7"/>
  <c r="AF10" i="7"/>
  <c r="AG10" i="7"/>
  <c r="AH10" i="7"/>
  <c r="AI10" i="7"/>
  <c r="AJ10" i="7"/>
  <c r="AK10" i="7"/>
  <c r="AL10" i="7"/>
  <c r="AM10" i="7"/>
  <c r="AN10" i="7"/>
  <c r="AO10" i="7"/>
  <c r="AE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10" i="7"/>
  <c r="B4" i="7"/>
  <c r="C4" i="7"/>
  <c r="D4" i="7"/>
  <c r="E4" i="7"/>
  <c r="F4" i="7"/>
  <c r="G4" i="7"/>
  <c r="H4" i="7"/>
  <c r="I4" i="7"/>
  <c r="J4" i="7"/>
  <c r="K4" i="7"/>
  <c r="L4" i="7"/>
  <c r="M4" i="7"/>
  <c r="B5" i="7"/>
  <c r="C5" i="7"/>
  <c r="D5" i="7"/>
  <c r="E5" i="7"/>
  <c r="F5" i="7"/>
  <c r="G5" i="7"/>
  <c r="H5" i="7"/>
  <c r="I5" i="7"/>
  <c r="J5" i="7"/>
  <c r="K5" i="7"/>
  <c r="L5" i="7"/>
  <c r="M5" i="7"/>
  <c r="B6" i="7"/>
  <c r="C6" i="7"/>
  <c r="D6" i="7"/>
  <c r="E6" i="7"/>
  <c r="F6" i="7"/>
  <c r="G6" i="7"/>
  <c r="H6" i="7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T23" i="7" s="1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L45" i="7"/>
  <c r="M45" i="7"/>
  <c r="B46" i="7"/>
  <c r="C46" i="7"/>
  <c r="D46" i="7"/>
  <c r="E46" i="7"/>
  <c r="F46" i="7"/>
  <c r="G46" i="7"/>
  <c r="H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B48" i="7"/>
  <c r="C48" i="7"/>
  <c r="D48" i="7"/>
  <c r="E48" i="7"/>
  <c r="F48" i="7"/>
  <c r="G48" i="7"/>
  <c r="H48" i="7"/>
  <c r="I48" i="7"/>
  <c r="J48" i="7"/>
  <c r="K48" i="7"/>
  <c r="L48" i="7"/>
  <c r="M48" i="7"/>
  <c r="B49" i="7"/>
  <c r="C49" i="7"/>
  <c r="D49" i="7"/>
  <c r="E49" i="7"/>
  <c r="F49" i="7"/>
  <c r="G49" i="7"/>
  <c r="H49" i="7"/>
  <c r="I49" i="7"/>
  <c r="J49" i="7"/>
  <c r="K49" i="7"/>
  <c r="L49" i="7"/>
  <c r="M49" i="7"/>
  <c r="B50" i="7"/>
  <c r="C50" i="7"/>
  <c r="D50" i="7"/>
  <c r="E50" i="7"/>
  <c r="F50" i="7"/>
  <c r="G50" i="7"/>
  <c r="H50" i="7"/>
  <c r="I50" i="7"/>
  <c r="J50" i="7"/>
  <c r="K50" i="7"/>
  <c r="L50" i="7"/>
  <c r="M50" i="7"/>
  <c r="B51" i="7"/>
  <c r="C51" i="7"/>
  <c r="D51" i="7"/>
  <c r="E51" i="7"/>
  <c r="F51" i="7"/>
  <c r="G51" i="7"/>
  <c r="H51" i="7"/>
  <c r="I51" i="7"/>
  <c r="J51" i="7"/>
  <c r="K51" i="7"/>
  <c r="L51" i="7"/>
  <c r="M51" i="7"/>
  <c r="B52" i="7"/>
  <c r="C52" i="7"/>
  <c r="D52" i="7"/>
  <c r="E52" i="7"/>
  <c r="F52" i="7"/>
  <c r="G52" i="7"/>
  <c r="H52" i="7"/>
  <c r="I52" i="7"/>
  <c r="J52" i="7"/>
  <c r="K52" i="7"/>
  <c r="L52" i="7"/>
  <c r="M52" i="7"/>
  <c r="C3" i="7"/>
  <c r="D3" i="7"/>
  <c r="E3" i="7"/>
  <c r="F3" i="7"/>
  <c r="G3" i="7"/>
  <c r="H3" i="7"/>
  <c r="I3" i="7"/>
  <c r="J3" i="7"/>
  <c r="K3" i="7"/>
  <c r="L3" i="7"/>
  <c r="M3" i="7"/>
  <c r="B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O16" i="5"/>
  <c r="S16" i="5"/>
  <c r="V16" i="5"/>
  <c r="W16" i="5"/>
  <c r="AA16" i="5"/>
  <c r="AE16" i="5"/>
  <c r="AH16" i="5"/>
  <c r="AI16" i="5"/>
  <c r="AQ16" i="5"/>
  <c r="AT16" i="5"/>
  <c r="AU16" i="5"/>
  <c r="C14" i="5"/>
  <c r="C16" i="5" s="1"/>
  <c r="D14" i="5"/>
  <c r="D16" i="5" s="1"/>
  <c r="E14" i="5"/>
  <c r="E16" i="5" s="1"/>
  <c r="F14" i="5"/>
  <c r="F16" i="5" s="1"/>
  <c r="G14" i="5"/>
  <c r="G16" i="5" s="1"/>
  <c r="H14" i="5"/>
  <c r="H16" i="5" s="1"/>
  <c r="I14" i="5"/>
  <c r="I16" i="5" s="1"/>
  <c r="J14" i="5"/>
  <c r="J16" i="5" s="1"/>
  <c r="K14" i="5"/>
  <c r="K16" i="5" s="1"/>
  <c r="L14" i="5"/>
  <c r="L16" i="5" s="1"/>
  <c r="M14" i="5"/>
  <c r="M16" i="5" s="1"/>
  <c r="N14" i="5"/>
  <c r="N16" i="5" s="1"/>
  <c r="O14" i="5"/>
  <c r="P14" i="5"/>
  <c r="Q14" i="5"/>
  <c r="Q16" i="5" s="1"/>
  <c r="R14" i="5"/>
  <c r="R16" i="5" s="1"/>
  <c r="S14" i="5"/>
  <c r="T14" i="5"/>
  <c r="T16" i="5" s="1"/>
  <c r="U14" i="5"/>
  <c r="U16" i="5" s="1"/>
  <c r="V14" i="5"/>
  <c r="W14" i="5"/>
  <c r="X14" i="5"/>
  <c r="X16" i="5" s="1"/>
  <c r="Y14" i="5"/>
  <c r="Y16" i="5" s="1"/>
  <c r="Z14" i="5"/>
  <c r="Z16" i="5" s="1"/>
  <c r="AA14" i="5"/>
  <c r="AB14" i="5"/>
  <c r="AC14" i="5"/>
  <c r="AC16" i="5" s="1"/>
  <c r="AD14" i="5"/>
  <c r="AD16" i="5" s="1"/>
  <c r="AE14" i="5"/>
  <c r="AF14" i="5"/>
  <c r="AF16" i="5" s="1"/>
  <c r="AG14" i="5"/>
  <c r="AG16" i="5" s="1"/>
  <c r="AH14" i="5"/>
  <c r="AI14" i="5"/>
  <c r="AJ14" i="5"/>
  <c r="AJ16" i="5" s="1"/>
  <c r="AK14" i="5"/>
  <c r="AK16" i="5" s="1"/>
  <c r="AL14" i="5"/>
  <c r="AL16" i="5" s="1"/>
  <c r="AM14" i="5"/>
  <c r="AM16" i="5" s="1"/>
  <c r="AN14" i="5"/>
  <c r="AO14" i="5"/>
  <c r="AO16" i="5" s="1"/>
  <c r="AP14" i="5"/>
  <c r="AP16" i="5" s="1"/>
  <c r="AQ14" i="5"/>
  <c r="AR14" i="5"/>
  <c r="AR16" i="5" s="1"/>
  <c r="AS14" i="5"/>
  <c r="AS16" i="5" s="1"/>
  <c r="AT14" i="5"/>
  <c r="AU14" i="5"/>
  <c r="AV14" i="5"/>
  <c r="AV16" i="5" s="1"/>
  <c r="AW14" i="5"/>
  <c r="AW16" i="5" s="1"/>
  <c r="AX14" i="5"/>
  <c r="AX16" i="5" s="1"/>
  <c r="AY14" i="5"/>
  <c r="AY16" i="5" s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P16" i="5" s="1"/>
  <c r="Q15" i="5"/>
  <c r="R15" i="5"/>
  <c r="S15" i="5"/>
  <c r="T15" i="5"/>
  <c r="U15" i="5"/>
  <c r="V15" i="5"/>
  <c r="W15" i="5"/>
  <c r="X15" i="5"/>
  <c r="Y15" i="5"/>
  <c r="Z15" i="5"/>
  <c r="AA15" i="5"/>
  <c r="AB15" i="5"/>
  <c r="AB16" i="5" s="1"/>
  <c r="AC15" i="5"/>
  <c r="AD15" i="5"/>
  <c r="AE15" i="5"/>
  <c r="AF15" i="5"/>
  <c r="AG15" i="5"/>
  <c r="AH15" i="5"/>
  <c r="AI15" i="5"/>
  <c r="AJ15" i="5"/>
  <c r="AK15" i="5"/>
  <c r="AL15" i="5"/>
  <c r="AM15" i="5"/>
  <c r="AN15" i="5"/>
  <c r="AN16" i="5" s="1"/>
  <c r="AO15" i="5"/>
  <c r="AP15" i="5"/>
  <c r="AQ15" i="5"/>
  <c r="AR15" i="5"/>
  <c r="AS15" i="5"/>
  <c r="AT15" i="5"/>
  <c r="AU15" i="5"/>
  <c r="AV15" i="5"/>
  <c r="AW15" i="5"/>
  <c r="AX15" i="5"/>
  <c r="AY15" i="5"/>
  <c r="B15" i="5"/>
  <c r="B14" i="5"/>
  <c r="B16" i="5" s="1"/>
  <c r="C3" i="3"/>
  <c r="D3" i="3"/>
  <c r="E3" i="3"/>
  <c r="F3" i="3"/>
  <c r="G3" i="3"/>
  <c r="H3" i="3"/>
  <c r="I3" i="3"/>
  <c r="J3" i="3"/>
  <c r="L3" i="3"/>
  <c r="C4" i="3"/>
  <c r="D4" i="3"/>
  <c r="E4" i="3"/>
  <c r="F4" i="3"/>
  <c r="G4" i="3"/>
  <c r="H4" i="3"/>
  <c r="I4" i="3"/>
  <c r="J4" i="3"/>
  <c r="L4" i="3"/>
  <c r="C5" i="3"/>
  <c r="D5" i="3"/>
  <c r="E5" i="3"/>
  <c r="F5" i="3"/>
  <c r="G5" i="3"/>
  <c r="H5" i="3"/>
  <c r="I5" i="3"/>
  <c r="J5" i="3"/>
  <c r="L5" i="3"/>
  <c r="C6" i="3"/>
  <c r="D6" i="3"/>
  <c r="E6" i="3"/>
  <c r="F6" i="3"/>
  <c r="G6" i="3"/>
  <c r="H6" i="3"/>
  <c r="I6" i="3"/>
  <c r="J6" i="3"/>
  <c r="L6" i="3"/>
  <c r="C7" i="3"/>
  <c r="D7" i="3"/>
  <c r="E7" i="3"/>
  <c r="F7" i="3"/>
  <c r="G7" i="3"/>
  <c r="H7" i="3"/>
  <c r="I7" i="3"/>
  <c r="J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L9" i="3"/>
  <c r="C10" i="3"/>
  <c r="D10" i="3"/>
  <c r="E10" i="3"/>
  <c r="F10" i="3"/>
  <c r="G10" i="3"/>
  <c r="H10" i="3"/>
  <c r="I10" i="3"/>
  <c r="J10" i="3"/>
  <c r="L10" i="3"/>
  <c r="C11" i="3"/>
  <c r="D11" i="3"/>
  <c r="E11" i="3"/>
  <c r="F11" i="3"/>
  <c r="G11" i="3"/>
  <c r="H11" i="3"/>
  <c r="I11" i="3"/>
  <c r="J11" i="3"/>
  <c r="L11" i="3"/>
  <c r="C12" i="3"/>
  <c r="D12" i="3"/>
  <c r="E12" i="3"/>
  <c r="F12" i="3"/>
  <c r="G12" i="3"/>
  <c r="H12" i="3"/>
  <c r="I12" i="3"/>
  <c r="J12" i="3"/>
  <c r="L12" i="3"/>
  <c r="C13" i="3"/>
  <c r="D13" i="3"/>
  <c r="E13" i="3"/>
  <c r="F13" i="3"/>
  <c r="G13" i="3"/>
  <c r="H13" i="3"/>
  <c r="I13" i="3"/>
  <c r="J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L15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M3" i="3" s="1"/>
  <c r="AN54" i="1"/>
  <c r="AM54" i="1"/>
  <c r="AL54" i="1"/>
  <c r="AK54" i="1"/>
  <c r="AJ54" i="1"/>
  <c r="AI54" i="1"/>
  <c r="AH54" i="1"/>
  <c r="AG54" i="1"/>
  <c r="AF54" i="1"/>
  <c r="AE54" i="1"/>
  <c r="AD54" i="1"/>
  <c r="AC54" i="1"/>
  <c r="O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O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O52" i="1"/>
  <c r="K15" i="3" s="1"/>
  <c r="AN51" i="1"/>
  <c r="AM51" i="1"/>
  <c r="AL51" i="1"/>
  <c r="AK51" i="1"/>
  <c r="AJ51" i="1"/>
  <c r="AI51" i="1"/>
  <c r="AH51" i="1"/>
  <c r="AG51" i="1"/>
  <c r="AF51" i="1"/>
  <c r="AE51" i="1"/>
  <c r="AD51" i="1"/>
  <c r="AC51" i="1"/>
  <c r="O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O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O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O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O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O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O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O44" i="1"/>
  <c r="K13" i="3" s="1"/>
  <c r="AN43" i="1"/>
  <c r="AM43" i="1"/>
  <c r="AL43" i="1"/>
  <c r="AK43" i="1"/>
  <c r="AJ43" i="1"/>
  <c r="AI43" i="1"/>
  <c r="AH43" i="1"/>
  <c r="AG43" i="1"/>
  <c r="AF43" i="1"/>
  <c r="AE43" i="1"/>
  <c r="AD43" i="1"/>
  <c r="AC43" i="1"/>
  <c r="O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O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O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O40" i="1"/>
  <c r="K12" i="3" s="1"/>
  <c r="AN39" i="1"/>
  <c r="AM39" i="1"/>
  <c r="AL39" i="1"/>
  <c r="AK39" i="1"/>
  <c r="AJ39" i="1"/>
  <c r="AI39" i="1"/>
  <c r="AH39" i="1"/>
  <c r="AG39" i="1"/>
  <c r="AF39" i="1"/>
  <c r="AE39" i="1"/>
  <c r="AD39" i="1"/>
  <c r="AC39" i="1"/>
  <c r="O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O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O37" i="1"/>
  <c r="K11" i="3" s="1"/>
  <c r="AN36" i="1"/>
  <c r="AM36" i="1"/>
  <c r="AL36" i="1"/>
  <c r="AK36" i="1"/>
  <c r="AJ36" i="1"/>
  <c r="AI36" i="1"/>
  <c r="AH36" i="1"/>
  <c r="AG36" i="1"/>
  <c r="AF36" i="1"/>
  <c r="AE36" i="1"/>
  <c r="AD36" i="1"/>
  <c r="AC36" i="1"/>
  <c r="O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O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O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O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O32" i="1"/>
  <c r="K10" i="3" s="1"/>
  <c r="AN31" i="1"/>
  <c r="AM31" i="1"/>
  <c r="AL31" i="1"/>
  <c r="AK31" i="1"/>
  <c r="AJ31" i="1"/>
  <c r="AI31" i="1"/>
  <c r="AH31" i="1"/>
  <c r="AG31" i="1"/>
  <c r="AF31" i="1"/>
  <c r="AE31" i="1"/>
  <c r="AD31" i="1"/>
  <c r="AC31" i="1"/>
  <c r="O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O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O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O28" i="1"/>
  <c r="K9" i="3" s="1"/>
  <c r="AN27" i="1"/>
  <c r="AM27" i="1"/>
  <c r="AL27" i="1"/>
  <c r="AK27" i="1"/>
  <c r="AJ27" i="1"/>
  <c r="AI27" i="1"/>
  <c r="AH27" i="1"/>
  <c r="AG27" i="1"/>
  <c r="AF27" i="1"/>
  <c r="AE27" i="1"/>
  <c r="AD27" i="1"/>
  <c r="AC27" i="1"/>
  <c r="O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O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O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O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O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O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O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O20" i="1"/>
  <c r="K7" i="3" s="1"/>
  <c r="AN19" i="1"/>
  <c r="AM19" i="1"/>
  <c r="AL19" i="1"/>
  <c r="AK19" i="1"/>
  <c r="AJ19" i="1"/>
  <c r="AI19" i="1"/>
  <c r="AH19" i="1"/>
  <c r="AG19" i="1"/>
  <c r="AF19" i="1"/>
  <c r="AE19" i="1"/>
  <c r="AD19" i="1"/>
  <c r="AC19" i="1"/>
  <c r="O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O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O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O16" i="1"/>
  <c r="K6" i="3" s="1"/>
  <c r="AN15" i="1"/>
  <c r="AM15" i="1"/>
  <c r="AL15" i="1"/>
  <c r="AK15" i="1"/>
  <c r="AJ15" i="1"/>
  <c r="AI15" i="1"/>
  <c r="AH15" i="1"/>
  <c r="AG15" i="1"/>
  <c r="AF15" i="1"/>
  <c r="AE15" i="1"/>
  <c r="AD15" i="1"/>
  <c r="AC15" i="1"/>
  <c r="O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O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O13" i="1"/>
  <c r="K5" i="3" s="1"/>
  <c r="AN12" i="1"/>
  <c r="AM12" i="1"/>
  <c r="AL12" i="1"/>
  <c r="AK12" i="1"/>
  <c r="AJ12" i="1"/>
  <c r="AI12" i="1"/>
  <c r="AH12" i="1"/>
  <c r="AG12" i="1"/>
  <c r="AF12" i="1"/>
  <c r="AE12" i="1"/>
  <c r="AD12" i="1"/>
  <c r="AC12" i="1"/>
  <c r="O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O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O10" i="1"/>
  <c r="AN9" i="1"/>
  <c r="AM9" i="1"/>
  <c r="AL9" i="1"/>
  <c r="AK9" i="1"/>
  <c r="AJ9" i="1"/>
  <c r="AI9" i="1"/>
  <c r="AH9" i="1"/>
  <c r="AG9" i="1"/>
  <c r="AF9" i="1"/>
  <c r="AE9" i="1"/>
  <c r="AD9" i="1"/>
  <c r="AC9" i="1"/>
  <c r="O9" i="1"/>
  <c r="AN8" i="1"/>
  <c r="AM8" i="1"/>
  <c r="AL8" i="1"/>
  <c r="AK8" i="1"/>
  <c r="AJ8" i="1"/>
  <c r="AI8" i="1"/>
  <c r="AH8" i="1"/>
  <c r="AG8" i="1"/>
  <c r="AF8" i="1"/>
  <c r="AE8" i="1"/>
  <c r="AD8" i="1"/>
  <c r="AC8" i="1"/>
  <c r="O8" i="1"/>
  <c r="K4" i="3" s="1"/>
  <c r="AN7" i="1"/>
  <c r="AM7" i="1"/>
  <c r="AL7" i="1"/>
  <c r="AK7" i="1"/>
  <c r="AJ7" i="1"/>
  <c r="AI7" i="1"/>
  <c r="AH7" i="1"/>
  <c r="AG7" i="1"/>
  <c r="AF7" i="1"/>
  <c r="AE7" i="1"/>
  <c r="AD7" i="1"/>
  <c r="AC7" i="1"/>
  <c r="O7" i="1"/>
  <c r="AN6" i="1"/>
  <c r="AM6" i="1"/>
  <c r="AL6" i="1"/>
  <c r="AK6" i="1"/>
  <c r="AJ6" i="1"/>
  <c r="AI6" i="1"/>
  <c r="AH6" i="1"/>
  <c r="AG6" i="1"/>
  <c r="AF6" i="1"/>
  <c r="AE6" i="1"/>
  <c r="AD6" i="1"/>
  <c r="AC6" i="1"/>
  <c r="O6" i="1"/>
  <c r="AN5" i="1"/>
  <c r="AM5" i="1"/>
  <c r="AL5" i="1"/>
  <c r="AK5" i="1"/>
  <c r="AJ5" i="1"/>
  <c r="AI5" i="1"/>
  <c r="AH5" i="1"/>
  <c r="AG5" i="1"/>
  <c r="AF5" i="1"/>
  <c r="AE5" i="1"/>
  <c r="AD5" i="1"/>
  <c r="AC5" i="1"/>
  <c r="O5" i="1"/>
  <c r="D5" i="1"/>
  <c r="B5" i="1" s="1"/>
  <c r="O4" i="1"/>
  <c r="K3" i="3" s="1"/>
  <c r="C4" i="1"/>
  <c r="B4" i="1"/>
  <c r="AX3" i="1"/>
  <c r="AW3" i="1"/>
  <c r="AV3" i="1"/>
  <c r="AU3" i="1"/>
  <c r="AT3" i="1"/>
  <c r="AS3" i="1"/>
  <c r="AR3" i="1"/>
  <c r="AQ3" i="1"/>
  <c r="AP3" i="1"/>
  <c r="AN3" i="1"/>
  <c r="AM3" i="1"/>
  <c r="AL3" i="1"/>
  <c r="AJ3" i="1"/>
  <c r="AI3" i="1"/>
  <c r="AH3" i="1"/>
  <c r="AG3" i="1"/>
  <c r="AF3" i="1"/>
  <c r="AE3" i="1"/>
  <c r="AC3" i="1"/>
  <c r="AX2" i="1"/>
  <c r="AW2" i="1"/>
  <c r="AV2" i="1"/>
  <c r="AU2" i="1"/>
  <c r="AT2" i="1"/>
  <c r="AS2" i="1"/>
  <c r="AR2" i="1"/>
  <c r="AQ2" i="1"/>
  <c r="AP2" i="1"/>
  <c r="M5" i="3" l="1"/>
  <c r="M6" i="3"/>
  <c r="M8" i="3"/>
  <c r="M14" i="3"/>
  <c r="M15" i="3"/>
  <c r="M9" i="3"/>
  <c r="M4" i="3"/>
  <c r="M7" i="3"/>
  <c r="M10" i="3"/>
  <c r="M11" i="3"/>
  <c r="M12" i="3"/>
  <c r="M13" i="3"/>
  <c r="AQ5" i="1"/>
  <c r="AX9" i="1"/>
  <c r="AW10" i="1"/>
  <c r="AV11" i="1"/>
  <c r="AU12" i="1"/>
  <c r="AT13" i="1"/>
  <c r="AS14" i="1"/>
  <c r="AR15" i="1"/>
  <c r="AQ16" i="1"/>
  <c r="AP17" i="1"/>
  <c r="AX21" i="1"/>
  <c r="AW22" i="1"/>
  <c r="AV23" i="1"/>
  <c r="AU24" i="1"/>
  <c r="AT25" i="1"/>
  <c r="AS26" i="1"/>
  <c r="AR27" i="1"/>
  <c r="AQ28" i="1"/>
  <c r="AP29" i="1"/>
  <c r="AX33" i="1"/>
  <c r="AW34" i="1"/>
  <c r="AV35" i="1"/>
  <c r="AU36" i="1"/>
  <c r="AT37" i="1"/>
  <c r="AS38" i="1"/>
  <c r="AR39" i="1"/>
  <c r="AQ40" i="1"/>
  <c r="AP41" i="1"/>
  <c r="AX45" i="1"/>
  <c r="AW46" i="1"/>
  <c r="AV47" i="1"/>
  <c r="AU48" i="1"/>
  <c r="AT49" i="1"/>
  <c r="AS50" i="1"/>
  <c r="AR51" i="1"/>
  <c r="AQ52" i="1"/>
  <c r="AP53" i="1"/>
  <c r="AR5" i="1"/>
  <c r="AP6" i="1"/>
  <c r="AX10" i="1"/>
  <c r="AW11" i="1"/>
  <c r="AV12" i="1"/>
  <c r="AU13" i="1"/>
  <c r="AT14" i="1"/>
  <c r="AS15" i="1"/>
  <c r="AR16" i="1"/>
  <c r="AQ17" i="1"/>
  <c r="AP18" i="1"/>
  <c r="AX22" i="1"/>
  <c r="AW23" i="1"/>
  <c r="AV24" i="1"/>
  <c r="AU25" i="1"/>
  <c r="AT26" i="1"/>
  <c r="AS27" i="1"/>
  <c r="AR28" i="1"/>
  <c r="AQ29" i="1"/>
  <c r="AP30" i="1"/>
  <c r="AX34" i="1"/>
  <c r="AW35" i="1"/>
  <c r="AV36" i="1"/>
  <c r="AU37" i="1"/>
  <c r="AT38" i="1"/>
  <c r="AS39" i="1"/>
  <c r="AR40" i="1"/>
  <c r="AQ41" i="1"/>
  <c r="AP42" i="1"/>
  <c r="AX46" i="1"/>
  <c r="AW47" i="1"/>
  <c r="AV48" i="1"/>
  <c r="AU49" i="1"/>
  <c r="AT50" i="1"/>
  <c r="AS51" i="1"/>
  <c r="AR52" i="1"/>
  <c r="AQ53" i="1"/>
  <c r="AP54" i="1"/>
  <c r="AS5" i="1"/>
  <c r="AQ6" i="1"/>
  <c r="AP7" i="1"/>
  <c r="AX11" i="1"/>
  <c r="AW12" i="1"/>
  <c r="AV13" i="1"/>
  <c r="AU14" i="1"/>
  <c r="AT15" i="1"/>
  <c r="AS16" i="1"/>
  <c r="AR17" i="1"/>
  <c r="AQ18" i="1"/>
  <c r="AP19" i="1"/>
  <c r="AX23" i="1"/>
  <c r="AW24" i="1"/>
  <c r="AV25" i="1"/>
  <c r="AU26" i="1"/>
  <c r="AT27" i="1"/>
  <c r="AS28" i="1"/>
  <c r="AR29" i="1"/>
  <c r="AQ30" i="1"/>
  <c r="AP31" i="1"/>
  <c r="AX35" i="1"/>
  <c r="AW36" i="1"/>
  <c r="AV37" i="1"/>
  <c r="AU38" i="1"/>
  <c r="AT39" i="1"/>
  <c r="AS40" i="1"/>
  <c r="AR41" i="1"/>
  <c r="AQ42" i="1"/>
  <c r="AP43" i="1"/>
  <c r="AX47" i="1"/>
  <c r="AW48" i="1"/>
  <c r="AV49" i="1"/>
  <c r="AU50" i="1"/>
  <c r="AT51" i="1"/>
  <c r="AS52" i="1"/>
  <c r="AR53" i="1"/>
  <c r="AQ54" i="1"/>
  <c r="AT5" i="1"/>
  <c r="AR6" i="1"/>
  <c r="AQ7" i="1"/>
  <c r="AP8" i="1"/>
  <c r="AX12" i="1"/>
  <c r="AW13" i="1"/>
  <c r="AV14" i="1"/>
  <c r="AU15" i="1"/>
  <c r="AT16" i="1"/>
  <c r="AS17" i="1"/>
  <c r="AR18" i="1"/>
  <c r="AQ19" i="1"/>
  <c r="AP20" i="1"/>
  <c r="AX24" i="1"/>
  <c r="AW25" i="1"/>
  <c r="AV26" i="1"/>
  <c r="AU27" i="1"/>
  <c r="AT28" i="1"/>
  <c r="AS29" i="1"/>
  <c r="AR30" i="1"/>
  <c r="AQ31" i="1"/>
  <c r="AP32" i="1"/>
  <c r="AX36" i="1"/>
  <c r="AW37" i="1"/>
  <c r="AV38" i="1"/>
  <c r="AU39" i="1"/>
  <c r="AT40" i="1"/>
  <c r="AS41" i="1"/>
  <c r="AR42" i="1"/>
  <c r="AQ43" i="1"/>
  <c r="AP44" i="1"/>
  <c r="AX48" i="1"/>
  <c r="AW49" i="1"/>
  <c r="AV50" i="1"/>
  <c r="AU51" i="1"/>
  <c r="AT52" i="1"/>
  <c r="AS53" i="1"/>
  <c r="AR54" i="1"/>
  <c r="AU5" i="1"/>
  <c r="AS6" i="1"/>
  <c r="AR7" i="1"/>
  <c r="AQ8" i="1"/>
  <c r="AP9" i="1"/>
  <c r="AX13" i="1"/>
  <c r="AW14" i="1"/>
  <c r="AV15" i="1"/>
  <c r="AU16" i="1"/>
  <c r="AT17" i="1"/>
  <c r="AS18" i="1"/>
  <c r="AR19" i="1"/>
  <c r="AQ20" i="1"/>
  <c r="AP21" i="1"/>
  <c r="AX25" i="1"/>
  <c r="AW26" i="1"/>
  <c r="AV27" i="1"/>
  <c r="AU28" i="1"/>
  <c r="AT29" i="1"/>
  <c r="AS30" i="1"/>
  <c r="AR31" i="1"/>
  <c r="AQ32" i="1"/>
  <c r="AP33" i="1"/>
  <c r="AX37" i="1"/>
  <c r="AW38" i="1"/>
  <c r="AV39" i="1"/>
  <c r="AU40" i="1"/>
  <c r="AT41" i="1"/>
  <c r="AS42" i="1"/>
  <c r="AR43" i="1"/>
  <c r="AQ44" i="1"/>
  <c r="AP45" i="1"/>
  <c r="AX49" i="1"/>
  <c r="AW50" i="1"/>
  <c r="AV51" i="1"/>
  <c r="AU52" i="1"/>
  <c r="AT53" i="1"/>
  <c r="AS54" i="1"/>
  <c r="AV5" i="1"/>
  <c r="AT6" i="1"/>
  <c r="AS7" i="1"/>
  <c r="AR8" i="1"/>
  <c r="AQ9" i="1"/>
  <c r="AP10" i="1"/>
  <c r="AX14" i="1"/>
  <c r="AW15" i="1"/>
  <c r="AV16" i="1"/>
  <c r="AU17" i="1"/>
  <c r="AT18" i="1"/>
  <c r="AS19" i="1"/>
  <c r="AR20" i="1"/>
  <c r="AQ21" i="1"/>
  <c r="AP22" i="1"/>
  <c r="AX26" i="1"/>
  <c r="AW27" i="1"/>
  <c r="AV28" i="1"/>
  <c r="AU29" i="1"/>
  <c r="AT30" i="1"/>
  <c r="AS31" i="1"/>
  <c r="AR32" i="1"/>
  <c r="AQ33" i="1"/>
  <c r="AP34" i="1"/>
  <c r="AX38" i="1"/>
  <c r="AW39" i="1"/>
  <c r="AV40" i="1"/>
  <c r="AU41" i="1"/>
  <c r="AT42" i="1"/>
  <c r="AS43" i="1"/>
  <c r="AR44" i="1"/>
  <c r="AQ45" i="1"/>
  <c r="AP46" i="1"/>
  <c r="AX50" i="1"/>
  <c r="AW51" i="1"/>
  <c r="AV52" i="1"/>
  <c r="AU53" i="1"/>
  <c r="AT54" i="1"/>
  <c r="A4" i="1"/>
  <c r="AW5" i="1"/>
  <c r="AU6" i="1"/>
  <c r="AT7" i="1"/>
  <c r="AS8" i="1"/>
  <c r="AR9" i="1"/>
  <c r="AQ10" i="1"/>
  <c r="AP11" i="1"/>
  <c r="AX15" i="1"/>
  <c r="AW16" i="1"/>
  <c r="AV17" i="1"/>
  <c r="AU18" i="1"/>
  <c r="AT19" i="1"/>
  <c r="AS20" i="1"/>
  <c r="AR21" i="1"/>
  <c r="AQ22" i="1"/>
  <c r="AP23" i="1"/>
  <c r="AX27" i="1"/>
  <c r="AW28" i="1"/>
  <c r="AV29" i="1"/>
  <c r="AU30" i="1"/>
  <c r="AT31" i="1"/>
  <c r="AS32" i="1"/>
  <c r="AR33" i="1"/>
  <c r="AQ34" i="1"/>
  <c r="AP35" i="1"/>
  <c r="AX39" i="1"/>
  <c r="AW40" i="1"/>
  <c r="AV41" i="1"/>
  <c r="AU42" i="1"/>
  <c r="AT43" i="1"/>
  <c r="AS44" i="1"/>
  <c r="AR45" i="1"/>
  <c r="AQ46" i="1"/>
  <c r="AP47" i="1"/>
  <c r="AX51" i="1"/>
  <c r="AW52" i="1"/>
  <c r="AV53" i="1"/>
  <c r="AU54" i="1"/>
  <c r="AX5" i="1"/>
  <c r="AV6" i="1"/>
  <c r="AU7" i="1"/>
  <c r="AT8" i="1"/>
  <c r="AS9" i="1"/>
  <c r="AR10" i="1"/>
  <c r="AQ11" i="1"/>
  <c r="AP12" i="1"/>
  <c r="AX16" i="1"/>
  <c r="AW17" i="1"/>
  <c r="AV18" i="1"/>
  <c r="AU19" i="1"/>
  <c r="AT20" i="1"/>
  <c r="AS21" i="1"/>
  <c r="AR22" i="1"/>
  <c r="AQ23" i="1"/>
  <c r="AP24" i="1"/>
  <c r="AX28" i="1"/>
  <c r="AW29" i="1"/>
  <c r="AV30" i="1"/>
  <c r="AU31" i="1"/>
  <c r="AT32" i="1"/>
  <c r="AS33" i="1"/>
  <c r="AR34" i="1"/>
  <c r="AQ35" i="1"/>
  <c r="AP36" i="1"/>
  <c r="AX40" i="1"/>
  <c r="AW41" i="1"/>
  <c r="AV42" i="1"/>
  <c r="AU43" i="1"/>
  <c r="AT44" i="1"/>
  <c r="AS45" i="1"/>
  <c r="AR46" i="1"/>
  <c r="AQ47" i="1"/>
  <c r="AP48" i="1"/>
  <c r="AX52" i="1"/>
  <c r="AW53" i="1"/>
  <c r="AV54" i="1"/>
  <c r="C5" i="1"/>
  <c r="AW6" i="1"/>
  <c r="AV7" i="1"/>
  <c r="AU8" i="1"/>
  <c r="AT9" i="1"/>
  <c r="AS10" i="1"/>
  <c r="AR11" i="1"/>
  <c r="AQ12" i="1"/>
  <c r="AP13" i="1"/>
  <c r="AX17" i="1"/>
  <c r="AW18" i="1"/>
  <c r="AV19" i="1"/>
  <c r="AU20" i="1"/>
  <c r="AT21" i="1"/>
  <c r="AS22" i="1"/>
  <c r="AR23" i="1"/>
  <c r="AQ24" i="1"/>
  <c r="AP25" i="1"/>
  <c r="AX29" i="1"/>
  <c r="AW30" i="1"/>
  <c r="AV31" i="1"/>
  <c r="AU32" i="1"/>
  <c r="AT33" i="1"/>
  <c r="AS34" i="1"/>
  <c r="AR35" i="1"/>
  <c r="AQ36" i="1"/>
  <c r="AP37" i="1"/>
  <c r="AX41" i="1"/>
  <c r="AW42" i="1"/>
  <c r="AV43" i="1"/>
  <c r="AU44" i="1"/>
  <c r="AT45" i="1"/>
  <c r="AS46" i="1"/>
  <c r="AR47" i="1"/>
  <c r="AQ48" i="1"/>
  <c r="AP49" i="1"/>
  <c r="AX53" i="1"/>
  <c r="AW54" i="1"/>
  <c r="AX6" i="1"/>
  <c r="AW7" i="1"/>
  <c r="AV8" i="1"/>
  <c r="AU9" i="1"/>
  <c r="AT10" i="1"/>
  <c r="AS11" i="1"/>
  <c r="AR12" i="1"/>
  <c r="AQ13" i="1"/>
  <c r="AP14" i="1"/>
  <c r="AX18" i="1"/>
  <c r="AW19" i="1"/>
  <c r="AV20" i="1"/>
  <c r="AU21" i="1"/>
  <c r="AT22" i="1"/>
  <c r="AS23" i="1"/>
  <c r="AR24" i="1"/>
  <c r="AQ25" i="1"/>
  <c r="AP26" i="1"/>
  <c r="AX30" i="1"/>
  <c r="AW31" i="1"/>
  <c r="AV32" i="1"/>
  <c r="AU33" i="1"/>
  <c r="AT34" i="1"/>
  <c r="AS35" i="1"/>
  <c r="AR36" i="1"/>
  <c r="AQ37" i="1"/>
  <c r="AP38" i="1"/>
  <c r="AX42" i="1"/>
  <c r="AW43" i="1"/>
  <c r="AV44" i="1"/>
  <c r="AU45" i="1"/>
  <c r="AT46" i="1"/>
  <c r="AS47" i="1"/>
  <c r="AR48" i="1"/>
  <c r="AQ49" i="1"/>
  <c r="AP50" i="1"/>
  <c r="AX54" i="1"/>
  <c r="AX7" i="1"/>
  <c r="AW8" i="1"/>
  <c r="AV9" i="1"/>
  <c r="AU10" i="1"/>
  <c r="AT11" i="1"/>
  <c r="AS12" i="1"/>
  <c r="AR13" i="1"/>
  <c r="AQ14" i="1"/>
  <c r="AP15" i="1"/>
  <c r="AX19" i="1"/>
  <c r="AW20" i="1"/>
  <c r="AV21" i="1"/>
  <c r="AU22" i="1"/>
  <c r="AT23" i="1"/>
  <c r="AS24" i="1"/>
  <c r="AR25" i="1"/>
  <c r="AQ26" i="1"/>
  <c r="AP27" i="1"/>
  <c r="AX31" i="1"/>
  <c r="AW32" i="1"/>
  <c r="AV33" i="1"/>
  <c r="AU34" i="1"/>
  <c r="AT35" i="1"/>
  <c r="AS36" i="1"/>
  <c r="AR37" i="1"/>
  <c r="AQ38" i="1"/>
  <c r="AP39" i="1"/>
  <c r="AX43" i="1"/>
  <c r="AW44" i="1"/>
  <c r="AV45" i="1"/>
  <c r="AU46" i="1"/>
  <c r="AT47" i="1"/>
  <c r="AS48" i="1"/>
  <c r="AR49" i="1"/>
  <c r="AQ50" i="1"/>
  <c r="AP51" i="1"/>
  <c r="AP5" i="1"/>
  <c r="D6" i="1"/>
  <c r="D7" i="1" s="1"/>
  <c r="AX8" i="1"/>
  <c r="AW9" i="1"/>
  <c r="AV10" i="1"/>
  <c r="AU11" i="1"/>
  <c r="AT12" i="1"/>
  <c r="AS13" i="1"/>
  <c r="AR14" i="1"/>
  <c r="AQ15" i="1"/>
  <c r="AP16" i="1"/>
  <c r="AX20" i="1"/>
  <c r="AW21" i="1"/>
  <c r="AV22" i="1"/>
  <c r="AU23" i="1"/>
  <c r="AT24" i="1"/>
  <c r="AS25" i="1"/>
  <c r="AR26" i="1"/>
  <c r="AQ27" i="1"/>
  <c r="AP28" i="1"/>
  <c r="AX32" i="1"/>
  <c r="AW33" i="1"/>
  <c r="AV34" i="1"/>
  <c r="AU35" i="1"/>
  <c r="AT36" i="1"/>
  <c r="AS37" i="1"/>
  <c r="AR38" i="1"/>
  <c r="AQ39" i="1"/>
  <c r="AP40" i="1"/>
  <c r="AX44" i="1"/>
  <c r="AW45" i="1"/>
  <c r="AV46" i="1"/>
  <c r="AU47" i="1"/>
  <c r="AT48" i="1"/>
  <c r="AS49" i="1"/>
  <c r="AR50" i="1"/>
  <c r="AQ51" i="1"/>
  <c r="AP52" i="1"/>
  <c r="AB10" i="7"/>
  <c r="AA10" i="7"/>
  <c r="Z10" i="7"/>
  <c r="Y10" i="7"/>
  <c r="T28" i="7"/>
  <c r="T26" i="7"/>
  <c r="T24" i="7"/>
  <c r="T21" i="7"/>
  <c r="T18" i="7"/>
  <c r="T16" i="7"/>
  <c r="T14" i="7"/>
  <c r="T12" i="7"/>
  <c r="T10" i="7"/>
  <c r="T27" i="7"/>
  <c r="T25" i="7"/>
  <c r="T22" i="7"/>
  <c r="T20" i="7"/>
  <c r="T19" i="7"/>
  <c r="T17" i="7"/>
  <c r="T15" i="7"/>
  <c r="T13" i="7"/>
  <c r="T11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Q52" i="7"/>
  <c r="Q50" i="7"/>
  <c r="Q48" i="7"/>
  <c r="Q46" i="7"/>
  <c r="Q45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51" i="7"/>
  <c r="Q49" i="7"/>
  <c r="Q47" i="7"/>
  <c r="Q44" i="7"/>
  <c r="R10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X50" i="7"/>
  <c r="X49" i="7"/>
  <c r="X47" i="7"/>
  <c r="X46" i="7"/>
  <c r="X45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51" i="7"/>
  <c r="X48" i="7"/>
  <c r="X44" i="7"/>
  <c r="X10" i="7"/>
  <c r="X52" i="7"/>
  <c r="X43" i="7"/>
  <c r="Q10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10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10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10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10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A5" i="1"/>
  <c r="D8" i="1"/>
  <c r="C7" i="1"/>
  <c r="B7" i="1"/>
  <c r="B6" i="1"/>
  <c r="C6" i="1"/>
  <c r="A6" i="1" l="1"/>
  <c r="A7" i="1"/>
  <c r="C8" i="1"/>
  <c r="B8" i="1"/>
  <c r="D9" i="1"/>
  <c r="B9" i="1" l="1"/>
  <c r="D10" i="1"/>
  <c r="C9" i="1"/>
  <c r="A9" i="1" s="1"/>
  <c r="A8" i="1"/>
  <c r="D11" i="1" l="1"/>
  <c r="C10" i="1"/>
  <c r="B10" i="1"/>
  <c r="A10" i="1" l="1"/>
  <c r="D12" i="1"/>
  <c r="C11" i="1"/>
  <c r="B11" i="1"/>
  <c r="A11" i="1" l="1"/>
  <c r="D13" i="1"/>
  <c r="C12" i="1"/>
  <c r="B12" i="1"/>
  <c r="A12" i="1" l="1"/>
  <c r="D14" i="1"/>
  <c r="C13" i="1"/>
  <c r="B13" i="1"/>
  <c r="A13" i="1" l="1"/>
  <c r="C14" i="1"/>
  <c r="B14" i="1"/>
  <c r="D15" i="1"/>
  <c r="B15" i="1" l="1"/>
  <c r="D16" i="1"/>
  <c r="C15" i="1"/>
  <c r="A14" i="1"/>
  <c r="A15" i="1" l="1"/>
  <c r="D17" i="1"/>
  <c r="C16" i="1"/>
  <c r="B16" i="1"/>
  <c r="A16" i="1" l="1"/>
  <c r="D18" i="1"/>
  <c r="C17" i="1"/>
  <c r="B17" i="1"/>
  <c r="A17" i="1" l="1"/>
  <c r="D19" i="1"/>
  <c r="C18" i="1"/>
  <c r="B18" i="1"/>
  <c r="A18" i="1" l="1"/>
  <c r="D20" i="1"/>
  <c r="C19" i="1"/>
  <c r="B19" i="1"/>
  <c r="A19" i="1" l="1"/>
  <c r="C20" i="1"/>
  <c r="B20" i="1"/>
  <c r="D21" i="1"/>
  <c r="B21" i="1" l="1"/>
  <c r="D22" i="1"/>
  <c r="C21" i="1"/>
  <c r="A21" i="1" s="1"/>
  <c r="A20" i="1"/>
  <c r="D23" i="1" l="1"/>
  <c r="C22" i="1"/>
  <c r="B22" i="1"/>
  <c r="A22" i="1" l="1"/>
  <c r="D24" i="1"/>
  <c r="C23" i="1"/>
  <c r="B23" i="1"/>
  <c r="A23" i="1" l="1"/>
  <c r="D25" i="1"/>
  <c r="C24" i="1"/>
  <c r="B24" i="1"/>
  <c r="A24" i="1" l="1"/>
  <c r="D26" i="1"/>
  <c r="C25" i="1"/>
  <c r="B25" i="1"/>
  <c r="A25" i="1" l="1"/>
  <c r="C26" i="1"/>
  <c r="B26" i="1"/>
  <c r="D27" i="1"/>
  <c r="B27" i="1" l="1"/>
  <c r="D28" i="1"/>
  <c r="C27" i="1"/>
  <c r="A27" i="1" s="1"/>
  <c r="A26" i="1"/>
  <c r="D29" i="1" l="1"/>
  <c r="C28" i="1"/>
  <c r="B28" i="1"/>
  <c r="A28" i="1" l="1"/>
  <c r="D30" i="1"/>
  <c r="C29" i="1"/>
  <c r="B29" i="1"/>
  <c r="A29" i="1" l="1"/>
  <c r="D31" i="1"/>
  <c r="C30" i="1"/>
  <c r="B30" i="1"/>
  <c r="A30" i="1" l="1"/>
  <c r="D32" i="1"/>
  <c r="C31" i="1"/>
  <c r="B31" i="1"/>
  <c r="A31" i="1" l="1"/>
  <c r="C32" i="1"/>
  <c r="B32" i="1"/>
  <c r="D33" i="1"/>
  <c r="B33" i="1" l="1"/>
  <c r="D34" i="1"/>
  <c r="C33" i="1"/>
  <c r="A33" i="1" s="1"/>
  <c r="A32" i="1"/>
  <c r="D35" i="1" l="1"/>
  <c r="C34" i="1"/>
  <c r="B34" i="1"/>
  <c r="A34" i="1" l="1"/>
  <c r="D36" i="1"/>
  <c r="C35" i="1"/>
  <c r="B35" i="1"/>
  <c r="A35" i="1" l="1"/>
  <c r="D37" i="1"/>
  <c r="C36" i="1"/>
  <c r="B36" i="1"/>
  <c r="D38" i="1" l="1"/>
  <c r="C37" i="1"/>
  <c r="B37" i="1"/>
  <c r="A36" i="1"/>
  <c r="A37" i="1" l="1"/>
  <c r="C38" i="1"/>
  <c r="B38" i="1"/>
  <c r="D39" i="1"/>
  <c r="B39" i="1" l="1"/>
  <c r="D40" i="1"/>
  <c r="C39" i="1"/>
  <c r="A38" i="1"/>
  <c r="A39" i="1" l="1"/>
  <c r="D41" i="1"/>
  <c r="C40" i="1"/>
  <c r="B40" i="1"/>
  <c r="A40" i="1" l="1"/>
  <c r="D42" i="1"/>
  <c r="C41" i="1"/>
  <c r="B41" i="1"/>
  <c r="A41" i="1" l="1"/>
  <c r="D43" i="1"/>
  <c r="C42" i="1"/>
  <c r="B42" i="1"/>
  <c r="A42" i="1" l="1"/>
  <c r="D44" i="1"/>
  <c r="C43" i="1"/>
  <c r="B43" i="1"/>
  <c r="A43" i="1" l="1"/>
  <c r="C44" i="1"/>
  <c r="B44" i="1"/>
  <c r="D45" i="1"/>
  <c r="A44" i="1" l="1"/>
  <c r="B45" i="1"/>
  <c r="D46" i="1"/>
  <c r="C45" i="1"/>
  <c r="A45" i="1" s="1"/>
  <c r="D47" i="1" l="1"/>
  <c r="C46" i="1"/>
  <c r="B46" i="1"/>
  <c r="A46" i="1" l="1"/>
  <c r="D48" i="1"/>
  <c r="C47" i="1"/>
  <c r="B47" i="1"/>
  <c r="A47" i="1" l="1"/>
  <c r="D49" i="1"/>
  <c r="C48" i="1"/>
  <c r="B48" i="1"/>
  <c r="D50" i="1" l="1"/>
  <c r="C49" i="1"/>
  <c r="B49" i="1"/>
  <c r="A48" i="1"/>
  <c r="A49" i="1" l="1"/>
  <c r="C50" i="1"/>
  <c r="B50" i="1"/>
  <c r="D51" i="1"/>
  <c r="B51" i="1" l="1"/>
  <c r="D52" i="1"/>
  <c r="C51" i="1"/>
  <c r="A51" i="1" s="1"/>
  <c r="A50" i="1"/>
  <c r="D53" i="1" l="1"/>
  <c r="C52" i="1"/>
  <c r="B52" i="1"/>
  <c r="A52" i="1" l="1"/>
  <c r="D54" i="1"/>
  <c r="C53" i="1"/>
  <c r="B53" i="1"/>
  <c r="A53" i="1" l="1"/>
  <c r="C54" i="1"/>
  <c r="B54" i="1"/>
  <c r="A54" i="1" l="1"/>
</calcChain>
</file>

<file path=xl/sharedStrings.xml><?xml version="1.0" encoding="utf-8"?>
<sst xmlns="http://schemas.openxmlformats.org/spreadsheetml/2006/main" count="228" uniqueCount="122">
  <si>
    <t>в ценах 2021 года</t>
  </si>
  <si>
    <t>SA</t>
  </si>
  <si>
    <t>Mom SA</t>
  </si>
  <si>
    <t>Стандартизованные</t>
  </si>
  <si>
    <t>ВВП NSA</t>
  </si>
  <si>
    <t>С/х</t>
  </si>
  <si>
    <t>Добыча</t>
  </si>
  <si>
    <t>Обработка</t>
  </si>
  <si>
    <t>ЭГиВ</t>
  </si>
  <si>
    <t>Строительство</t>
  </si>
  <si>
    <t>Торговля</t>
  </si>
  <si>
    <t>Транспортировка</t>
  </si>
  <si>
    <t>Финансы</t>
  </si>
  <si>
    <t>Недвижимость</t>
  </si>
  <si>
    <t>Прочее</t>
  </si>
  <si>
    <t>Чистые налоги</t>
  </si>
  <si>
    <t>ВВП SA</t>
  </si>
  <si>
    <t>ЭЭГП</t>
  </si>
  <si>
    <t>ВВП</t>
  </si>
  <si>
    <t>Mu</t>
  </si>
  <si>
    <t>КварталГод</t>
  </si>
  <si>
    <t>квартал</t>
  </si>
  <si>
    <t>год</t>
  </si>
  <si>
    <t>GDP</t>
  </si>
  <si>
    <t>GVA_A</t>
  </si>
  <si>
    <t>GVA_B</t>
  </si>
  <si>
    <t>GVA_C</t>
  </si>
  <si>
    <t>GVA_DE</t>
  </si>
  <si>
    <t>GVA_F</t>
  </si>
  <si>
    <t>GVA_G</t>
  </si>
  <si>
    <t>GVA_H</t>
  </si>
  <si>
    <t>GVA_K</t>
  </si>
  <si>
    <t>GVA_L</t>
  </si>
  <si>
    <t>GVA_OTHER</t>
  </si>
  <si>
    <t>GVA_tax</t>
  </si>
  <si>
    <t>gdp</t>
  </si>
  <si>
    <t>agri</t>
  </si>
  <si>
    <t>mining</t>
  </si>
  <si>
    <t>manufacturing</t>
  </si>
  <si>
    <t>egpiv</t>
  </si>
  <si>
    <t>construction</t>
  </si>
  <si>
    <t>trade</t>
  </si>
  <si>
    <t>transport</t>
  </si>
  <si>
    <t>finance</t>
  </si>
  <si>
    <t>real_estate</t>
  </si>
  <si>
    <t>others</t>
  </si>
  <si>
    <t>taxes</t>
  </si>
  <si>
    <t>agri_sa</t>
  </si>
  <si>
    <t>finance_sa</t>
  </si>
  <si>
    <t>Sigma</t>
  </si>
  <si>
    <t>ЭГПиВ</t>
  </si>
  <si>
    <t>Прочие</t>
  </si>
  <si>
    <t>Год</t>
  </si>
  <si>
    <t>A</t>
  </si>
  <si>
    <t>B</t>
  </si>
  <si>
    <t>C</t>
  </si>
  <si>
    <t>DE</t>
  </si>
  <si>
    <t>F</t>
  </si>
  <si>
    <t>G</t>
  </si>
  <si>
    <t>H</t>
  </si>
  <si>
    <t>K</t>
  </si>
  <si>
    <t>L</t>
  </si>
  <si>
    <t>Налоги</t>
  </si>
  <si>
    <t>date</t>
  </si>
  <si>
    <t>Среднее</t>
  </si>
  <si>
    <t>Стандартное отклонение</t>
  </si>
  <si>
    <t>Корреляция с ВВП</t>
  </si>
  <si>
    <t>Автокорреляция</t>
  </si>
  <si>
    <t>01.06.2011</t>
  </si>
  <si>
    <t>01.09.2011</t>
  </si>
  <si>
    <t>01.12.2011</t>
  </si>
  <si>
    <t>01.03.2012</t>
  </si>
  <si>
    <t>01.06.2012</t>
  </si>
  <si>
    <t>01.09.2012</t>
  </si>
  <si>
    <t>01.12.2012</t>
  </si>
  <si>
    <t>01.03.2013</t>
  </si>
  <si>
    <t>01.06.2013</t>
  </si>
  <si>
    <t>01.09.2013</t>
  </si>
  <si>
    <t>01.12.2013</t>
  </si>
  <si>
    <t>01.03.2014</t>
  </si>
  <si>
    <t>01.06.2014</t>
  </si>
  <si>
    <t>01.09.2014</t>
  </si>
  <si>
    <t>01.12.2014</t>
  </si>
  <si>
    <t>01.03.2015</t>
  </si>
  <si>
    <t>01.06.2015</t>
  </si>
  <si>
    <t>01.09.2015</t>
  </si>
  <si>
    <t>01.12.2015</t>
  </si>
  <si>
    <t>01.03.2016</t>
  </si>
  <si>
    <t>01.06.2016</t>
  </si>
  <si>
    <t>01.09.2016</t>
  </si>
  <si>
    <t>01.12.2016</t>
  </si>
  <si>
    <t>01.03.2017</t>
  </si>
  <si>
    <t>01.06.2017</t>
  </si>
  <si>
    <t>01.09.2017</t>
  </si>
  <si>
    <t>01.12.2017</t>
  </si>
  <si>
    <t>01.03.2018</t>
  </si>
  <si>
    <t>01.06.2018</t>
  </si>
  <si>
    <t>01.09.2018</t>
  </si>
  <si>
    <t>01.12.2018</t>
  </si>
  <si>
    <t>01.03.2019</t>
  </si>
  <si>
    <t>01.06.2019</t>
  </si>
  <si>
    <t>01.09.2019</t>
  </si>
  <si>
    <t>01.12.2019</t>
  </si>
  <si>
    <t>01.03.2020</t>
  </si>
  <si>
    <t>01.06.2020</t>
  </si>
  <si>
    <t>01.09.2020</t>
  </si>
  <si>
    <t>01.12.2020</t>
  </si>
  <si>
    <t>01.03.2021</t>
  </si>
  <si>
    <t>01.06.2021</t>
  </si>
  <si>
    <t>01.09.2021</t>
  </si>
  <si>
    <t>01.12.2021</t>
  </si>
  <si>
    <t>01.03.2022</t>
  </si>
  <si>
    <t>01.06.2022</t>
  </si>
  <si>
    <t>01.09.2022</t>
  </si>
  <si>
    <t>01.12.2022</t>
  </si>
  <si>
    <t>01.03.2023</t>
  </si>
  <si>
    <t>01.06.2023</t>
  </si>
  <si>
    <t>01.09.2023</t>
  </si>
  <si>
    <t>high</t>
  </si>
  <si>
    <t>low</t>
  </si>
  <si>
    <t>variation</t>
  </si>
  <si>
    <t>comovement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</si>
</sst>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theme="0" tint="-0.499984740745262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2" fillId="0" borderId="0" xfId="0" applyFont="1"/>
    <xf numFmtId="0" fontId="1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3" borderId="0" xfId="0" applyFont="1" applyFill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2" fillId="4" borderId="0" xfId="0" applyFont="1" applyFill="1"/>
    <xf numFmtId="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1" fillId="0" borderId="5" xfId="0" applyFont="1" applyBorder="1"/>
    <xf numFmtId="1" fontId="3" fillId="0" borderId="6" xfId="0" applyNumberFormat="1" applyFont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7" xfId="0" applyNumberFormat="1" applyFont="1" applyBorder="1"/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/>
    <xf numFmtId="1" fontId="2" fillId="2" borderId="1" xfId="0" applyNumberFormat="1" applyFont="1" applyFill="1" applyBorder="1"/>
    <xf numFmtId="14" fontId="2" fillId="0" borderId="8" xfId="0" applyNumberFormat="1" applyFont="1" applyBorder="1"/>
    <xf numFmtId="2" fontId="6" fillId="0" borderId="0" xfId="1" applyNumberFormat="1"/>
    <xf numFmtId="14" fontId="3" fillId="0" borderId="8" xfId="0" applyNumberFormat="1" applyFont="1" applyBorder="1"/>
    <xf numFmtId="0" fontId="7" fillId="4" borderId="0" xfId="0" applyFont="1" applyFill="1"/>
    <xf numFmtId="0" fontId="3" fillId="0" borderId="0" xfId="0" applyFont="1"/>
    <xf numFmtId="4" fontId="3" fillId="0" borderId="0" xfId="0" applyNumberFormat="1" applyFont="1"/>
    <xf numFmtId="0" fontId="7" fillId="3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6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Обычный" xfId="0" builtinId="0"/>
    <cellStyle name="Обычный 3" xfId="1" xr:uid="{27817CD2-557E-429A-A07F-659D12C794F7}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F1F94-6AE5-4F97-B1AE-D6403ADA5FC2}" name="Таблица1" displayName="Таблица1" ref="A1:AY12" totalsRowShown="0" headerRowDxfId="0">
  <autoFilter ref="A1:AY12" xr:uid="{87AF1F94-6AE5-4F97-B1AE-D6403ADA5FC2}"/>
  <sortState xmlns:xlrd2="http://schemas.microsoft.com/office/spreadsheetml/2017/richdata2" ref="A2:AY12">
    <sortCondition ref="A1:A12"/>
  </sortState>
  <tableColumns count="51">
    <tableColumn id="1" xr3:uid="{68F80DE6-6490-4DF1-85C4-D47E659E872F}" name="date"/>
    <tableColumn id="2" xr3:uid="{9EF8BF61-A165-4E86-A376-2A6347705E5E}" name="01.06.2011"/>
    <tableColumn id="3" xr3:uid="{1B69F54E-C1DD-4A7A-9AC4-3AA9E5D14B39}" name="01.09.2011"/>
    <tableColumn id="4" xr3:uid="{451FB544-00FD-4CE7-96E0-EE82C51E20DD}" name="01.12.2011"/>
    <tableColumn id="5" xr3:uid="{E2A52D7B-55FD-4909-B3A9-74DD0BF71966}" name="01.03.2012"/>
    <tableColumn id="6" xr3:uid="{709DB095-D70C-48BC-A36C-74362F87B134}" name="01.06.2012"/>
    <tableColumn id="7" xr3:uid="{A2FD91D7-FC85-4643-A28F-66E2A07A4507}" name="01.09.2012"/>
    <tableColumn id="8" xr3:uid="{BE0FF13E-E726-4042-8276-51B545F95A27}" name="01.12.2012"/>
    <tableColumn id="9" xr3:uid="{2C8D7976-B449-4BEB-B03F-600B5BFE3DA9}" name="01.03.2013"/>
    <tableColumn id="10" xr3:uid="{E5845F73-3617-40BC-8A02-1BAC706066B2}" name="01.06.2013"/>
    <tableColumn id="11" xr3:uid="{784A973C-70B1-4C6D-8E05-98BFCFA86F5B}" name="01.09.2013"/>
    <tableColumn id="12" xr3:uid="{10FBD8BD-65F6-4C22-BADD-F3494151B62A}" name="01.12.2013"/>
    <tableColumn id="13" xr3:uid="{A34F8E46-C8F8-4899-B7B8-E44B2763082C}" name="01.03.2014"/>
    <tableColumn id="14" xr3:uid="{3241ABBC-BCBD-483F-A32D-6DE5A83E12FF}" name="01.06.2014"/>
    <tableColumn id="15" xr3:uid="{717A4FD4-BA10-444A-930B-B7BC20AAC49E}" name="01.09.2014"/>
    <tableColumn id="16" xr3:uid="{C583472F-DED5-4B90-8F03-A55C940ABBDA}" name="01.12.2014"/>
    <tableColumn id="17" xr3:uid="{DDE3AA41-DD5A-4C20-B01C-DAE8A4806639}" name="01.03.2015"/>
    <tableColumn id="18" xr3:uid="{E327BB5B-B768-4055-A8AB-85872090AEB5}" name="01.06.2015"/>
    <tableColumn id="19" xr3:uid="{E106FD57-4FEC-4792-A064-F265593899CE}" name="01.09.2015"/>
    <tableColumn id="20" xr3:uid="{F10F71F0-C0BE-4111-9B9E-4220CFDC0AAD}" name="01.12.2015"/>
    <tableColumn id="21" xr3:uid="{59A28748-34F2-495C-B0DB-347A7CB0E1FA}" name="01.03.2016"/>
    <tableColumn id="22" xr3:uid="{B3BC2A57-0A3A-40FC-8421-41E4A89F0304}" name="01.06.2016"/>
    <tableColumn id="23" xr3:uid="{AF42D402-74E8-41B6-9DBC-3C6D0B0CEBA3}" name="01.09.2016"/>
    <tableColumn id="24" xr3:uid="{084B4D65-0916-46B4-83C3-29B5AB2A7388}" name="01.12.2016"/>
    <tableColumn id="25" xr3:uid="{DE0389A1-AF92-4F09-ABE2-2DD51915D213}" name="01.03.2017"/>
    <tableColumn id="26" xr3:uid="{329330B8-891C-4DCE-836B-6B2CE18661B6}" name="01.06.2017"/>
    <tableColumn id="27" xr3:uid="{286055C3-3CA0-460C-8EBF-EA6CB0CAC53B}" name="01.09.2017"/>
    <tableColumn id="28" xr3:uid="{357EB246-B349-4118-897F-52BEB1CD94AD}" name="01.12.2017"/>
    <tableColumn id="29" xr3:uid="{3EDDA942-CC65-4D01-85D6-B6FEF91DC011}" name="01.03.2018"/>
    <tableColumn id="30" xr3:uid="{749EB780-88D0-4710-B1A8-C6BD3F572224}" name="01.06.2018"/>
    <tableColumn id="31" xr3:uid="{EEC4F6EB-C2DA-4F2B-9331-8BA95E5B1E81}" name="01.09.2018"/>
    <tableColumn id="32" xr3:uid="{0F87A7B7-A93E-4328-ADEE-FE1F868EA204}" name="01.12.2018"/>
    <tableColumn id="33" xr3:uid="{99058BE2-137E-4583-9C23-CB04A74B4B45}" name="01.03.2019"/>
    <tableColumn id="34" xr3:uid="{FEAB091D-F4F5-43B3-B21D-E6C448377E21}" name="01.06.2019"/>
    <tableColumn id="35" xr3:uid="{9656B579-1285-46CA-BE4C-9D4155104227}" name="01.09.2019"/>
    <tableColumn id="36" xr3:uid="{B861F30B-D574-4486-8F3D-509F54698E99}" name="01.12.2019"/>
    <tableColumn id="37" xr3:uid="{25DFFA85-1FE6-4D85-91E8-342C2BA09F8A}" name="01.03.2020"/>
    <tableColumn id="38" xr3:uid="{AFBE5611-D73A-42B3-BA69-B25C57EFF138}" name="01.06.2020"/>
    <tableColumn id="39" xr3:uid="{45E74A44-F544-4D40-A3C1-F867169654D7}" name="01.09.2020"/>
    <tableColumn id="40" xr3:uid="{4E29783F-CDBA-4E56-ABD0-1E9BED9CF825}" name="01.12.2020"/>
    <tableColumn id="41" xr3:uid="{5AB94483-0BBE-4CAB-904F-700401189B29}" name="01.03.2021"/>
    <tableColumn id="42" xr3:uid="{90700EB1-BC67-4A16-A2B1-6E86BBCA699A}" name="01.06.2021"/>
    <tableColumn id="43" xr3:uid="{F3840396-8D8E-4363-A117-F202E8292EBF}" name="01.09.2021"/>
    <tableColumn id="44" xr3:uid="{00ACE1D3-B673-4D2B-8431-5C431C60CFCE}" name="01.12.2021"/>
    <tableColumn id="45" xr3:uid="{8DA6AFC5-DFE4-4D9F-8454-62589591A845}" name="01.03.2022"/>
    <tableColumn id="46" xr3:uid="{05664E29-5E54-4A47-8CB8-AD426872E17C}" name="01.06.2022"/>
    <tableColumn id="47" xr3:uid="{197F2984-564B-436E-859F-90425BB87C25}" name="01.09.2022"/>
    <tableColumn id="48" xr3:uid="{75FC37E1-A8E5-4CA2-8D09-E6D9B51303DE}" name="01.12.2022"/>
    <tableColumn id="49" xr3:uid="{98BEC726-20D9-4A87-B110-8C853C20204F}" name="01.03.2023"/>
    <tableColumn id="50" xr3:uid="{F011B1D6-FA26-4856-B80C-23E436181C7D}" name="01.06.2023"/>
    <tableColumn id="51" xr3:uid="{0C48471D-D6D5-497C-ACA7-4EA1A30BDF8B}" name="01.09.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6FCC-6795-4F09-AFBD-6D307C0C4250}">
  <dimension ref="A1:AY54"/>
  <sheetViews>
    <sheetView zoomScale="77" zoomScaleNormal="100" workbookViewId="0">
      <pane xSplit="4" ySplit="3" topLeftCell="AJ23" activePane="bottomRight" state="frozen"/>
      <selection pane="topRight" activeCell="E1" sqref="E1"/>
      <selection pane="bottomLeft" activeCell="A4" sqref="A4"/>
      <selection pane="bottomRight" activeCell="AO16" sqref="AO16"/>
    </sheetView>
  </sheetViews>
  <sheetFormatPr defaultColWidth="9.140625" defaultRowHeight="15" x14ac:dyDescent="0.25"/>
  <cols>
    <col min="1" max="1" width="12.140625" style="1" bestFit="1" customWidth="1"/>
    <col min="2" max="2" width="8.42578125" style="1" bestFit="1" customWidth="1"/>
    <col min="3" max="3" width="5.42578125" style="1" bestFit="1" customWidth="1"/>
    <col min="4" max="4" width="11.7109375" style="5" bestFit="1" customWidth="1"/>
    <col min="5" max="6" width="9.28515625" style="5" customWidth="1"/>
    <col min="7" max="7" width="9.5703125" style="5" bestFit="1" customWidth="1"/>
    <col min="8" max="8" width="11.7109375" style="5" customWidth="1"/>
    <col min="9" max="9" width="9.42578125" style="5" bestFit="1" customWidth="1"/>
    <col min="10" max="10" width="9.5703125" style="5" bestFit="1" customWidth="1"/>
    <col min="11" max="11" width="10.140625" style="5" customWidth="1"/>
    <col min="12" max="13" width="12.85546875" style="5" customWidth="1"/>
    <col min="14" max="14" width="9.5703125" style="5" bestFit="1" customWidth="1"/>
    <col min="15" max="15" width="13.7109375" style="5" bestFit="1" customWidth="1"/>
    <col min="16" max="16" width="11.7109375" style="5" customWidth="1"/>
    <col min="17" max="19" width="11.28515625" style="5" customWidth="1"/>
    <col min="20" max="20" width="14.140625" style="5" bestFit="1" customWidth="1"/>
    <col min="21" max="28" width="11.28515625" style="5" customWidth="1"/>
    <col min="29" max="31" width="10.85546875" style="5" customWidth="1"/>
    <col min="32" max="32" width="17.5703125" style="5" bestFit="1" customWidth="1"/>
    <col min="33" max="33" width="15.28515625" style="5" bestFit="1" customWidth="1"/>
    <col min="34" max="34" width="15.7109375" style="5" bestFit="1" customWidth="1"/>
    <col min="35" max="35" width="10.85546875" style="5" customWidth="1"/>
    <col min="36" max="36" width="18" style="5" bestFit="1" customWidth="1"/>
    <col min="37" max="37" width="10.85546875" style="5" customWidth="1"/>
    <col min="38" max="38" width="15.140625" style="5" bestFit="1" customWidth="1"/>
    <col min="39" max="40" width="10.85546875" style="5" customWidth="1"/>
    <col min="41" max="41" width="6.85546875" style="5" customWidth="1"/>
    <col min="42" max="50" width="8.5703125" style="5" customWidth="1"/>
    <col min="51" max="51" width="5.85546875" style="5" customWidth="1"/>
    <col min="52" max="16384" width="9.140625" style="5"/>
  </cols>
  <sheetData>
    <row r="1" spans="1:51" x14ac:dyDescent="0.25">
      <c r="D1" s="2"/>
      <c r="E1" s="54" t="s">
        <v>0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 t="s">
        <v>1</v>
      </c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58" t="s">
        <v>2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P1" s="59" t="s">
        <v>3</v>
      </c>
      <c r="AQ1" s="59"/>
      <c r="AR1" s="59"/>
      <c r="AS1" s="59"/>
      <c r="AT1" s="59"/>
      <c r="AU1" s="59"/>
      <c r="AV1" s="59"/>
      <c r="AW1" s="59"/>
      <c r="AX1" s="59"/>
      <c r="AY1" s="6"/>
    </row>
    <row r="2" spans="1:51" ht="28.5" x14ac:dyDescent="0.25">
      <c r="D2" s="2"/>
      <c r="E2" s="7" t="s">
        <v>4</v>
      </c>
      <c r="F2" s="7" t="s">
        <v>5</v>
      </c>
      <c r="G2" s="7" t="s">
        <v>6</v>
      </c>
      <c r="H2" s="3" t="s">
        <v>7</v>
      </c>
      <c r="I2" s="8" t="s">
        <v>8</v>
      </c>
      <c r="J2" s="8" t="s">
        <v>9</v>
      </c>
      <c r="K2" s="3" t="s">
        <v>10</v>
      </c>
      <c r="L2" s="8" t="s">
        <v>11</v>
      </c>
      <c r="M2" s="8" t="s">
        <v>12</v>
      </c>
      <c r="N2" s="8" t="s">
        <v>13</v>
      </c>
      <c r="O2" s="3" t="s">
        <v>14</v>
      </c>
      <c r="P2" s="7" t="s">
        <v>15</v>
      </c>
      <c r="Q2" s="9" t="s">
        <v>16</v>
      </c>
      <c r="R2" s="10" t="s">
        <v>5</v>
      </c>
      <c r="S2" s="11" t="s">
        <v>6</v>
      </c>
      <c r="T2" s="12" t="s">
        <v>7</v>
      </c>
      <c r="U2" s="13" t="s">
        <v>17</v>
      </c>
      <c r="V2" s="13" t="s">
        <v>9</v>
      </c>
      <c r="W2" s="12" t="s">
        <v>10</v>
      </c>
      <c r="X2" s="13" t="s">
        <v>11</v>
      </c>
      <c r="Y2" s="14" t="s">
        <v>12</v>
      </c>
      <c r="Z2" s="13" t="s">
        <v>13</v>
      </c>
      <c r="AA2" s="12" t="s">
        <v>14</v>
      </c>
      <c r="AB2" s="15" t="s">
        <v>15</v>
      </c>
      <c r="AC2" s="4" t="s">
        <v>18</v>
      </c>
      <c r="AD2" s="10" t="s">
        <v>5</v>
      </c>
      <c r="AE2" s="7" t="s">
        <v>6</v>
      </c>
      <c r="AF2" s="16" t="s">
        <v>7</v>
      </c>
      <c r="AG2" s="8" t="s">
        <v>17</v>
      </c>
      <c r="AH2" s="8" t="s">
        <v>9</v>
      </c>
      <c r="AI2" s="16" t="s">
        <v>10</v>
      </c>
      <c r="AJ2" s="8" t="s">
        <v>11</v>
      </c>
      <c r="AK2" s="14" t="s">
        <v>12</v>
      </c>
      <c r="AL2" s="8" t="s">
        <v>13</v>
      </c>
      <c r="AM2" s="16" t="s">
        <v>14</v>
      </c>
      <c r="AN2" s="7" t="s">
        <v>15</v>
      </c>
      <c r="AO2" s="17" t="s">
        <v>19</v>
      </c>
      <c r="AP2" s="18">
        <f>AVERAGE(AE5:AE54)</f>
        <v>0.23994595691225384</v>
      </c>
      <c r="AQ2" s="18">
        <f t="shared" ref="AQ2:AU2" si="0">AVERAGE(AF5:AF50)</f>
        <v>0.53240027226294639</v>
      </c>
      <c r="AR2" s="18">
        <f t="shared" si="0"/>
        <v>-2.4747690553446637E-4</v>
      </c>
      <c r="AS2" s="18">
        <f t="shared" si="0"/>
        <v>0.19956834323861389</v>
      </c>
      <c r="AT2" s="18">
        <f t="shared" si="0"/>
        <v>-0.29032968760112998</v>
      </c>
      <c r="AU2" s="18">
        <f t="shared" si="0"/>
        <v>0.16743484805197167</v>
      </c>
      <c r="AV2" s="18">
        <f t="shared" ref="AV2:AW2" si="1">AVERAGE(AL5:AL50)</f>
        <v>0.57613373040954241</v>
      </c>
      <c r="AW2" s="18">
        <f t="shared" si="1"/>
        <v>0.54327800011712601</v>
      </c>
      <c r="AX2" s="18">
        <f>AVERAGE(AN5:AN50)</f>
        <v>-0.24502339454009134</v>
      </c>
      <c r="AY2" s="6"/>
    </row>
    <row r="3" spans="1:51" s="30" customFormat="1" x14ac:dyDescent="0.25">
      <c r="A3" s="19" t="s">
        <v>20</v>
      </c>
      <c r="B3" s="19" t="s">
        <v>21</v>
      </c>
      <c r="C3" s="19" t="s">
        <v>22</v>
      </c>
      <c r="D3" s="20"/>
      <c r="E3" s="21" t="s">
        <v>23</v>
      </c>
      <c r="F3" s="21" t="s">
        <v>24</v>
      </c>
      <c r="G3" s="21" t="s">
        <v>25</v>
      </c>
      <c r="H3" s="21" t="s">
        <v>26</v>
      </c>
      <c r="I3" s="21" t="s">
        <v>27</v>
      </c>
      <c r="J3" s="21" t="s">
        <v>28</v>
      </c>
      <c r="K3" s="21" t="s">
        <v>29</v>
      </c>
      <c r="L3" s="21" t="s">
        <v>30</v>
      </c>
      <c r="M3" s="21" t="s">
        <v>31</v>
      </c>
      <c r="N3" s="21" t="s">
        <v>32</v>
      </c>
      <c r="O3" s="21" t="s">
        <v>33</v>
      </c>
      <c r="P3" s="21" t="s">
        <v>34</v>
      </c>
      <c r="Q3" s="22" t="s">
        <v>35</v>
      </c>
      <c r="R3" s="22" t="s">
        <v>36</v>
      </c>
      <c r="S3" s="22" t="s">
        <v>37</v>
      </c>
      <c r="T3" s="22" t="s">
        <v>38</v>
      </c>
      <c r="U3" s="23" t="s">
        <v>39</v>
      </c>
      <c r="V3" s="22" t="s">
        <v>40</v>
      </c>
      <c r="W3" s="22" t="s">
        <v>41</v>
      </c>
      <c r="X3" s="22" t="s">
        <v>42</v>
      </c>
      <c r="Y3" s="22" t="s">
        <v>43</v>
      </c>
      <c r="Z3" s="22" t="s">
        <v>44</v>
      </c>
      <c r="AA3" s="22" t="s">
        <v>45</v>
      </c>
      <c r="AB3" s="24" t="s">
        <v>46</v>
      </c>
      <c r="AC3" s="25" t="str">
        <f>Q3&amp;"_sa"</f>
        <v>gdp_sa</v>
      </c>
      <c r="AD3" s="25" t="s">
        <v>47</v>
      </c>
      <c r="AE3" s="25" t="str">
        <f t="shared" ref="AE3:AJ3" si="2">S3&amp;"_sa"</f>
        <v>mining_sa</v>
      </c>
      <c r="AF3" s="25" t="str">
        <f t="shared" si="2"/>
        <v>manufacturing_sa</v>
      </c>
      <c r="AG3" s="26" t="str">
        <f t="shared" si="2"/>
        <v>egpiv_sa</v>
      </c>
      <c r="AH3" s="25" t="str">
        <f t="shared" si="2"/>
        <v>construction_sa</v>
      </c>
      <c r="AI3" s="25" t="str">
        <f t="shared" si="2"/>
        <v>trade_sa</v>
      </c>
      <c r="AJ3" s="25" t="str">
        <f t="shared" si="2"/>
        <v>transport_sa</v>
      </c>
      <c r="AK3" s="25" t="s">
        <v>48</v>
      </c>
      <c r="AL3" s="25" t="str">
        <f>Z3&amp;"_sa"</f>
        <v>real_estate_sa</v>
      </c>
      <c r="AM3" s="25" t="str">
        <f>AA3&amp;"_sa"</f>
        <v>others_sa</v>
      </c>
      <c r="AN3" s="25" t="str">
        <f>AB3&amp;"_sa"</f>
        <v>taxes_sa</v>
      </c>
      <c r="AO3" s="27" t="s">
        <v>49</v>
      </c>
      <c r="AP3" s="28">
        <f t="shared" ref="AP3:AU3" si="3">_xlfn.STDEV.S(AE5:AE50)</f>
        <v>2.3515979981511776</v>
      </c>
      <c r="AQ3" s="28">
        <f t="shared" si="3"/>
        <v>3.2240428829086407</v>
      </c>
      <c r="AR3" s="28">
        <f t="shared" si="3"/>
        <v>1.2604224452472172</v>
      </c>
      <c r="AS3" s="28">
        <f t="shared" si="3"/>
        <v>4.0165410893228461</v>
      </c>
      <c r="AT3" s="28">
        <f t="shared" si="3"/>
        <v>4.5470113704522674</v>
      </c>
      <c r="AU3" s="28">
        <f t="shared" si="3"/>
        <v>3.1210163320495146</v>
      </c>
      <c r="AV3" s="28">
        <f t="shared" ref="AV3:AX3" si="4">_xlfn.STDEV.S(AL5:AL50)</f>
        <v>1.2463181019422682</v>
      </c>
      <c r="AW3" s="28">
        <f t="shared" si="4"/>
        <v>3.2782758114637316</v>
      </c>
      <c r="AX3" s="28">
        <f t="shared" si="4"/>
        <v>2.7120354660453199</v>
      </c>
      <c r="AY3" s="29"/>
    </row>
    <row r="4" spans="1:51" x14ac:dyDescent="0.25">
      <c r="A4" s="1" t="str">
        <f t="shared" ref="A4:A54" si="5">CONCATENATE(C4,B4)</f>
        <v>20111</v>
      </c>
      <c r="B4" s="1">
        <f t="shared" ref="B4:B54" si="6">INT((MONTH(D4)+2)/3)</f>
        <v>1</v>
      </c>
      <c r="C4" s="1">
        <f t="shared" ref="C4:C54" si="7">YEAR(D4)</f>
        <v>2011</v>
      </c>
      <c r="D4" s="31">
        <v>40603</v>
      </c>
      <c r="E4" s="32">
        <v>26410.644659600726</v>
      </c>
      <c r="F4" s="32">
        <v>589.29749949087159</v>
      </c>
      <c r="G4" s="32">
        <v>3412.4918644110771</v>
      </c>
      <c r="H4" s="32">
        <v>3026.4567098152665</v>
      </c>
      <c r="I4" s="32">
        <v>1047.9015507150059</v>
      </c>
      <c r="J4" s="32">
        <v>878.82674032768864</v>
      </c>
      <c r="K4" s="32">
        <v>3442.3520789002164</v>
      </c>
      <c r="L4" s="32">
        <v>1587.4859533555871</v>
      </c>
      <c r="M4" s="32">
        <v>770.58127452701046</v>
      </c>
      <c r="N4" s="32">
        <v>2477.9715359147917</v>
      </c>
      <c r="O4" s="16">
        <f>E4-SUM(G4:N4)-P4-F4</f>
        <v>5858.7429631606983</v>
      </c>
      <c r="P4" s="32">
        <v>3318.5364889825141</v>
      </c>
      <c r="Q4" s="33">
        <v>28773.469979228699</v>
      </c>
      <c r="R4" s="33">
        <v>1110.9782320716999</v>
      </c>
      <c r="S4" s="33">
        <v>3546.0131717948202</v>
      </c>
      <c r="T4" s="33">
        <v>3428.10620345084</v>
      </c>
      <c r="U4" s="33">
        <v>888.103230837723</v>
      </c>
      <c r="V4" s="33">
        <v>1512.1994802276299</v>
      </c>
      <c r="W4" s="33">
        <v>3734.5507949627699</v>
      </c>
      <c r="X4" s="33">
        <v>1744.2700553632101</v>
      </c>
      <c r="Y4" s="33">
        <v>750.89618286659299</v>
      </c>
      <c r="Z4" s="33">
        <v>2457.8068050540901</v>
      </c>
      <c r="AA4" s="33">
        <v>6179.0790535695742</v>
      </c>
      <c r="AB4" s="34">
        <v>3464.4036218241299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7"/>
      <c r="AP4" s="1"/>
      <c r="AQ4" s="1"/>
      <c r="AR4" s="1"/>
      <c r="AS4" s="1"/>
      <c r="AT4" s="1"/>
      <c r="AU4" s="1"/>
      <c r="AV4" s="1"/>
      <c r="AW4" s="1"/>
      <c r="AX4" s="1"/>
      <c r="AY4" s="6"/>
    </row>
    <row r="5" spans="1:51" x14ac:dyDescent="0.25">
      <c r="A5" s="1" t="str">
        <f t="shared" si="5"/>
        <v>20112</v>
      </c>
      <c r="B5" s="1">
        <f t="shared" si="6"/>
        <v>2</v>
      </c>
      <c r="C5" s="1">
        <f t="shared" si="7"/>
        <v>2011</v>
      </c>
      <c r="D5" s="35">
        <f>EDATE(D4,3)</f>
        <v>40695</v>
      </c>
      <c r="E5" s="32">
        <v>28551.309612990379</v>
      </c>
      <c r="F5" s="32">
        <v>760.54848954432873</v>
      </c>
      <c r="G5" s="32">
        <v>3534.6303620681369</v>
      </c>
      <c r="H5" s="32">
        <v>3555.1928782423115</v>
      </c>
      <c r="I5" s="32">
        <v>813.50314128860271</v>
      </c>
      <c r="J5" s="32">
        <v>1363.4281109011486</v>
      </c>
      <c r="K5" s="32">
        <v>3718.7233996162354</v>
      </c>
      <c r="L5" s="32">
        <v>1732.8065048903752</v>
      </c>
      <c r="M5" s="32">
        <v>754.7554660243751</v>
      </c>
      <c r="N5" s="32">
        <v>2497.931196413836</v>
      </c>
      <c r="O5" s="16">
        <f t="shared" ref="O5:O54" si="8">E5-SUM(G5:N5)-P5-F5</f>
        <v>6278.9310054895095</v>
      </c>
      <c r="P5" s="32">
        <v>3540.8590585115176</v>
      </c>
      <c r="Q5" s="33">
        <v>29164.118497498599</v>
      </c>
      <c r="R5" s="33">
        <v>1099.85175974033</v>
      </c>
      <c r="S5" s="33">
        <v>3529.1102920748699</v>
      </c>
      <c r="T5" s="33">
        <v>3559.37367732552</v>
      </c>
      <c r="U5" s="33">
        <v>884.14301885862096</v>
      </c>
      <c r="V5" s="33">
        <v>1579.7155096228701</v>
      </c>
      <c r="W5" s="33">
        <v>3755.3127272942202</v>
      </c>
      <c r="X5" s="33">
        <v>1754.7282316553899</v>
      </c>
      <c r="Y5" s="33">
        <v>765.78209507798601</v>
      </c>
      <c r="Z5" s="33">
        <v>2468.55619828716</v>
      </c>
      <c r="AA5" s="33">
        <v>6454.3413597454819</v>
      </c>
      <c r="AB5" s="34">
        <v>3514.4894749957498</v>
      </c>
      <c r="AC5" s="18">
        <f t="shared" ref="AC5:AN20" si="9">Q5/Q4*100-100</f>
        <v>1.3576691255935032</v>
      </c>
      <c r="AD5" s="18">
        <f t="shared" si="9"/>
        <v>-1.0015022806182117</v>
      </c>
      <c r="AE5" s="18">
        <f t="shared" si="9"/>
        <v>-0.4766727843651779</v>
      </c>
      <c r="AF5" s="18">
        <f t="shared" si="9"/>
        <v>3.8291542351442303</v>
      </c>
      <c r="AG5" s="18">
        <f t="shared" si="9"/>
        <v>-0.4459179790807184</v>
      </c>
      <c r="AH5" s="18">
        <f t="shared" si="9"/>
        <v>4.4647568180010921</v>
      </c>
      <c r="AI5" s="18">
        <f t="shared" si="9"/>
        <v>0.5559418915778167</v>
      </c>
      <c r="AJ5" s="18">
        <f t="shared" si="9"/>
        <v>0.59957322892883269</v>
      </c>
      <c r="AK5" s="18">
        <f t="shared" si="9"/>
        <v>1.9824194810213527</v>
      </c>
      <c r="AL5" s="18">
        <f t="shared" si="9"/>
        <v>0.43735712713323949</v>
      </c>
      <c r="AM5" s="18">
        <f t="shared" si="9"/>
        <v>4.4547464725652333</v>
      </c>
      <c r="AN5" s="18">
        <f t="shared" si="9"/>
        <v>1.4457279993619068</v>
      </c>
      <c r="AO5" s="17"/>
      <c r="AP5" s="36">
        <f>(AC5-AP$2)/AP$3</f>
        <v>0.47530367416539787</v>
      </c>
      <c r="AQ5" s="36">
        <f t="shared" ref="AQ5:AX20" si="10">(AD5-AQ$2)/AQ$3</f>
        <v>-0.47576989779283407</v>
      </c>
      <c r="AR5" s="36">
        <f t="shared" si="10"/>
        <v>-0.37798859363076331</v>
      </c>
      <c r="AS5" s="36">
        <f t="shared" si="10"/>
        <v>0.90365959445905564</v>
      </c>
      <c r="AT5" s="36">
        <f t="shared" si="10"/>
        <v>-3.4217704510405227E-2</v>
      </c>
      <c r="AU5" s="36">
        <f t="shared" si="10"/>
        <v>1.3768982641392162</v>
      </c>
      <c r="AV5" s="36">
        <f t="shared" si="10"/>
        <v>-1.620119197519369E-2</v>
      </c>
      <c r="AW5" s="36">
        <f t="shared" si="10"/>
        <v>1.7172206382040558E-2</v>
      </c>
      <c r="AX5" s="36">
        <f t="shared" si="10"/>
        <v>0.8213177531964555</v>
      </c>
      <c r="AY5" s="6"/>
    </row>
    <row r="6" spans="1:51" x14ac:dyDescent="0.25">
      <c r="A6" s="1" t="str">
        <f t="shared" si="5"/>
        <v>20113</v>
      </c>
      <c r="B6" s="1">
        <f t="shared" si="6"/>
        <v>3</v>
      </c>
      <c r="C6" s="1">
        <f t="shared" si="7"/>
        <v>2011</v>
      </c>
      <c r="D6" s="35">
        <f t="shared" ref="D6:D54" si="11">EDATE(D5,3)</f>
        <v>40787</v>
      </c>
      <c r="E6" s="32">
        <v>30126.555294728143</v>
      </c>
      <c r="F6" s="32">
        <v>1889.3167337606437</v>
      </c>
      <c r="G6" s="32">
        <v>3517.3637914057249</v>
      </c>
      <c r="H6" s="32">
        <v>3353.7121562242678</v>
      </c>
      <c r="I6" s="32">
        <v>700.90429184928644</v>
      </c>
      <c r="J6" s="32">
        <v>1562.130779912223</v>
      </c>
      <c r="K6" s="32">
        <v>3816.9768515851956</v>
      </c>
      <c r="L6" s="32">
        <v>1755.2598186525004</v>
      </c>
      <c r="M6" s="32">
        <v>790.56649723413523</v>
      </c>
      <c r="N6" s="32">
        <v>2486.5805301767355</v>
      </c>
      <c r="O6" s="16">
        <f t="shared" si="8"/>
        <v>6623.8762171716726</v>
      </c>
      <c r="P6" s="32">
        <v>3629.8676267557594</v>
      </c>
      <c r="Q6" s="33">
        <v>29603.784235853</v>
      </c>
      <c r="R6" s="33">
        <v>1108.1307107208399</v>
      </c>
      <c r="S6" s="33">
        <v>3559.0052707995601</v>
      </c>
      <c r="T6" s="33">
        <v>3387.0977467709799</v>
      </c>
      <c r="U6" s="33">
        <v>875.66407489082303</v>
      </c>
      <c r="V6" s="33">
        <v>1594.84697713588</v>
      </c>
      <c r="W6" s="33">
        <v>3832.9816181082701</v>
      </c>
      <c r="X6" s="33">
        <v>1761.8034692235599</v>
      </c>
      <c r="Y6" s="33">
        <v>794.45914320838097</v>
      </c>
      <c r="Z6" s="33">
        <v>2469.0606078998198</v>
      </c>
      <c r="AA6" s="33">
        <v>6663.6677670299359</v>
      </c>
      <c r="AB6" s="34">
        <v>3557.9713158137802</v>
      </c>
      <c r="AC6" s="18">
        <f t="shared" si="9"/>
        <v>1.5075570975756136</v>
      </c>
      <c r="AD6" s="18">
        <f t="shared" si="9"/>
        <v>0.75273334858006535</v>
      </c>
      <c r="AE6" s="18">
        <f t="shared" si="9"/>
        <v>0.84709675387091465</v>
      </c>
      <c r="AF6" s="18">
        <f t="shared" si="9"/>
        <v>-4.8400630608693689</v>
      </c>
      <c r="AG6" s="18">
        <f t="shared" si="9"/>
        <v>-0.95900140440443238</v>
      </c>
      <c r="AH6" s="18">
        <f t="shared" si="9"/>
        <v>0.95786028692104708</v>
      </c>
      <c r="AI6" s="18">
        <f t="shared" si="9"/>
        <v>2.0682402892717704</v>
      </c>
      <c r="AJ6" s="18">
        <f t="shared" si="9"/>
        <v>0.40320987834654431</v>
      </c>
      <c r="AK6" s="18">
        <f t="shared" si="9"/>
        <v>3.744805253963861</v>
      </c>
      <c r="AL6" s="18">
        <f t="shared" si="9"/>
        <v>2.0433385839453422E-2</v>
      </c>
      <c r="AM6" s="18">
        <f t="shared" si="9"/>
        <v>3.2431877339178783</v>
      </c>
      <c r="AN6" s="18">
        <f t="shared" si="9"/>
        <v>1.2372164186971446</v>
      </c>
      <c r="AO6" s="17"/>
      <c r="AP6" s="36">
        <f t="shared" ref="AP6:AX47" si="12">(AC6-AP$2)/AP$3</f>
        <v>0.53904244758668507</v>
      </c>
      <c r="AQ6" s="36">
        <f t="shared" si="10"/>
        <v>6.8340615903452459E-2</v>
      </c>
      <c r="AR6" s="36">
        <f t="shared" si="10"/>
        <v>0.67227002658640567</v>
      </c>
      <c r="AS6" s="36">
        <f t="shared" si="10"/>
        <v>-1.254719245249305</v>
      </c>
      <c r="AT6" s="36">
        <f t="shared" si="10"/>
        <v>-0.14705741031318184</v>
      </c>
      <c r="AU6" s="36">
        <f t="shared" si="10"/>
        <v>0.25325898834692012</v>
      </c>
      <c r="AV6" s="36">
        <f t="shared" si="10"/>
        <v>1.1972116561068333</v>
      </c>
      <c r="AW6" s="36">
        <f t="shared" si="10"/>
        <v>-4.2726155401806194E-2</v>
      </c>
      <c r="AX6" s="36">
        <f t="shared" si="10"/>
        <v>1.471156516371781</v>
      </c>
      <c r="AY6" s="6"/>
    </row>
    <row r="7" spans="1:51" x14ac:dyDescent="0.25">
      <c r="A7" s="1" t="str">
        <f t="shared" si="5"/>
        <v>20114</v>
      </c>
      <c r="B7" s="1">
        <f t="shared" si="6"/>
        <v>4</v>
      </c>
      <c r="C7" s="1">
        <f t="shared" si="7"/>
        <v>2011</v>
      </c>
      <c r="D7" s="35">
        <f t="shared" si="11"/>
        <v>40878</v>
      </c>
      <c r="E7" s="32">
        <v>32360.794226034202</v>
      </c>
      <c r="F7" s="32">
        <v>1235.4085977120521</v>
      </c>
      <c r="G7" s="32">
        <v>3749.8914272810239</v>
      </c>
      <c r="H7" s="32">
        <v>3718.7146251927024</v>
      </c>
      <c r="I7" s="32">
        <v>964.0883968366752</v>
      </c>
      <c r="J7" s="32">
        <v>2261.6224496877039</v>
      </c>
      <c r="K7" s="32">
        <v>4314.4720659558916</v>
      </c>
      <c r="L7" s="32">
        <v>1966.8368422451579</v>
      </c>
      <c r="M7" s="32">
        <v>806.60672537142057</v>
      </c>
      <c r="N7" s="32">
        <v>2654.4324919987394</v>
      </c>
      <c r="O7" s="16">
        <f t="shared" si="8"/>
        <v>7061.3824081413604</v>
      </c>
      <c r="P7" s="32">
        <v>3627.3381956114736</v>
      </c>
      <c r="Q7" s="33">
        <v>29967.576528780399</v>
      </c>
      <c r="R7" s="33">
        <v>1117.02246459455</v>
      </c>
      <c r="S7" s="33">
        <v>3578.86301275601</v>
      </c>
      <c r="T7" s="33">
        <v>3369.4412309937402</v>
      </c>
      <c r="U7" s="33">
        <v>868.50524616141399</v>
      </c>
      <c r="V7" s="33">
        <v>1465.55645504782</v>
      </c>
      <c r="W7" s="33">
        <v>3971.1722695573699</v>
      </c>
      <c r="X7" s="33">
        <v>1782.0054003862499</v>
      </c>
      <c r="Y7" s="33">
        <v>818.39435243828996</v>
      </c>
      <c r="Z7" s="33">
        <v>2605.9691830225802</v>
      </c>
      <c r="AA7" s="33">
        <v>6648.7840767731368</v>
      </c>
      <c r="AB7" s="34">
        <v>3595.41935994302</v>
      </c>
      <c r="AC7" s="18">
        <f t="shared" si="9"/>
        <v>1.228870910654777</v>
      </c>
      <c r="AD7" s="18">
        <f t="shared" si="9"/>
        <v>0.80241020194505097</v>
      </c>
      <c r="AE7" s="18">
        <f t="shared" si="9"/>
        <v>0.55795764393427305</v>
      </c>
      <c r="AF7" s="18">
        <f t="shared" si="9"/>
        <v>-0.52128745897789486</v>
      </c>
      <c r="AG7" s="18">
        <f t="shared" si="9"/>
        <v>-0.81753139527866381</v>
      </c>
      <c r="AH7" s="18">
        <f t="shared" si="9"/>
        <v>-8.1067666015361368</v>
      </c>
      <c r="AI7" s="18">
        <f t="shared" si="9"/>
        <v>3.6053043092156116</v>
      </c>
      <c r="AJ7" s="18">
        <f t="shared" si="9"/>
        <v>1.1466620151221036</v>
      </c>
      <c r="AK7" s="18">
        <f t="shared" si="9"/>
        <v>3.012767797378217</v>
      </c>
      <c r="AL7" s="18">
        <f t="shared" si="9"/>
        <v>5.5449661577653444</v>
      </c>
      <c r="AM7" s="18">
        <f t="shared" si="9"/>
        <v>-0.22335582710830693</v>
      </c>
      <c r="AN7" s="18">
        <f t="shared" si="9"/>
        <v>1.0525111307895685</v>
      </c>
      <c r="AO7" s="17"/>
      <c r="AP7" s="36">
        <f t="shared" si="12"/>
        <v>0.4205331670294048</v>
      </c>
      <c r="AQ7" s="36">
        <f t="shared" si="10"/>
        <v>8.3748864233005871E-2</v>
      </c>
      <c r="AR7" s="36">
        <f t="shared" si="10"/>
        <v>0.4428714538880828</v>
      </c>
      <c r="AS7" s="36">
        <f t="shared" si="10"/>
        <v>-0.17947178584398318</v>
      </c>
      <c r="AT7" s="36">
        <f t="shared" si="10"/>
        <v>-0.11594466446761839</v>
      </c>
      <c r="AU7" s="36">
        <f t="shared" si="10"/>
        <v>-2.6511240471960593</v>
      </c>
      <c r="AV7" s="36">
        <f t="shared" si="10"/>
        <v>2.4304955324691147</v>
      </c>
      <c r="AW7" s="36">
        <f t="shared" si="10"/>
        <v>0.18405529299731802</v>
      </c>
      <c r="AX7" s="36">
        <f t="shared" si="10"/>
        <v>1.2012347304103688</v>
      </c>
      <c r="AY7" s="6"/>
    </row>
    <row r="8" spans="1:51" x14ac:dyDescent="0.25">
      <c r="A8" s="1" t="str">
        <f t="shared" si="5"/>
        <v>20121</v>
      </c>
      <c r="B8" s="1">
        <f t="shared" si="6"/>
        <v>1</v>
      </c>
      <c r="C8" s="1">
        <f t="shared" si="7"/>
        <v>2012</v>
      </c>
      <c r="D8" s="35">
        <f t="shared" si="11"/>
        <v>40969</v>
      </c>
      <c r="E8" s="32">
        <v>27917.061670067276</v>
      </c>
      <c r="F8" s="32">
        <v>611.8025802246475</v>
      </c>
      <c r="G8" s="32">
        <v>3532.3541810106321</v>
      </c>
      <c r="H8" s="32">
        <v>3164.236870218203</v>
      </c>
      <c r="I8" s="32">
        <v>1050.3988400379687</v>
      </c>
      <c r="J8" s="32">
        <v>922.2741088693665</v>
      </c>
      <c r="K8" s="32">
        <v>3743.3981833557523</v>
      </c>
      <c r="L8" s="32">
        <v>1647.4031905103725</v>
      </c>
      <c r="M8" s="32">
        <v>911.00470594733895</v>
      </c>
      <c r="N8" s="32">
        <v>2618.9384078904218</v>
      </c>
      <c r="O8" s="16">
        <f t="shared" si="8"/>
        <v>6196.7723088955254</v>
      </c>
      <c r="P8" s="32">
        <v>3518.4782931070472</v>
      </c>
      <c r="Q8" s="33">
        <v>30406.3485081486</v>
      </c>
      <c r="R8" s="33">
        <v>1128.9513023893101</v>
      </c>
      <c r="S8" s="33">
        <v>3670.5673329173601</v>
      </c>
      <c r="T8" s="33">
        <v>3590.3029405164798</v>
      </c>
      <c r="U8" s="33">
        <v>886.44406815024195</v>
      </c>
      <c r="V8" s="33">
        <v>1572.78371349244</v>
      </c>
      <c r="W8" s="33">
        <v>4035.44881787757</v>
      </c>
      <c r="X8" s="33">
        <v>1815.35189487054</v>
      </c>
      <c r="Y8" s="33">
        <v>866.594438855416</v>
      </c>
      <c r="Z8" s="33">
        <v>2603.6906843081501</v>
      </c>
      <c r="AA8" s="33">
        <v>6644.9143179990133</v>
      </c>
      <c r="AB8" s="34">
        <v>3630.7639492527401</v>
      </c>
      <c r="AC8" s="18">
        <f t="shared" si="9"/>
        <v>1.4641556982320765</v>
      </c>
      <c r="AD8" s="18">
        <f t="shared" si="9"/>
        <v>1.067913866807487</v>
      </c>
      <c r="AE8" s="18">
        <f t="shared" si="9"/>
        <v>2.5623869881158186</v>
      </c>
      <c r="AF8" s="18">
        <f t="shared" si="9"/>
        <v>6.5548467648329165</v>
      </c>
      <c r="AG8" s="18">
        <f t="shared" si="9"/>
        <v>2.0654822832807582</v>
      </c>
      <c r="AH8" s="18">
        <f t="shared" si="9"/>
        <v>7.3164877460228013</v>
      </c>
      <c r="AI8" s="18">
        <f t="shared" si="9"/>
        <v>1.6185786955891643</v>
      </c>
      <c r="AJ8" s="18">
        <f t="shared" si="9"/>
        <v>1.8712903157904037</v>
      </c>
      <c r="AK8" s="18">
        <f t="shared" si="9"/>
        <v>5.8895917687507051</v>
      </c>
      <c r="AL8" s="18">
        <f t="shared" si="9"/>
        <v>-8.7433831883899416E-2</v>
      </c>
      <c r="AM8" s="18">
        <f t="shared" si="9"/>
        <v>-5.8202503336545419E-2</v>
      </c>
      <c r="AN8" s="18">
        <f t="shared" si="9"/>
        <v>0.98304497393262125</v>
      </c>
      <c r="AO8" s="17"/>
      <c r="AP8" s="36">
        <f t="shared" si="12"/>
        <v>0.52058631716913095</v>
      </c>
      <c r="AQ8" s="36">
        <f t="shared" si="10"/>
        <v>0.16610002223711595</v>
      </c>
      <c r="AR8" s="36">
        <f t="shared" si="10"/>
        <v>2.0331552129085755</v>
      </c>
      <c r="AS8" s="36">
        <f t="shared" si="10"/>
        <v>1.5822764613285079</v>
      </c>
      <c r="AT8" s="36">
        <f t="shared" si="10"/>
        <v>0.51810118316189036</v>
      </c>
      <c r="AU8" s="36">
        <f t="shared" si="10"/>
        <v>2.2906169456909495</v>
      </c>
      <c r="AV8" s="36">
        <f t="shared" si="10"/>
        <v>0.83641966168594561</v>
      </c>
      <c r="AW8" s="36">
        <f t="shared" si="10"/>
        <v>0.40509474859600897</v>
      </c>
      <c r="AX8" s="36">
        <f t="shared" si="10"/>
        <v>2.2619966590024978</v>
      </c>
      <c r="AY8" s="6"/>
    </row>
    <row r="9" spans="1:51" x14ac:dyDescent="0.25">
      <c r="A9" s="1" t="str">
        <f t="shared" si="5"/>
        <v>20122</v>
      </c>
      <c r="B9" s="1">
        <f t="shared" si="6"/>
        <v>2</v>
      </c>
      <c r="C9" s="1">
        <f t="shared" si="7"/>
        <v>2012</v>
      </c>
      <c r="D9" s="35">
        <f t="shared" si="11"/>
        <v>41061</v>
      </c>
      <c r="E9" s="32">
        <v>29937.52551477899</v>
      </c>
      <c r="F9" s="32">
        <v>804.87697490934772</v>
      </c>
      <c r="G9" s="32">
        <v>3626.3378922560582</v>
      </c>
      <c r="H9" s="32">
        <v>3691.9156388269803</v>
      </c>
      <c r="I9" s="32">
        <v>811.83972376143925</v>
      </c>
      <c r="J9" s="32">
        <v>1450.2324219292759</v>
      </c>
      <c r="K9" s="32">
        <v>3935.4047943378587</v>
      </c>
      <c r="L9" s="32">
        <v>1799.1820427682671</v>
      </c>
      <c r="M9" s="32">
        <v>899.16699565918532</v>
      </c>
      <c r="N9" s="32">
        <v>2607.2107719329529</v>
      </c>
      <c r="O9" s="16">
        <f t="shared" si="8"/>
        <v>6643.7243733138475</v>
      </c>
      <c r="P9" s="32">
        <v>3667.633885083776</v>
      </c>
      <c r="Q9" s="33">
        <v>30519.499505023301</v>
      </c>
      <c r="R9" s="33">
        <v>1121.17778703558</v>
      </c>
      <c r="S9" s="33">
        <v>3620.6723582531699</v>
      </c>
      <c r="T9" s="33">
        <v>3670.1055585163499</v>
      </c>
      <c r="U9" s="33">
        <v>879.14117443635803</v>
      </c>
      <c r="V9" s="33">
        <v>1647.91569462092</v>
      </c>
      <c r="W9" s="33">
        <v>3968.5604428274601</v>
      </c>
      <c r="X9" s="33">
        <v>1818.5199103549501</v>
      </c>
      <c r="Y9" s="33">
        <v>909.80077876847804</v>
      </c>
      <c r="Z9" s="33">
        <v>2612.3050389311902</v>
      </c>
      <c r="AA9" s="33">
        <v>6773.4781523335969</v>
      </c>
      <c r="AB9" s="34">
        <v>3646.2769101250001</v>
      </c>
      <c r="AC9" s="18">
        <f t="shared" si="9"/>
        <v>0.37212951382299764</v>
      </c>
      <c r="AD9" s="18">
        <f t="shared" si="9"/>
        <v>-0.68856073218377389</v>
      </c>
      <c r="AE9" s="18">
        <f t="shared" si="9"/>
        <v>-1.3593259607782073</v>
      </c>
      <c r="AF9" s="18">
        <f t="shared" si="9"/>
        <v>2.2227265866425796</v>
      </c>
      <c r="AG9" s="18">
        <f t="shared" si="9"/>
        <v>-0.82384145557237787</v>
      </c>
      <c r="AH9" s="18">
        <f t="shared" si="9"/>
        <v>4.7770065574780176</v>
      </c>
      <c r="AI9" s="18">
        <f t="shared" si="9"/>
        <v>-1.6575200942652373</v>
      </c>
      <c r="AJ9" s="18">
        <f t="shared" si="9"/>
        <v>0.17451247294597749</v>
      </c>
      <c r="AK9" s="18">
        <f t="shared" si="9"/>
        <v>4.9857624254003241</v>
      </c>
      <c r="AL9" s="18">
        <f t="shared" si="9"/>
        <v>0.33085168967868128</v>
      </c>
      <c r="AM9" s="18">
        <f t="shared" si="9"/>
        <v>1.9347703850197746</v>
      </c>
      <c r="AN9" s="18">
        <f t="shared" si="9"/>
        <v>0.42726437435990761</v>
      </c>
      <c r="AO9" s="17"/>
      <c r="AP9" s="36">
        <f t="shared" si="12"/>
        <v>5.6210099266399395E-2</v>
      </c>
      <c r="AQ9" s="36">
        <f t="shared" si="10"/>
        <v>-0.37870495176081642</v>
      </c>
      <c r="AR9" s="36">
        <f t="shared" si="10"/>
        <v>-1.0782722007192638</v>
      </c>
      <c r="AS9" s="36">
        <f t="shared" si="10"/>
        <v>0.50370659689804209</v>
      </c>
      <c r="AT9" s="36">
        <f t="shared" si="10"/>
        <v>-0.11733240242990249</v>
      </c>
      <c r="AU9" s="36">
        <f t="shared" si="10"/>
        <v>1.4769457186399995</v>
      </c>
      <c r="AV9" s="36">
        <f t="shared" si="10"/>
        <v>-1.7922020238603953</v>
      </c>
      <c r="AW9" s="36">
        <f t="shared" si="10"/>
        <v>-0.11248764545119125</v>
      </c>
      <c r="AX9" s="36">
        <f t="shared" si="10"/>
        <v>1.928730610432587</v>
      </c>
      <c r="AY9" s="6"/>
    </row>
    <row r="10" spans="1:51" x14ac:dyDescent="0.25">
      <c r="A10" s="1" t="str">
        <f t="shared" si="5"/>
        <v>20123</v>
      </c>
      <c r="B10" s="1">
        <f t="shared" si="6"/>
        <v>3</v>
      </c>
      <c r="C10" s="1">
        <f t="shared" si="7"/>
        <v>2012</v>
      </c>
      <c r="D10" s="35">
        <f t="shared" si="11"/>
        <v>41153</v>
      </c>
      <c r="E10" s="32">
        <v>31178.718745628303</v>
      </c>
      <c r="F10" s="32">
        <v>1830.6577238358268</v>
      </c>
      <c r="G10" s="32">
        <v>3598.494253650972</v>
      </c>
      <c r="H10" s="32">
        <v>3521.5755896608634</v>
      </c>
      <c r="I10" s="32">
        <v>707.99400831264609</v>
      </c>
      <c r="J10" s="32">
        <v>1568.1821300353995</v>
      </c>
      <c r="K10" s="32">
        <v>3958.8464730479236</v>
      </c>
      <c r="L10" s="32">
        <v>1847.5197321278158</v>
      </c>
      <c r="M10" s="32">
        <v>919.38527358583394</v>
      </c>
      <c r="N10" s="32">
        <v>2589.6028814469196</v>
      </c>
      <c r="O10" s="16">
        <f t="shared" si="8"/>
        <v>6915.7349575836733</v>
      </c>
      <c r="P10" s="32">
        <v>3720.7257223404267</v>
      </c>
      <c r="Q10" s="33">
        <v>30645.139733887099</v>
      </c>
      <c r="R10" s="33">
        <v>1123.4827037411501</v>
      </c>
      <c r="S10" s="33">
        <v>3641.0955089199301</v>
      </c>
      <c r="T10" s="33">
        <v>3514.0408508304999</v>
      </c>
      <c r="U10" s="33">
        <v>885.21344275135903</v>
      </c>
      <c r="V10" s="33">
        <v>1589.21628890281</v>
      </c>
      <c r="W10" s="33">
        <v>3973.8566290985</v>
      </c>
      <c r="X10" s="33">
        <v>1832.4986066052099</v>
      </c>
      <c r="Y10" s="33">
        <v>923.69067289115196</v>
      </c>
      <c r="Z10" s="33">
        <v>2611.7527284255102</v>
      </c>
      <c r="AA10" s="33">
        <v>6824.8275125316177</v>
      </c>
      <c r="AB10" s="34">
        <v>3658.85433179558</v>
      </c>
      <c r="AC10" s="18">
        <f t="shared" si="9"/>
        <v>0.41167198316315989</v>
      </c>
      <c r="AD10" s="18">
        <f t="shared" si="9"/>
        <v>0.20557994746440045</v>
      </c>
      <c r="AE10" s="18">
        <f t="shared" si="9"/>
        <v>0.56407066549964213</v>
      </c>
      <c r="AF10" s="18">
        <f t="shared" si="9"/>
        <v>-4.2523220435365232</v>
      </c>
      <c r="AG10" s="18">
        <f t="shared" si="9"/>
        <v>0.69070457527986662</v>
      </c>
      <c r="AH10" s="18">
        <f t="shared" si="9"/>
        <v>-3.5620393634040255</v>
      </c>
      <c r="AI10" s="18">
        <f t="shared" si="9"/>
        <v>0.13345358719713829</v>
      </c>
      <c r="AJ10" s="18">
        <f t="shared" si="9"/>
        <v>0.7686853561879019</v>
      </c>
      <c r="AK10" s="18">
        <f t="shared" si="9"/>
        <v>1.5266962226033058</v>
      </c>
      <c r="AL10" s="18">
        <f t="shared" si="9"/>
        <v>-2.1142649784337664E-2</v>
      </c>
      <c r="AM10" s="18">
        <f t="shared" si="9"/>
        <v>0.75809442421143558</v>
      </c>
      <c r="AN10" s="18">
        <f t="shared" si="9"/>
        <v>0.34493874109382716</v>
      </c>
      <c r="AO10" s="17"/>
      <c r="AP10" s="36">
        <f t="shared" si="12"/>
        <v>7.3025247676650834E-2</v>
      </c>
      <c r="AQ10" s="36">
        <f t="shared" si="10"/>
        <v>-0.10136972015201542</v>
      </c>
      <c r="AR10" s="36">
        <f t="shared" si="10"/>
        <v>0.44772143223337491</v>
      </c>
      <c r="AS10" s="36">
        <f t="shared" si="10"/>
        <v>-1.1083891058925248</v>
      </c>
      <c r="AT10" s="36">
        <f t="shared" si="10"/>
        <v>0.21575364188795029</v>
      </c>
      <c r="AU10" s="36">
        <f t="shared" si="10"/>
        <v>-1.1949550449827091</v>
      </c>
      <c r="AV10" s="36">
        <f t="shared" si="10"/>
        <v>-0.35519033425136748</v>
      </c>
      <c r="AW10" s="36">
        <f t="shared" si="10"/>
        <v>6.8757898674221912E-2</v>
      </c>
      <c r="AX10" s="36">
        <f t="shared" si="10"/>
        <v>0.6532804011324056</v>
      </c>
      <c r="AY10" s="6"/>
    </row>
    <row r="11" spans="1:51" x14ac:dyDescent="0.25">
      <c r="A11" s="1" t="str">
        <f t="shared" si="5"/>
        <v>20124</v>
      </c>
      <c r="B11" s="1">
        <f t="shared" si="6"/>
        <v>4</v>
      </c>
      <c r="C11" s="1">
        <f t="shared" si="7"/>
        <v>2012</v>
      </c>
      <c r="D11" s="35">
        <f t="shared" si="11"/>
        <v>41244</v>
      </c>
      <c r="E11" s="32">
        <v>33142.259038531192</v>
      </c>
      <c r="F11" s="32">
        <v>1162.7109739568059</v>
      </c>
      <c r="G11" s="32">
        <v>3780.2134042980024</v>
      </c>
      <c r="H11" s="32">
        <v>3984.2755625855384</v>
      </c>
      <c r="I11" s="32">
        <v>979.76746480845247</v>
      </c>
      <c r="J11" s="32">
        <v>2373.7103282307526</v>
      </c>
      <c r="K11" s="32">
        <v>4230.3194413794517</v>
      </c>
      <c r="L11" s="32">
        <v>2024.1094125423074</v>
      </c>
      <c r="M11" s="32">
        <v>926.05393072061236</v>
      </c>
      <c r="N11" s="32">
        <v>2620.7601120144045</v>
      </c>
      <c r="O11" s="16">
        <f t="shared" si="8"/>
        <v>7360.9212186548411</v>
      </c>
      <c r="P11" s="32">
        <v>3699.4171893400235</v>
      </c>
      <c r="Q11" s="33">
        <v>30646.043683995002</v>
      </c>
      <c r="R11" s="33">
        <v>1123.75203907946</v>
      </c>
      <c r="S11" s="33">
        <v>3607.8008275488601</v>
      </c>
      <c r="T11" s="33">
        <v>3495.7155145129</v>
      </c>
      <c r="U11" s="33">
        <v>893.94756891601401</v>
      </c>
      <c r="V11" s="33">
        <v>1512.2675521045301</v>
      </c>
      <c r="W11" s="33">
        <v>3890.05049990114</v>
      </c>
      <c r="X11" s="33">
        <v>1828.46289769039</v>
      </c>
      <c r="Y11" s="33">
        <v>936.94860260093105</v>
      </c>
      <c r="Z11" s="33">
        <v>2619.8365998941999</v>
      </c>
      <c r="AA11" s="33">
        <v>6817.7046633496393</v>
      </c>
      <c r="AB11" s="34">
        <v>3673.3892119819898</v>
      </c>
      <c r="AC11" s="18">
        <f t="shared" si="9"/>
        <v>2.9497340059663202E-3</v>
      </c>
      <c r="AD11" s="18">
        <f t="shared" si="9"/>
        <v>2.3973251872334345E-2</v>
      </c>
      <c r="AE11" s="18">
        <f t="shared" si="9"/>
        <v>-0.91441384301799644</v>
      </c>
      <c r="AF11" s="18">
        <f t="shared" si="9"/>
        <v>-0.5214889950203343</v>
      </c>
      <c r="AG11" s="18">
        <f t="shared" si="9"/>
        <v>0.98666894817007744</v>
      </c>
      <c r="AH11" s="18">
        <f t="shared" si="9"/>
        <v>-4.8419297823460568</v>
      </c>
      <c r="AI11" s="18">
        <f t="shared" si="9"/>
        <v>-2.1089369098948083</v>
      </c>
      <c r="AJ11" s="18">
        <f t="shared" si="9"/>
        <v>-0.22022984903090048</v>
      </c>
      <c r="AK11" s="18">
        <f t="shared" si="9"/>
        <v>1.4353213796434403</v>
      </c>
      <c r="AL11" s="18">
        <f t="shared" si="9"/>
        <v>0.30951902072149551</v>
      </c>
      <c r="AM11" s="18">
        <f t="shared" si="9"/>
        <v>-0.10436672822719117</v>
      </c>
      <c r="AN11" s="18">
        <f t="shared" si="9"/>
        <v>0.39725222346518763</v>
      </c>
      <c r="AO11" s="17"/>
      <c r="AP11" s="36">
        <f t="shared" si="12"/>
        <v>-0.1007809256057428</v>
      </c>
      <c r="AQ11" s="36">
        <f t="shared" si="10"/>
        <v>-0.15769859113409915</v>
      </c>
      <c r="AR11" s="36">
        <f t="shared" si="10"/>
        <v>-0.72528569255457742</v>
      </c>
      <c r="AS11" s="36">
        <f t="shared" si="10"/>
        <v>-0.17952196236103046</v>
      </c>
      <c r="AT11" s="36">
        <f t="shared" si="10"/>
        <v>0.28084351054617906</v>
      </c>
      <c r="AU11" s="36">
        <f t="shared" si="10"/>
        <v>-1.6050427480808696</v>
      </c>
      <c r="AV11" s="36">
        <f t="shared" si="10"/>
        <v>-2.1544023440884983</v>
      </c>
      <c r="AW11" s="36">
        <f t="shared" si="10"/>
        <v>-0.23289921076138026</v>
      </c>
      <c r="AX11" s="36">
        <f t="shared" si="10"/>
        <v>0.61958805304039921</v>
      </c>
      <c r="AY11" s="6"/>
    </row>
    <row r="12" spans="1:51" x14ac:dyDescent="0.25">
      <c r="A12" s="1" t="str">
        <f t="shared" si="5"/>
        <v>20131</v>
      </c>
      <c r="B12" s="1">
        <f t="shared" si="6"/>
        <v>1</v>
      </c>
      <c r="C12" s="1">
        <f t="shared" si="7"/>
        <v>2013</v>
      </c>
      <c r="D12" s="35">
        <f t="shared" si="11"/>
        <v>41334</v>
      </c>
      <c r="E12" s="32">
        <v>28232.599064314658</v>
      </c>
      <c r="F12" s="32">
        <v>560.32865584520789</v>
      </c>
      <c r="G12" s="32">
        <v>3519.1753982900527</v>
      </c>
      <c r="H12" s="32">
        <v>3218.0094323945382</v>
      </c>
      <c r="I12" s="32">
        <v>1025.4174200892949</v>
      </c>
      <c r="J12" s="32">
        <v>925.46675447537848</v>
      </c>
      <c r="K12" s="32">
        <v>3667.0554283410675</v>
      </c>
      <c r="L12" s="32">
        <v>1619.2631840655556</v>
      </c>
      <c r="M12" s="32">
        <v>961.33286632438171</v>
      </c>
      <c r="N12" s="32">
        <v>2715.6314387905509</v>
      </c>
      <c r="O12" s="16">
        <f t="shared" si="8"/>
        <v>6431.7786092041197</v>
      </c>
      <c r="P12" s="32">
        <v>3589.1398764945102</v>
      </c>
      <c r="Q12" s="33">
        <v>30931.9452197028</v>
      </c>
      <c r="R12" s="33">
        <v>1135.9150125618801</v>
      </c>
      <c r="S12" s="33">
        <v>3656.8783324026699</v>
      </c>
      <c r="T12" s="33">
        <v>3663.9815184966101</v>
      </c>
      <c r="U12" s="33">
        <v>880.11989996438194</v>
      </c>
      <c r="V12" s="33">
        <v>1580.98358839261</v>
      </c>
      <c r="W12" s="33">
        <v>3963.4292165566799</v>
      </c>
      <c r="X12" s="33">
        <v>1814.8332384012299</v>
      </c>
      <c r="Y12" s="33">
        <v>941.28463204014895</v>
      </c>
      <c r="Z12" s="33">
        <v>2730.1992715087299</v>
      </c>
      <c r="AA12" s="33">
        <v>6867.4751927000107</v>
      </c>
      <c r="AB12" s="34">
        <v>3727.9848713312599</v>
      </c>
      <c r="AC12" s="18">
        <f t="shared" si="9"/>
        <v>0.93291499110246434</v>
      </c>
      <c r="AD12" s="18">
        <f t="shared" si="9"/>
        <v>1.0823538520458271</v>
      </c>
      <c r="AE12" s="18">
        <f t="shared" si="9"/>
        <v>1.360316358903674</v>
      </c>
      <c r="AF12" s="18">
        <f t="shared" si="9"/>
        <v>4.8134924963182186</v>
      </c>
      <c r="AG12" s="18">
        <f t="shared" si="9"/>
        <v>-1.5468098390154239</v>
      </c>
      <c r="AH12" s="18">
        <f t="shared" si="9"/>
        <v>4.5439073391776503</v>
      </c>
      <c r="AI12" s="18">
        <f t="shared" si="9"/>
        <v>1.8863178423366094</v>
      </c>
      <c r="AJ12" s="18">
        <f t="shared" si="9"/>
        <v>-0.74541623493571763</v>
      </c>
      <c r="AK12" s="18">
        <f t="shared" si="9"/>
        <v>0.46278199542442167</v>
      </c>
      <c r="AL12" s="18">
        <f t="shared" si="9"/>
        <v>4.2125784340514514</v>
      </c>
      <c r="AM12" s="18">
        <f t="shared" si="9"/>
        <v>0.73001885250216958</v>
      </c>
      <c r="AN12" s="18">
        <f t="shared" si="9"/>
        <v>1.4862476094607189</v>
      </c>
      <c r="AO12" s="17"/>
      <c r="AP12" s="36">
        <f t="shared" si="12"/>
        <v>0.29468005787342122</v>
      </c>
      <c r="AQ12" s="36">
        <f t="shared" si="10"/>
        <v>0.17057886627324512</v>
      </c>
      <c r="AR12" s="36">
        <f t="shared" si="10"/>
        <v>1.0794506563570039</v>
      </c>
      <c r="AS12" s="36">
        <f t="shared" si="10"/>
        <v>1.1487307238919526</v>
      </c>
      <c r="AT12" s="36">
        <f t="shared" si="10"/>
        <v>-0.27633098953287161</v>
      </c>
      <c r="AU12" s="36">
        <f t="shared" si="10"/>
        <v>1.4022587598097345</v>
      </c>
      <c r="AV12" s="36">
        <f t="shared" si="10"/>
        <v>1.051243747391031</v>
      </c>
      <c r="AW12" s="36">
        <f t="shared" si="10"/>
        <v>-0.39310122429187827</v>
      </c>
      <c r="AX12" s="36">
        <f t="shared" si="10"/>
        <v>0.26098677499842293</v>
      </c>
      <c r="AY12" s="6"/>
    </row>
    <row r="13" spans="1:51" x14ac:dyDescent="0.25">
      <c r="A13" s="1" t="str">
        <f t="shared" si="5"/>
        <v>20132</v>
      </c>
      <c r="B13" s="1">
        <f t="shared" si="6"/>
        <v>2</v>
      </c>
      <c r="C13" s="1">
        <f t="shared" si="7"/>
        <v>2013</v>
      </c>
      <c r="D13" s="35">
        <f t="shared" si="11"/>
        <v>41426</v>
      </c>
      <c r="E13" s="32">
        <v>30452.725447908226</v>
      </c>
      <c r="F13" s="32">
        <v>818.74297885750093</v>
      </c>
      <c r="G13" s="32">
        <v>3731.1932732841078</v>
      </c>
      <c r="H13" s="32">
        <v>3743.7923997006969</v>
      </c>
      <c r="I13" s="32">
        <v>819.58008226805839</v>
      </c>
      <c r="J13" s="32">
        <v>1429.5592184525353</v>
      </c>
      <c r="K13" s="32">
        <v>3931.8785497732679</v>
      </c>
      <c r="L13" s="32">
        <v>1794.2319714071787</v>
      </c>
      <c r="M13" s="32">
        <v>957.47377832063853</v>
      </c>
      <c r="N13" s="32">
        <v>2698.4522442824318</v>
      </c>
      <c r="O13" s="16">
        <f t="shared" si="8"/>
        <v>6800.9508322681568</v>
      </c>
      <c r="P13" s="32">
        <v>3726.8701192936524</v>
      </c>
      <c r="Q13" s="33">
        <v>31053.5803222908</v>
      </c>
      <c r="R13" s="33">
        <v>1143.3124464510199</v>
      </c>
      <c r="S13" s="33">
        <v>3725.36231486108</v>
      </c>
      <c r="T13" s="33">
        <v>3787.5473127089099</v>
      </c>
      <c r="U13" s="33">
        <v>885.60245438274603</v>
      </c>
      <c r="V13" s="33">
        <v>1628.59747485143</v>
      </c>
      <c r="W13" s="33">
        <v>3960.92479140569</v>
      </c>
      <c r="X13" s="33">
        <v>1819.35915372758</v>
      </c>
      <c r="Y13" s="33">
        <v>969.05089730278598</v>
      </c>
      <c r="Z13" s="33">
        <v>2736.0854210980401</v>
      </c>
      <c r="AA13" s="33">
        <v>6872.1508888919889</v>
      </c>
      <c r="AB13" s="34">
        <v>3700.0456132905001</v>
      </c>
      <c r="AC13" s="18">
        <f t="shared" si="9"/>
        <v>0.39323457262079842</v>
      </c>
      <c r="AD13" s="18">
        <f t="shared" si="9"/>
        <v>0.65123128115509132</v>
      </c>
      <c r="AE13" s="18">
        <f t="shared" si="9"/>
        <v>1.8727443527883025</v>
      </c>
      <c r="AF13" s="18">
        <f t="shared" si="9"/>
        <v>3.3724458922216485</v>
      </c>
      <c r="AG13" s="18">
        <f t="shared" si="9"/>
        <v>0.62293267298989008</v>
      </c>
      <c r="AH13" s="18">
        <f t="shared" si="9"/>
        <v>3.0116622846938697</v>
      </c>
      <c r="AI13" s="18">
        <f t="shared" si="9"/>
        <v>-6.3188340554390265E-2</v>
      </c>
      <c r="AJ13" s="18">
        <f t="shared" si="9"/>
        <v>0.24938463934776678</v>
      </c>
      <c r="AK13" s="18">
        <f t="shared" si="9"/>
        <v>2.9498266855219129</v>
      </c>
      <c r="AL13" s="18">
        <f t="shared" si="9"/>
        <v>0.21559413815452899</v>
      </c>
      <c r="AM13" s="18">
        <f t="shared" si="9"/>
        <v>6.8084646260516024E-2</v>
      </c>
      <c r="AN13" s="18">
        <f t="shared" si="9"/>
        <v>-0.74944665831712598</v>
      </c>
      <c r="AO13" s="17"/>
      <c r="AP13" s="36">
        <f t="shared" si="12"/>
        <v>6.5184872511823796E-2</v>
      </c>
      <c r="AQ13" s="36">
        <f t="shared" si="10"/>
        <v>3.6857763127808939E-2</v>
      </c>
      <c r="AR13" s="36">
        <f t="shared" si="10"/>
        <v>1.4860032338812179</v>
      </c>
      <c r="AS13" s="36">
        <f t="shared" si="10"/>
        <v>0.7899527176299731</v>
      </c>
      <c r="AT13" s="36">
        <f t="shared" si="10"/>
        <v>0.20084892827091888</v>
      </c>
      <c r="AU13" s="36">
        <f t="shared" si="10"/>
        <v>0.91131449952206611</v>
      </c>
      <c r="AV13" s="36">
        <f t="shared" si="10"/>
        <v>-0.51296861528979643</v>
      </c>
      <c r="AW13" s="36">
        <f t="shared" si="10"/>
        <v>-8.96487597967352E-2</v>
      </c>
      <c r="AX13" s="36">
        <f t="shared" si="10"/>
        <v>1.1780266593344824</v>
      </c>
      <c r="AY13" s="6"/>
    </row>
    <row r="14" spans="1:51" x14ac:dyDescent="0.25">
      <c r="A14" s="1" t="str">
        <f t="shared" si="5"/>
        <v>20133</v>
      </c>
      <c r="B14" s="1">
        <f t="shared" si="6"/>
        <v>3</v>
      </c>
      <c r="C14" s="1">
        <f t="shared" si="7"/>
        <v>2013</v>
      </c>
      <c r="D14" s="35">
        <f t="shared" si="11"/>
        <v>41518</v>
      </c>
      <c r="E14" s="32">
        <v>31649.196136979175</v>
      </c>
      <c r="F14" s="32">
        <v>1851.8593328004688</v>
      </c>
      <c r="G14" s="32">
        <v>3604.8285341479777</v>
      </c>
      <c r="H14" s="32">
        <v>3624.3054172635066</v>
      </c>
      <c r="I14" s="32">
        <v>710.16846880295941</v>
      </c>
      <c r="J14" s="32">
        <v>1540.4688670365513</v>
      </c>
      <c r="K14" s="32">
        <v>3910.9642065287617</v>
      </c>
      <c r="L14" s="32">
        <v>1846.4425645061951</v>
      </c>
      <c r="M14" s="32">
        <v>984.54805037983476</v>
      </c>
      <c r="N14" s="32">
        <v>2699.9994378328379</v>
      </c>
      <c r="O14" s="16">
        <f t="shared" si="8"/>
        <v>7081.7042620899329</v>
      </c>
      <c r="P14" s="32">
        <v>3793.9069955901468</v>
      </c>
      <c r="Q14" s="33">
        <v>31013.944974649501</v>
      </c>
      <c r="R14" s="33">
        <v>1142.2218462395699</v>
      </c>
      <c r="S14" s="33">
        <v>3647.50299882945</v>
      </c>
      <c r="T14" s="33">
        <v>3611.68406463569</v>
      </c>
      <c r="U14" s="33">
        <v>871.167456786147</v>
      </c>
      <c r="V14" s="33">
        <v>1566.47396117839</v>
      </c>
      <c r="W14" s="33">
        <v>3922.8693670427601</v>
      </c>
      <c r="X14" s="33">
        <v>1832.3344723831499</v>
      </c>
      <c r="Y14" s="33">
        <v>989.01418961997194</v>
      </c>
      <c r="Z14" s="33">
        <v>2740.2850469269802</v>
      </c>
      <c r="AA14" s="33">
        <v>6966.6838944332721</v>
      </c>
      <c r="AB14" s="34">
        <v>3674.7471979776901</v>
      </c>
      <c r="AC14" s="18">
        <f t="shared" si="9"/>
        <v>-0.12763535550472227</v>
      </c>
      <c r="AD14" s="18">
        <f t="shared" si="9"/>
        <v>-9.5389516211014325E-2</v>
      </c>
      <c r="AE14" s="18">
        <f t="shared" si="9"/>
        <v>-2.0899796973045142</v>
      </c>
      <c r="AF14" s="18">
        <f t="shared" si="9"/>
        <v>-4.6431960726436472</v>
      </c>
      <c r="AG14" s="18">
        <f t="shared" si="9"/>
        <v>-1.629963594292434</v>
      </c>
      <c r="AH14" s="18">
        <f t="shared" si="9"/>
        <v>-3.8145407095579174</v>
      </c>
      <c r="AI14" s="18">
        <f t="shared" si="9"/>
        <v>-0.96077119276543499</v>
      </c>
      <c r="AJ14" s="18">
        <f t="shared" si="9"/>
        <v>0.71318071690163265</v>
      </c>
      <c r="AK14" s="18">
        <f t="shared" si="9"/>
        <v>2.0600870782691487</v>
      </c>
      <c r="AL14" s="18">
        <f t="shared" si="9"/>
        <v>0.15349030394141039</v>
      </c>
      <c r="AM14" s="18">
        <f t="shared" si="9"/>
        <v>1.3755956041955386</v>
      </c>
      <c r="AN14" s="18">
        <f t="shared" si="9"/>
        <v>-0.68373252540288831</v>
      </c>
      <c r="AO14" s="17"/>
      <c r="AP14" s="36">
        <f t="shared" si="12"/>
        <v>-0.15631128819890472</v>
      </c>
      <c r="AQ14" s="36">
        <f t="shared" si="10"/>
        <v>-0.19472128978246916</v>
      </c>
      <c r="AR14" s="36">
        <f t="shared" si="10"/>
        <v>-1.6579617637554074</v>
      </c>
      <c r="AS14" s="36">
        <f t="shared" si="10"/>
        <v>-1.2057051846813569</v>
      </c>
      <c r="AT14" s="36">
        <f t="shared" si="10"/>
        <v>-0.29461855217618632</v>
      </c>
      <c r="AU14" s="36">
        <f t="shared" si="10"/>
        <v>-1.2758586094917992</v>
      </c>
      <c r="AV14" s="36">
        <f t="shared" si="10"/>
        <v>-1.233156222941685</v>
      </c>
      <c r="AW14" s="36">
        <f t="shared" si="10"/>
        <v>5.1826852454078913E-2</v>
      </c>
      <c r="AX14" s="36">
        <f t="shared" si="10"/>
        <v>0.8499558732432595</v>
      </c>
      <c r="AY14" s="6"/>
    </row>
    <row r="15" spans="1:51" x14ac:dyDescent="0.25">
      <c r="A15" s="1" t="str">
        <f t="shared" si="5"/>
        <v>20134</v>
      </c>
      <c r="B15" s="1">
        <f t="shared" si="6"/>
        <v>4</v>
      </c>
      <c r="C15" s="1">
        <f t="shared" si="7"/>
        <v>2013</v>
      </c>
      <c r="D15" s="35">
        <f t="shared" si="11"/>
        <v>41609</v>
      </c>
      <c r="E15" s="32">
        <v>33985.741248134473</v>
      </c>
      <c r="F15" s="32">
        <v>1351.9667414012733</v>
      </c>
      <c r="G15" s="32">
        <v>3819.9985106680742</v>
      </c>
      <c r="H15" s="32">
        <v>3977.7337545355676</v>
      </c>
      <c r="I15" s="32">
        <v>943.33945980263252</v>
      </c>
      <c r="J15" s="32">
        <v>2338.4864647467248</v>
      </c>
      <c r="K15" s="32">
        <v>4382.2863619442023</v>
      </c>
      <c r="L15" s="32">
        <v>2038.0740039191687</v>
      </c>
      <c r="M15" s="32">
        <v>984.61320354079578</v>
      </c>
      <c r="N15" s="32">
        <v>2715.880072303351</v>
      </c>
      <c r="O15" s="16">
        <f t="shared" si="8"/>
        <v>7666.1243509991291</v>
      </c>
      <c r="P15" s="32">
        <v>3767.2383242735477</v>
      </c>
      <c r="Q15" s="33">
        <v>31205.959084955601</v>
      </c>
      <c r="R15" s="33">
        <v>1164.6772139034799</v>
      </c>
      <c r="S15" s="33">
        <v>3645.7666621672101</v>
      </c>
      <c r="T15" s="33">
        <v>3543.0862401524801</v>
      </c>
      <c r="U15" s="33">
        <v>854.90450234357502</v>
      </c>
      <c r="V15" s="33">
        <v>1495.66862017724</v>
      </c>
      <c r="W15" s="33">
        <v>4043.5030791909498</v>
      </c>
      <c r="X15" s="33">
        <v>1825.4481691754299</v>
      </c>
      <c r="Y15" s="33">
        <v>994.47182586396298</v>
      </c>
      <c r="Z15" s="33">
        <v>2746.5805959744998</v>
      </c>
      <c r="AA15" s="33">
        <v>7110.1047406593607</v>
      </c>
      <c r="AB15" s="34">
        <v>3675.63877465724</v>
      </c>
      <c r="AC15" s="18">
        <f t="shared" si="9"/>
        <v>0.61912185135766151</v>
      </c>
      <c r="AD15" s="18">
        <f t="shared" si="9"/>
        <v>1.9659375048584309</v>
      </c>
      <c r="AE15" s="18">
        <f t="shared" si="9"/>
        <v>-4.7603433439178389E-2</v>
      </c>
      <c r="AF15" s="18">
        <f t="shared" si="9"/>
        <v>-1.8993307071040704</v>
      </c>
      <c r="AG15" s="18">
        <f t="shared" si="9"/>
        <v>-1.8668000412421435</v>
      </c>
      <c r="AH15" s="18">
        <f t="shared" si="9"/>
        <v>-4.5200458326090711</v>
      </c>
      <c r="AI15" s="18">
        <f t="shared" si="9"/>
        <v>3.0751396710191585</v>
      </c>
      <c r="AJ15" s="18">
        <f t="shared" si="9"/>
        <v>-0.37582129854072832</v>
      </c>
      <c r="AK15" s="18">
        <f t="shared" si="9"/>
        <v>0.55182587886713463</v>
      </c>
      <c r="AL15" s="18">
        <f t="shared" si="9"/>
        <v>0.22974066346053235</v>
      </c>
      <c r="AM15" s="18">
        <f t="shared" si="9"/>
        <v>2.0586673430193798</v>
      </c>
      <c r="AN15" s="18">
        <f t="shared" si="9"/>
        <v>2.4262258912415291E-2</v>
      </c>
      <c r="AO15" s="17"/>
      <c r="AP15" s="36">
        <f t="shared" si="12"/>
        <v>0.16124180014760819</v>
      </c>
      <c r="AQ15" s="36">
        <f t="shared" si="10"/>
        <v>0.44463962939047125</v>
      </c>
      <c r="AR15" s="36">
        <f t="shared" si="10"/>
        <v>-3.7571495741140666E-2</v>
      </c>
      <c r="AS15" s="36">
        <f t="shared" si="10"/>
        <v>-0.52256381888440739</v>
      </c>
      <c r="AT15" s="36">
        <f t="shared" si="10"/>
        <v>-0.34670473091080267</v>
      </c>
      <c r="AU15" s="36">
        <f t="shared" si="10"/>
        <v>-1.5019084112202834</v>
      </c>
      <c r="AV15" s="36">
        <f t="shared" si="10"/>
        <v>2.0051108434637621</v>
      </c>
      <c r="AW15" s="36">
        <f t="shared" si="10"/>
        <v>-0.28036057718019819</v>
      </c>
      <c r="AX15" s="36">
        <f t="shared" si="10"/>
        <v>0.29381963598329658</v>
      </c>
      <c r="AY15" s="6"/>
    </row>
    <row r="16" spans="1:51" x14ac:dyDescent="0.25">
      <c r="A16" s="1" t="str">
        <f t="shared" si="5"/>
        <v>20141</v>
      </c>
      <c r="B16" s="1">
        <f t="shared" si="6"/>
        <v>1</v>
      </c>
      <c r="C16" s="1">
        <f t="shared" si="7"/>
        <v>2014</v>
      </c>
      <c r="D16" s="35">
        <f t="shared" si="11"/>
        <v>41699</v>
      </c>
      <c r="E16" s="32">
        <v>28219.148741961413</v>
      </c>
      <c r="F16" s="32">
        <v>574.71266889650917</v>
      </c>
      <c r="G16" s="32">
        <v>3531.8938745206606</v>
      </c>
      <c r="H16" s="32">
        <v>3252.5234188073332</v>
      </c>
      <c r="I16" s="32">
        <v>985.80049753956689</v>
      </c>
      <c r="J16" s="32">
        <v>885.23955350229301</v>
      </c>
      <c r="K16" s="32">
        <v>3687.507180874356</v>
      </c>
      <c r="L16" s="32">
        <v>1632.7816990484894</v>
      </c>
      <c r="M16" s="32">
        <v>1045.1380390327733</v>
      </c>
      <c r="N16" s="32">
        <v>2788.5638342190305</v>
      </c>
      <c r="O16" s="16">
        <f t="shared" si="8"/>
        <v>6507.8511807572977</v>
      </c>
      <c r="P16" s="32">
        <v>3327.136794763102</v>
      </c>
      <c r="Q16" s="33">
        <v>31172.228692705401</v>
      </c>
      <c r="R16" s="33">
        <v>1148.8586151971799</v>
      </c>
      <c r="S16" s="33">
        <v>3670.1007450698498</v>
      </c>
      <c r="T16" s="33">
        <v>3677.3533581686302</v>
      </c>
      <c r="U16" s="33">
        <v>859.89477056095996</v>
      </c>
      <c r="V16" s="33">
        <v>1523.1729275342</v>
      </c>
      <c r="W16" s="33">
        <v>3989.6687925015699</v>
      </c>
      <c r="X16" s="33">
        <v>1834.4075414737399</v>
      </c>
      <c r="Y16" s="33">
        <v>1024.10801200989</v>
      </c>
      <c r="Z16" s="33">
        <v>2755.0934418192801</v>
      </c>
      <c r="AA16" s="33">
        <v>7025.2578066007791</v>
      </c>
      <c r="AB16" s="34">
        <v>3626.3931804815602</v>
      </c>
      <c r="AC16" s="18">
        <f t="shared" si="9"/>
        <v>-0.10808958685862535</v>
      </c>
      <c r="AD16" s="18">
        <f t="shared" si="9"/>
        <v>-1.3581959462642033</v>
      </c>
      <c r="AE16" s="18">
        <f t="shared" si="9"/>
        <v>0.66746133687487941</v>
      </c>
      <c r="AF16" s="18">
        <f t="shared" si="9"/>
        <v>3.7895526361890575</v>
      </c>
      <c r="AG16" s="18">
        <f t="shared" si="9"/>
        <v>0.58372229923986652</v>
      </c>
      <c r="AH16" s="18">
        <f t="shared" si="9"/>
        <v>1.8389305616173743</v>
      </c>
      <c r="AI16" s="18">
        <f t="shared" si="9"/>
        <v>-1.3313774129770479</v>
      </c>
      <c r="AJ16" s="18">
        <f t="shared" si="9"/>
        <v>0.49080398170697492</v>
      </c>
      <c r="AK16" s="18">
        <f t="shared" si="9"/>
        <v>2.9800930881254573</v>
      </c>
      <c r="AL16" s="18">
        <f t="shared" si="9"/>
        <v>0.30994342045731571</v>
      </c>
      <c r="AM16" s="18">
        <f t="shared" si="9"/>
        <v>-1.1933288911115625</v>
      </c>
      <c r="AN16" s="18">
        <f t="shared" si="9"/>
        <v>-1.339783291960515</v>
      </c>
      <c r="AO16" s="17"/>
      <c r="AP16" s="36">
        <f t="shared" si="12"/>
        <v>-0.14799959178588523</v>
      </c>
      <c r="AQ16" s="36">
        <f t="shared" si="10"/>
        <v>-0.58640541927950629</v>
      </c>
      <c r="AR16" s="36">
        <f t="shared" si="10"/>
        <v>0.52975001857369386</v>
      </c>
      <c r="AS16" s="36">
        <f t="shared" si="10"/>
        <v>0.89379996696502961</v>
      </c>
      <c r="AT16" s="36">
        <f t="shared" si="10"/>
        <v>0.19222559954893165</v>
      </c>
      <c r="AU16" s="36">
        <f t="shared" si="10"/>
        <v>0.53556134788559784</v>
      </c>
      <c r="AV16" s="36">
        <f t="shared" si="10"/>
        <v>-1.5305170810035702</v>
      </c>
      <c r="AW16" s="36">
        <f t="shared" si="10"/>
        <v>-1.6006590484746841E-2</v>
      </c>
      <c r="AX16" s="36">
        <f t="shared" si="10"/>
        <v>1.1891866913408775</v>
      </c>
      <c r="AY16" s="6"/>
    </row>
    <row r="17" spans="1:51" x14ac:dyDescent="0.25">
      <c r="A17" s="1" t="str">
        <f t="shared" si="5"/>
        <v>20142</v>
      </c>
      <c r="B17" s="1">
        <f t="shared" si="6"/>
        <v>2</v>
      </c>
      <c r="C17" s="1">
        <f t="shared" si="7"/>
        <v>2014</v>
      </c>
      <c r="D17" s="35">
        <f t="shared" si="11"/>
        <v>41791</v>
      </c>
      <c r="E17" s="32">
        <v>30621.762797999461</v>
      </c>
      <c r="F17" s="32">
        <v>832.30637313119939</v>
      </c>
      <c r="G17" s="32">
        <v>3809.9180316264055</v>
      </c>
      <c r="H17" s="32">
        <v>3662.2783390543136</v>
      </c>
      <c r="I17" s="32">
        <v>787.18330177283838</v>
      </c>
      <c r="J17" s="32">
        <v>1378.265337784281</v>
      </c>
      <c r="K17" s="32">
        <v>4009.3099761041831</v>
      </c>
      <c r="L17" s="32">
        <v>1820.445631372351</v>
      </c>
      <c r="M17" s="32">
        <v>1008.1184505129855</v>
      </c>
      <c r="N17" s="32">
        <v>2765.9680251136538</v>
      </c>
      <c r="O17" s="16">
        <f t="shared" si="8"/>
        <v>6884.9889601604518</v>
      </c>
      <c r="P17" s="32">
        <v>3662.9803713668011</v>
      </c>
      <c r="Q17" s="33">
        <v>31374.6438280765</v>
      </c>
      <c r="R17" s="33">
        <v>1176.00930383421</v>
      </c>
      <c r="S17" s="33">
        <v>3803.9678354094999</v>
      </c>
      <c r="T17" s="33">
        <v>3695.407528058</v>
      </c>
      <c r="U17" s="33">
        <v>856.349308173699</v>
      </c>
      <c r="V17" s="33">
        <v>1596.9883428032001</v>
      </c>
      <c r="W17" s="33">
        <v>4035.1300231820401</v>
      </c>
      <c r="X17" s="33">
        <v>1839.1875527356599</v>
      </c>
      <c r="Y17" s="33">
        <v>1020.7883666841</v>
      </c>
      <c r="Z17" s="33">
        <v>2752.3861563259702</v>
      </c>
      <c r="AA17" s="33">
        <v>7043.1087884475301</v>
      </c>
      <c r="AB17" s="34">
        <v>3657.5257689658401</v>
      </c>
      <c r="AC17" s="18">
        <f t="shared" si="9"/>
        <v>0.64934444491120757</v>
      </c>
      <c r="AD17" s="18">
        <f t="shared" si="9"/>
        <v>2.3632750172979371</v>
      </c>
      <c r="AE17" s="18">
        <f t="shared" si="9"/>
        <v>3.6475045138604827</v>
      </c>
      <c r="AF17" s="18">
        <f t="shared" si="9"/>
        <v>0.49095553597713604</v>
      </c>
      <c r="AG17" s="18">
        <f t="shared" si="9"/>
        <v>-0.41231351889116752</v>
      </c>
      <c r="AH17" s="18">
        <f t="shared" si="9"/>
        <v>4.8461611898851658</v>
      </c>
      <c r="AI17" s="18">
        <f t="shared" si="9"/>
        <v>1.1394738020838417</v>
      </c>
      <c r="AJ17" s="18">
        <f t="shared" si="9"/>
        <v>0.26057520773599663</v>
      </c>
      <c r="AK17" s="18">
        <f t="shared" si="9"/>
        <v>-0.32414992235779039</v>
      </c>
      <c r="AL17" s="18">
        <f t="shared" si="9"/>
        <v>-9.8264743119642617E-2</v>
      </c>
      <c r="AM17" s="18">
        <f t="shared" si="9"/>
        <v>0.25409717818438082</v>
      </c>
      <c r="AN17" s="18">
        <f t="shared" si="9"/>
        <v>0.85850008354984197</v>
      </c>
      <c r="AO17" s="17"/>
      <c r="AP17" s="36">
        <f t="shared" si="12"/>
        <v>0.17409373894722743</v>
      </c>
      <c r="AQ17" s="36">
        <f t="shared" si="10"/>
        <v>0.56788163542763648</v>
      </c>
      <c r="AR17" s="36">
        <f t="shared" si="10"/>
        <v>2.8940709557505166</v>
      </c>
      <c r="AS17" s="36">
        <f t="shared" si="10"/>
        <v>7.2546797420575501E-2</v>
      </c>
      <c r="AT17" s="36">
        <f t="shared" si="10"/>
        <v>-2.6827254508911519E-2</v>
      </c>
      <c r="AU17" s="36">
        <f t="shared" si="10"/>
        <v>1.4991034471007589</v>
      </c>
      <c r="AV17" s="36">
        <f t="shared" si="10"/>
        <v>0.45200344181504498</v>
      </c>
      <c r="AW17" s="36">
        <f t="shared" si="10"/>
        <v>-8.6235206748789137E-2</v>
      </c>
      <c r="AX17" s="36">
        <f t="shared" si="10"/>
        <v>-2.9176066761796838E-2</v>
      </c>
      <c r="AY17" s="6"/>
    </row>
    <row r="18" spans="1:51" x14ac:dyDescent="0.25">
      <c r="A18" s="1" t="str">
        <f t="shared" si="5"/>
        <v>20143</v>
      </c>
      <c r="B18" s="1">
        <f t="shared" si="6"/>
        <v>3</v>
      </c>
      <c r="C18" s="1">
        <f t="shared" si="7"/>
        <v>2014</v>
      </c>
      <c r="D18" s="35">
        <f t="shared" si="11"/>
        <v>41883</v>
      </c>
      <c r="E18" s="32">
        <v>32093.784104427497</v>
      </c>
      <c r="F18" s="32">
        <v>2030.4463923349742</v>
      </c>
      <c r="G18" s="32">
        <v>3674.0663927447686</v>
      </c>
      <c r="H18" s="32">
        <v>3615.2265756999082</v>
      </c>
      <c r="I18" s="32">
        <v>703.87299751720707</v>
      </c>
      <c r="J18" s="32">
        <v>1507.7424862530913</v>
      </c>
      <c r="K18" s="32">
        <v>3929.5442080555067</v>
      </c>
      <c r="L18" s="32">
        <v>1823.1720192536834</v>
      </c>
      <c r="M18" s="32">
        <v>1010.0894150658513</v>
      </c>
      <c r="N18" s="32">
        <v>2762.4065060696034</v>
      </c>
      <c r="O18" s="16">
        <f t="shared" si="8"/>
        <v>7162.6444331910643</v>
      </c>
      <c r="P18" s="32">
        <v>3874.5726782418374</v>
      </c>
      <c r="Q18" s="33">
        <v>31283.434571231701</v>
      </c>
      <c r="R18" s="33">
        <v>1178.02506065994</v>
      </c>
      <c r="S18" s="33">
        <v>3717.5570060068098</v>
      </c>
      <c r="T18" s="33">
        <v>3619.0881232294801</v>
      </c>
      <c r="U18" s="33">
        <v>851.25499286183504</v>
      </c>
      <c r="V18" s="33">
        <v>1539.3914520600399</v>
      </c>
      <c r="W18" s="33">
        <v>3935.11832844835</v>
      </c>
      <c r="X18" s="33">
        <v>1821.93584664739</v>
      </c>
      <c r="Y18" s="33">
        <v>1015.29449787729</v>
      </c>
      <c r="Z18" s="33">
        <v>2760.0331090159302</v>
      </c>
      <c r="AA18" s="33">
        <v>7191.031456591707</v>
      </c>
      <c r="AB18" s="34">
        <v>3676.5176709331399</v>
      </c>
      <c r="AC18" s="18">
        <f t="shared" si="9"/>
        <v>-0.29071009489254607</v>
      </c>
      <c r="AD18" s="18">
        <f t="shared" si="9"/>
        <v>0.17140653727464894</v>
      </c>
      <c r="AE18" s="18">
        <f t="shared" si="9"/>
        <v>-2.2715972674197928</v>
      </c>
      <c r="AF18" s="18">
        <f t="shared" si="9"/>
        <v>-2.0652500231449977</v>
      </c>
      <c r="AG18" s="18">
        <f t="shared" si="9"/>
        <v>-0.59488753750831336</v>
      </c>
      <c r="AH18" s="18">
        <f t="shared" si="9"/>
        <v>-3.6065943125207838</v>
      </c>
      <c r="AI18" s="18">
        <f t="shared" si="9"/>
        <v>-2.4785247107061679</v>
      </c>
      <c r="AJ18" s="18">
        <f t="shared" si="9"/>
        <v>-0.93800689671965642</v>
      </c>
      <c r="AK18" s="18">
        <f t="shared" si="9"/>
        <v>-0.53819861061465701</v>
      </c>
      <c r="AL18" s="18">
        <f t="shared" si="9"/>
        <v>0.2778299357590015</v>
      </c>
      <c r="AM18" s="18">
        <f t="shared" si="9"/>
        <v>2.1002468169568402</v>
      </c>
      <c r="AN18" s="18">
        <f t="shared" si="9"/>
        <v>0.51925545209951451</v>
      </c>
      <c r="AO18" s="17"/>
      <c r="AP18" s="36">
        <f t="shared" si="12"/>
        <v>-0.22565763885749213</v>
      </c>
      <c r="AQ18" s="36">
        <f t="shared" si="10"/>
        <v>-0.11196927215267653</v>
      </c>
      <c r="AR18" s="36">
        <f t="shared" si="10"/>
        <v>-1.8020543819090427</v>
      </c>
      <c r="AS18" s="36">
        <f t="shared" si="10"/>
        <v>-0.56387282390915117</v>
      </c>
      <c r="AT18" s="36">
        <f t="shared" si="10"/>
        <v>-6.6979786302335684E-2</v>
      </c>
      <c r="AU18" s="36">
        <f t="shared" si="10"/>
        <v>-1.2092308270922822</v>
      </c>
      <c r="AV18" s="36">
        <f t="shared" si="10"/>
        <v>-2.4509460597220851</v>
      </c>
      <c r="AW18" s="36">
        <f t="shared" si="10"/>
        <v>-0.45184877113051602</v>
      </c>
      <c r="AX18" s="36">
        <f t="shared" si="10"/>
        <v>-0.10810154208715886</v>
      </c>
      <c r="AY18" s="6"/>
    </row>
    <row r="19" spans="1:51" x14ac:dyDescent="0.25">
      <c r="A19" s="1" t="str">
        <f t="shared" si="5"/>
        <v>20144</v>
      </c>
      <c r="B19" s="1">
        <f t="shared" si="6"/>
        <v>4</v>
      </c>
      <c r="C19" s="1">
        <f t="shared" si="7"/>
        <v>2014</v>
      </c>
      <c r="D19" s="35">
        <f t="shared" si="11"/>
        <v>41974</v>
      </c>
      <c r="E19" s="32">
        <v>34300.895590861539</v>
      </c>
      <c r="F19" s="32">
        <v>1275.3023237424406</v>
      </c>
      <c r="G19" s="32">
        <v>3931.3783977604412</v>
      </c>
      <c r="H19" s="32">
        <v>4144.7853667775062</v>
      </c>
      <c r="I19" s="32">
        <v>957.4272741719119</v>
      </c>
      <c r="J19" s="32">
        <v>2296.1644576802964</v>
      </c>
      <c r="K19" s="32">
        <v>4349.8554428196103</v>
      </c>
      <c r="L19" s="32">
        <v>2057.7965997554056</v>
      </c>
      <c r="M19" s="32">
        <v>993.38884473597727</v>
      </c>
      <c r="N19" s="32">
        <v>2797.0666386460634</v>
      </c>
      <c r="O19" s="16">
        <f t="shared" si="8"/>
        <v>7745.9894012548484</v>
      </c>
      <c r="P19" s="32">
        <v>3751.7408435170369</v>
      </c>
      <c r="Q19" s="33">
        <v>31234.202740304401</v>
      </c>
      <c r="R19" s="33">
        <v>1180.3569090579001</v>
      </c>
      <c r="S19" s="33">
        <v>3752.0582418199301</v>
      </c>
      <c r="T19" s="33">
        <v>3713.4461906618099</v>
      </c>
      <c r="U19" s="33">
        <v>850.16603623442597</v>
      </c>
      <c r="V19" s="33">
        <v>1487.77327754259</v>
      </c>
      <c r="W19" s="33">
        <v>4015.4040075549401</v>
      </c>
      <c r="X19" s="33">
        <v>1835.71989568609</v>
      </c>
      <c r="Y19" s="33">
        <v>1001.79112940834</v>
      </c>
      <c r="Z19" s="33">
        <v>2771.7709248747401</v>
      </c>
      <c r="AA19" s="33">
        <v>7071.4237946395133</v>
      </c>
      <c r="AB19" s="34">
        <v>3615.62345673645</v>
      </c>
      <c r="AC19" s="18">
        <f t="shared" si="9"/>
        <v>-0.1573734840885237</v>
      </c>
      <c r="AD19" s="18">
        <f t="shared" si="9"/>
        <v>0.19794556803857688</v>
      </c>
      <c r="AE19" s="18">
        <f t="shared" si="9"/>
        <v>0.9280620514325193</v>
      </c>
      <c r="AF19" s="18">
        <f t="shared" si="9"/>
        <v>2.6072332095668855</v>
      </c>
      <c r="AG19" s="18">
        <f t="shared" si="9"/>
        <v>-0.12792366993915039</v>
      </c>
      <c r="AH19" s="18">
        <f t="shared" si="9"/>
        <v>-3.3531545500251809</v>
      </c>
      <c r="AI19" s="18">
        <f t="shared" si="9"/>
        <v>2.0402354492411661</v>
      </c>
      <c r="AJ19" s="18">
        <f t="shared" si="9"/>
        <v>0.75656061458279567</v>
      </c>
      <c r="AK19" s="18">
        <f t="shared" si="9"/>
        <v>-1.3299952375573838</v>
      </c>
      <c r="AL19" s="18">
        <f t="shared" si="9"/>
        <v>0.42527808164571468</v>
      </c>
      <c r="AM19" s="18">
        <f t="shared" si="9"/>
        <v>-1.6632893719656181</v>
      </c>
      <c r="AN19" s="18">
        <f t="shared" si="9"/>
        <v>-1.6563014147361486</v>
      </c>
      <c r="AO19" s="17"/>
      <c r="AP19" s="36">
        <f t="shared" si="12"/>
        <v>-0.1689572117824345</v>
      </c>
      <c r="AQ19" s="36">
        <f t="shared" si="10"/>
        <v>-0.10373767234840062</v>
      </c>
      <c r="AR19" s="36">
        <f t="shared" si="10"/>
        <v>0.73650666238014884</v>
      </c>
      <c r="AS19" s="36">
        <f t="shared" si="10"/>
        <v>0.59943737977150457</v>
      </c>
      <c r="AT19" s="36">
        <f t="shared" si="10"/>
        <v>3.5717090728503265E-2</v>
      </c>
      <c r="AU19" s="36">
        <f t="shared" si="10"/>
        <v>-1.1280265860593064</v>
      </c>
      <c r="AV19" s="36">
        <f t="shared" si="10"/>
        <v>1.1747415981120393</v>
      </c>
      <c r="AW19" s="36">
        <f t="shared" si="10"/>
        <v>6.505938692523866E-2</v>
      </c>
      <c r="AX19" s="36">
        <f t="shared" si="10"/>
        <v>-0.40005813220407271</v>
      </c>
      <c r="AY19" s="6"/>
    </row>
    <row r="20" spans="1:51" x14ac:dyDescent="0.25">
      <c r="A20" s="1" t="str">
        <f t="shared" si="5"/>
        <v>20151</v>
      </c>
      <c r="B20" s="1">
        <f t="shared" si="6"/>
        <v>1</v>
      </c>
      <c r="C20" s="1">
        <f t="shared" si="7"/>
        <v>2015</v>
      </c>
      <c r="D20" s="35">
        <f t="shared" si="11"/>
        <v>42064</v>
      </c>
      <c r="E20" s="32">
        <v>27788.338245198836</v>
      </c>
      <c r="F20" s="32">
        <v>600.98796329305753</v>
      </c>
      <c r="G20" s="32">
        <v>3580.6294546332851</v>
      </c>
      <c r="H20" s="32">
        <v>3090.7025167078582</v>
      </c>
      <c r="I20" s="32">
        <v>941.27957866565816</v>
      </c>
      <c r="J20" s="32">
        <v>851.03133384116029</v>
      </c>
      <c r="K20" s="32">
        <v>3561.0878303320824</v>
      </c>
      <c r="L20" s="32">
        <v>1614.5049814613114</v>
      </c>
      <c r="M20" s="32">
        <v>989.73900513032913</v>
      </c>
      <c r="N20" s="32">
        <v>2796.44537637641</v>
      </c>
      <c r="O20" s="16">
        <f t="shared" si="8"/>
        <v>6502.9211199726315</v>
      </c>
      <c r="P20" s="32">
        <v>3259.0090847850493</v>
      </c>
      <c r="Q20" s="33">
        <v>30824.638803711401</v>
      </c>
      <c r="R20" s="33">
        <v>1179.1720027535</v>
      </c>
      <c r="S20" s="33">
        <v>3720.7474627535098</v>
      </c>
      <c r="T20" s="33">
        <v>3522.0854785275101</v>
      </c>
      <c r="U20" s="33">
        <v>837.00931767483303</v>
      </c>
      <c r="V20" s="33">
        <v>1451.27599960984</v>
      </c>
      <c r="W20" s="33">
        <v>3868.9491359171202</v>
      </c>
      <c r="X20" s="33">
        <v>1810.9636985503801</v>
      </c>
      <c r="Y20" s="33">
        <v>968.00357580547097</v>
      </c>
      <c r="Z20" s="33">
        <v>2772.7273405785199</v>
      </c>
      <c r="AA20" s="33">
        <v>7063.0150261626541</v>
      </c>
      <c r="AB20" s="34">
        <v>3547.1322176307999</v>
      </c>
      <c r="AC20" s="18">
        <f t="shared" si="9"/>
        <v>-1.3112674589401365</v>
      </c>
      <c r="AD20" s="18">
        <f t="shared" si="9"/>
        <v>-0.10038542540033291</v>
      </c>
      <c r="AE20" s="18">
        <f t="shared" si="9"/>
        <v>-0.8344960831746846</v>
      </c>
      <c r="AF20" s="18">
        <f t="shared" si="9"/>
        <v>-5.1531839242888111</v>
      </c>
      <c r="AG20" s="18">
        <f t="shared" si="9"/>
        <v>-1.5475469495190595</v>
      </c>
      <c r="AH20" s="18">
        <f t="shared" si="9"/>
        <v>-2.4531478339921478</v>
      </c>
      <c r="AI20" s="18">
        <f t="shared" si="9"/>
        <v>-3.6473259318929365</v>
      </c>
      <c r="AJ20" s="18">
        <f t="shared" si="9"/>
        <v>-1.348582493107287</v>
      </c>
      <c r="AK20" s="18">
        <f t="shared" si="9"/>
        <v>-3.3727143923528331</v>
      </c>
      <c r="AL20" s="18">
        <f t="shared" si="9"/>
        <v>3.450558252113467E-2</v>
      </c>
      <c r="AM20" s="18">
        <f t="shared" si="9"/>
        <v>-0.11891195777621988</v>
      </c>
      <c r="AN20" s="18">
        <f t="shared" si="9"/>
        <v>-1.8943133853731524</v>
      </c>
      <c r="AO20" s="17"/>
      <c r="AP20" s="36">
        <f t="shared" si="12"/>
        <v>-0.65964225903915208</v>
      </c>
      <c r="AQ20" s="36">
        <f t="shared" si="10"/>
        <v>-0.19627086879576425</v>
      </c>
      <c r="AR20" s="36">
        <f t="shared" si="10"/>
        <v>-0.6618801572559444</v>
      </c>
      <c r="AS20" s="36">
        <f t="shared" si="10"/>
        <v>-1.3326770842097504</v>
      </c>
      <c r="AT20" s="36">
        <f t="shared" si="10"/>
        <v>-0.27649309832116836</v>
      </c>
      <c r="AU20" s="36">
        <f t="shared" si="10"/>
        <v>-0.83965683073604125</v>
      </c>
      <c r="AV20" s="36">
        <f t="shared" si="10"/>
        <v>-3.3887493535724293</v>
      </c>
      <c r="AW20" s="36">
        <f t="shared" si="10"/>
        <v>-0.57709009309369486</v>
      </c>
      <c r="AX20" s="36">
        <f t="shared" si="10"/>
        <v>-1.1532633097802105</v>
      </c>
      <c r="AY20" s="6"/>
    </row>
    <row r="21" spans="1:51" x14ac:dyDescent="0.25">
      <c r="A21" s="1" t="str">
        <f t="shared" si="5"/>
        <v>20152</v>
      </c>
      <c r="B21" s="1">
        <f t="shared" si="6"/>
        <v>2</v>
      </c>
      <c r="C21" s="1">
        <f t="shared" si="7"/>
        <v>2015</v>
      </c>
      <c r="D21" s="35">
        <f t="shared" si="11"/>
        <v>42156</v>
      </c>
      <c r="E21" s="32">
        <v>29675.741583364306</v>
      </c>
      <c r="F21" s="32">
        <v>867.85831518775649</v>
      </c>
      <c r="G21" s="32">
        <v>3750.9646804708213</v>
      </c>
      <c r="H21" s="32">
        <v>3527.1287323116617</v>
      </c>
      <c r="I21" s="32">
        <v>755.76097356010496</v>
      </c>
      <c r="J21" s="32">
        <v>1283.7608396730691</v>
      </c>
      <c r="K21" s="32">
        <v>3668.5332157003836</v>
      </c>
      <c r="L21" s="32">
        <v>1796.5641569129364</v>
      </c>
      <c r="M21" s="32">
        <v>938.07279807275165</v>
      </c>
      <c r="N21" s="32">
        <v>2772.6884318508578</v>
      </c>
      <c r="O21" s="16">
        <f t="shared" si="8"/>
        <v>6840.335153106872</v>
      </c>
      <c r="P21" s="32">
        <v>3474.0742865170923</v>
      </c>
      <c r="Q21" s="33">
        <v>30611.090762004998</v>
      </c>
      <c r="R21" s="33">
        <v>1201.29337447733</v>
      </c>
      <c r="S21" s="33">
        <v>3745.1161759747602</v>
      </c>
      <c r="T21" s="33">
        <v>3539.3247436556499</v>
      </c>
      <c r="U21" s="33">
        <v>831.96510885249404</v>
      </c>
      <c r="V21" s="33">
        <v>1458.9016888481001</v>
      </c>
      <c r="W21" s="33">
        <v>3690.3006445168498</v>
      </c>
      <c r="X21" s="33">
        <v>1822.0887938640999</v>
      </c>
      <c r="Y21" s="33">
        <v>952.30448884422196</v>
      </c>
      <c r="Z21" s="33">
        <v>2778.15768854814</v>
      </c>
      <c r="AA21" s="33">
        <v>7045.1202714560541</v>
      </c>
      <c r="AB21" s="34">
        <v>3485.35479848246</v>
      </c>
      <c r="AC21" s="18">
        <f t="shared" ref="AC21:AN42" si="13">Q21/Q20*100-100</f>
        <v>-0.6927835977779182</v>
      </c>
      <c r="AD21" s="18">
        <f t="shared" si="13"/>
        <v>1.8760089004974674</v>
      </c>
      <c r="AE21" s="18">
        <f t="shared" si="13"/>
        <v>0.65494133813683675</v>
      </c>
      <c r="AF21" s="18">
        <f t="shared" si="13"/>
        <v>0.48946186096956978</v>
      </c>
      <c r="AG21" s="18">
        <f t="shared" si="13"/>
        <v>-0.60264667499180291</v>
      </c>
      <c r="AH21" s="18">
        <f t="shared" si="13"/>
        <v>0.52544720923589239</v>
      </c>
      <c r="AI21" s="18">
        <f t="shared" si="13"/>
        <v>-4.617493927273415</v>
      </c>
      <c r="AJ21" s="18">
        <f t="shared" si="13"/>
        <v>0.61431906794295799</v>
      </c>
      <c r="AK21" s="18">
        <f t="shared" si="13"/>
        <v>-1.6218005133075906</v>
      </c>
      <c r="AL21" s="18">
        <f t="shared" si="13"/>
        <v>0.19584861050516622</v>
      </c>
      <c r="AM21" s="18">
        <f t="shared" si="13"/>
        <v>-0.25335858185654558</v>
      </c>
      <c r="AN21" s="18">
        <f t="shared" si="13"/>
        <v>-1.7416159127443649</v>
      </c>
      <c r="AO21" s="17"/>
      <c r="AP21" s="36">
        <f t="shared" si="12"/>
        <v>-0.39663648099015325</v>
      </c>
      <c r="AQ21" s="36">
        <f t="shared" si="12"/>
        <v>0.41674651269599589</v>
      </c>
      <c r="AR21" s="36">
        <f t="shared" si="12"/>
        <v>0.51981684197464728</v>
      </c>
      <c r="AS21" s="36">
        <f t="shared" si="12"/>
        <v>7.2174916497575139E-2</v>
      </c>
      <c r="AT21" s="36">
        <f t="shared" si="12"/>
        <v>-6.8686212095310506E-2</v>
      </c>
      <c r="AU21" s="36">
        <f t="shared" si="12"/>
        <v>0.11471018511102135</v>
      </c>
      <c r="AV21" s="36">
        <f t="shared" si="12"/>
        <v>-4.1671766217542556</v>
      </c>
      <c r="AW21" s="36">
        <f t="shared" si="12"/>
        <v>2.1670253484288908E-2</v>
      </c>
      <c r="AX21" s="36">
        <f t="shared" si="12"/>
        <v>-0.50765454065949611</v>
      </c>
      <c r="AY21" s="6"/>
    </row>
    <row r="22" spans="1:51" x14ac:dyDescent="0.25">
      <c r="A22" s="1" t="str">
        <f t="shared" si="5"/>
        <v>20153</v>
      </c>
      <c r="B22" s="1">
        <f t="shared" si="6"/>
        <v>3</v>
      </c>
      <c r="C22" s="1">
        <f t="shared" si="7"/>
        <v>2015</v>
      </c>
      <c r="D22" s="35">
        <f t="shared" si="11"/>
        <v>42248</v>
      </c>
      <c r="E22" s="32">
        <v>31548.075800856008</v>
      </c>
      <c r="F22" s="32">
        <v>2039.9706203606434</v>
      </c>
      <c r="G22" s="32">
        <v>3738.5111984108353</v>
      </c>
      <c r="H22" s="32">
        <v>3666.5006547269904</v>
      </c>
      <c r="I22" s="32">
        <v>700.43345063094102</v>
      </c>
      <c r="J22" s="32">
        <v>1458.794846358727</v>
      </c>
      <c r="K22" s="32">
        <v>3745.0020588637872</v>
      </c>
      <c r="L22" s="32">
        <v>1819.4047124433573</v>
      </c>
      <c r="M22" s="32">
        <v>957.51068207263438</v>
      </c>
      <c r="N22" s="32">
        <v>2780.5719858963798</v>
      </c>
      <c r="O22" s="16">
        <f t="shared" si="8"/>
        <v>7089.8680213657462</v>
      </c>
      <c r="P22" s="32">
        <v>3551.5075697259645</v>
      </c>
      <c r="Q22" s="33">
        <v>30725.701361097901</v>
      </c>
      <c r="R22" s="33">
        <v>1213.63788229945</v>
      </c>
      <c r="S22" s="33">
        <v>3782.7602526011601</v>
      </c>
      <c r="T22" s="33">
        <v>3644.00364358145</v>
      </c>
      <c r="U22" s="33">
        <v>832.76003591807796</v>
      </c>
      <c r="V22" s="33">
        <v>1478.43921121975</v>
      </c>
      <c r="W22" s="33">
        <v>3742.1131552680399</v>
      </c>
      <c r="X22" s="33">
        <v>1827.00711278892</v>
      </c>
      <c r="Y22" s="33">
        <v>964.04491399520703</v>
      </c>
      <c r="Z22" s="33">
        <v>2793.0730646167899</v>
      </c>
      <c r="AA22" s="33">
        <v>7021.3871392309466</v>
      </c>
      <c r="AB22" s="34">
        <v>3433.4251007200401</v>
      </c>
      <c r="AC22" s="18">
        <f t="shared" si="13"/>
        <v>0.37440873957734766</v>
      </c>
      <c r="AD22" s="18">
        <f t="shared" si="13"/>
        <v>1.0276014239644695</v>
      </c>
      <c r="AE22" s="18">
        <f t="shared" si="13"/>
        <v>1.0051511050015023</v>
      </c>
      <c r="AF22" s="18">
        <f t="shared" si="13"/>
        <v>2.9575952337643088</v>
      </c>
      <c r="AG22" s="18">
        <f t="shared" si="13"/>
        <v>9.5548125411212936E-2</v>
      </c>
      <c r="AH22" s="18">
        <f t="shared" si="13"/>
        <v>1.3391938964082044</v>
      </c>
      <c r="AI22" s="18">
        <f t="shared" si="13"/>
        <v>1.4040186895930731</v>
      </c>
      <c r="AJ22" s="18">
        <f t="shared" si="13"/>
        <v>0.26992751074385524</v>
      </c>
      <c r="AK22" s="18">
        <f t="shared" si="13"/>
        <v>1.2328436218161727</v>
      </c>
      <c r="AL22" s="18">
        <f t="shared" si="13"/>
        <v>0.53688011051831097</v>
      </c>
      <c r="AM22" s="18">
        <f t="shared" si="13"/>
        <v>-0.33687334368534039</v>
      </c>
      <c r="AN22" s="18">
        <f t="shared" si="13"/>
        <v>-1.4899400710949209</v>
      </c>
      <c r="AO22" s="17"/>
      <c r="AP22" s="36">
        <f t="shared" si="12"/>
        <v>5.7179323494410281E-2</v>
      </c>
      <c r="AQ22" s="36">
        <f t="shared" si="12"/>
        <v>0.15359632910799456</v>
      </c>
      <c r="AR22" s="36">
        <f t="shared" si="12"/>
        <v>0.79766794513869477</v>
      </c>
      <c r="AS22" s="36">
        <f t="shared" si="12"/>
        <v>0.68666716689575169</v>
      </c>
      <c r="AT22" s="36">
        <f t="shared" si="12"/>
        <v>8.4864052797378797E-2</v>
      </c>
      <c r="AU22" s="36">
        <f t="shared" si="12"/>
        <v>0.37544149843867047</v>
      </c>
      <c r="AV22" s="36">
        <f t="shared" si="12"/>
        <v>0.66426457089353885</v>
      </c>
      <c r="AW22" s="36">
        <f t="shared" si="12"/>
        <v>-8.3382395226599723E-2</v>
      </c>
      <c r="AX22" s="36">
        <f t="shared" si="12"/>
        <v>0.54492908918749661</v>
      </c>
      <c r="AY22" s="6"/>
    </row>
    <row r="23" spans="1:51" x14ac:dyDescent="0.25">
      <c r="A23" s="1" t="str">
        <f t="shared" si="5"/>
        <v>20154</v>
      </c>
      <c r="B23" s="1">
        <f t="shared" si="6"/>
        <v>4</v>
      </c>
      <c r="C23" s="1">
        <f t="shared" si="7"/>
        <v>2015</v>
      </c>
      <c r="D23" s="35">
        <f t="shared" si="11"/>
        <v>42339</v>
      </c>
      <c r="E23" s="32">
        <v>33752.889019199902</v>
      </c>
      <c r="F23" s="32">
        <v>1339.6936877229134</v>
      </c>
      <c r="G23" s="32">
        <v>4026.4041321646619</v>
      </c>
      <c r="H23" s="32">
        <v>4256.1409516499134</v>
      </c>
      <c r="I23" s="32">
        <v>931.39963183556006</v>
      </c>
      <c r="J23" s="32">
        <v>2353.6223876941513</v>
      </c>
      <c r="K23" s="32">
        <v>3920.8539873556374</v>
      </c>
      <c r="L23" s="32">
        <v>2053.8004970893144</v>
      </c>
      <c r="M23" s="32">
        <v>909.91741565452674</v>
      </c>
      <c r="N23" s="32">
        <v>2803.0242116026084</v>
      </c>
      <c r="O23" s="16">
        <f t="shared" si="8"/>
        <v>7611.5121769181706</v>
      </c>
      <c r="P23" s="32">
        <v>3546.5199395124441</v>
      </c>
      <c r="Q23" s="33">
        <v>30685.6833301591</v>
      </c>
      <c r="R23" s="33">
        <v>1220.7168550619599</v>
      </c>
      <c r="S23" s="33">
        <v>3842.7416919019702</v>
      </c>
      <c r="T23" s="33">
        <v>3710.33766778775</v>
      </c>
      <c r="U23" s="33">
        <v>834.86671513254498</v>
      </c>
      <c r="V23" s="33">
        <v>1499.3171597447999</v>
      </c>
      <c r="W23" s="33">
        <v>3595.30407951091</v>
      </c>
      <c r="X23" s="33">
        <v>1838.81105480925</v>
      </c>
      <c r="Y23" s="33">
        <v>917.71617336428199</v>
      </c>
      <c r="Z23" s="33">
        <v>2803.2480930450001</v>
      </c>
      <c r="AA23" s="33">
        <v>7040.7991873356941</v>
      </c>
      <c r="AB23" s="34">
        <v>3421.4634792116799</v>
      </c>
      <c r="AC23" s="18">
        <f t="shared" si="13"/>
        <v>-0.13024285587006545</v>
      </c>
      <c r="AD23" s="18">
        <f t="shared" si="13"/>
        <v>0.58328541534132228</v>
      </c>
      <c r="AE23" s="18">
        <f t="shared" si="13"/>
        <v>1.5856526794042765</v>
      </c>
      <c r="AF23" s="18">
        <f t="shared" si="13"/>
        <v>1.8203610834237338</v>
      </c>
      <c r="AG23" s="18">
        <f t="shared" si="13"/>
        <v>0.25297554200527372</v>
      </c>
      <c r="AH23" s="18">
        <f t="shared" si="13"/>
        <v>1.4121614447593771</v>
      </c>
      <c r="AI23" s="18">
        <f t="shared" si="13"/>
        <v>-3.9231597139294507</v>
      </c>
      <c r="AJ23" s="18">
        <f t="shared" si="13"/>
        <v>0.64608079178800892</v>
      </c>
      <c r="AK23" s="18">
        <f t="shared" si="13"/>
        <v>-4.8056620556120038</v>
      </c>
      <c r="AL23" s="18">
        <f t="shared" si="13"/>
        <v>0.36429510409554666</v>
      </c>
      <c r="AM23" s="18">
        <f t="shared" si="13"/>
        <v>0.27647027175422068</v>
      </c>
      <c r="AN23" s="18">
        <f t="shared" si="13"/>
        <v>-0.34838743113550663</v>
      </c>
      <c r="AO23" s="17"/>
      <c r="AP23" s="36">
        <f t="shared" si="12"/>
        <v>-0.15742010882530139</v>
      </c>
      <c r="AQ23" s="36">
        <f t="shared" si="12"/>
        <v>1.5783023032394886E-2</v>
      </c>
      <c r="AR23" s="36">
        <f t="shared" si="12"/>
        <v>1.2582290662070486</v>
      </c>
      <c r="AS23" s="36">
        <f t="shared" si="12"/>
        <v>0.40352948074990846</v>
      </c>
      <c r="AT23" s="36">
        <f t="shared" si="12"/>
        <v>0.11948622630173102</v>
      </c>
      <c r="AU23" s="36">
        <f t="shared" si="12"/>
        <v>0.39882091738046632</v>
      </c>
      <c r="AV23" s="36">
        <f t="shared" si="12"/>
        <v>-3.6100682781765521</v>
      </c>
      <c r="AW23" s="36">
        <f t="shared" si="12"/>
        <v>3.1358798826930323E-2</v>
      </c>
      <c r="AX23" s="36">
        <f t="shared" si="12"/>
        <v>-1.6816294322736933</v>
      </c>
      <c r="AY23" s="6"/>
    </row>
    <row r="24" spans="1:51" x14ac:dyDescent="0.25">
      <c r="A24" s="1" t="str">
        <f t="shared" si="5"/>
        <v>20161</v>
      </c>
      <c r="B24" s="1">
        <f t="shared" si="6"/>
        <v>1</v>
      </c>
      <c r="C24" s="1">
        <f t="shared" si="7"/>
        <v>2016</v>
      </c>
      <c r="D24" s="35">
        <f t="shared" si="11"/>
        <v>42430</v>
      </c>
      <c r="E24" s="32">
        <v>27730.929142141133</v>
      </c>
      <c r="F24" s="32">
        <v>613.77814157182968</v>
      </c>
      <c r="G24" s="32">
        <v>3683.8484030667632</v>
      </c>
      <c r="H24" s="32">
        <v>3112.5169971718674</v>
      </c>
      <c r="I24" s="32">
        <v>968.59905170274919</v>
      </c>
      <c r="J24" s="32">
        <v>855.41089745608281</v>
      </c>
      <c r="K24" s="32">
        <v>3347.849049991326</v>
      </c>
      <c r="L24" s="32">
        <v>1683.8409065317662</v>
      </c>
      <c r="M24" s="32">
        <v>1076.1927460829261</v>
      </c>
      <c r="N24" s="32">
        <v>2802.5230989550196</v>
      </c>
      <c r="O24" s="16">
        <f t="shared" si="8"/>
        <v>6386.3864003436511</v>
      </c>
      <c r="P24" s="32">
        <v>3199.9834492671512</v>
      </c>
      <c r="Q24" s="33">
        <v>30704.412210102801</v>
      </c>
      <c r="R24" s="33">
        <v>1221.76196031018</v>
      </c>
      <c r="S24" s="33">
        <v>3828.0070577552501</v>
      </c>
      <c r="T24" s="33">
        <v>3561.4477411991002</v>
      </c>
      <c r="U24" s="33">
        <v>844.13257199660302</v>
      </c>
      <c r="V24" s="33">
        <v>1461.2560578135999</v>
      </c>
      <c r="W24" s="33">
        <v>3662.6263739768901</v>
      </c>
      <c r="X24" s="33">
        <v>1863.2825203529501</v>
      </c>
      <c r="Y24" s="33">
        <v>1028.8502131876401</v>
      </c>
      <c r="Z24" s="33">
        <v>2807.4146039146799</v>
      </c>
      <c r="AA24" s="33">
        <v>6917.538061746759</v>
      </c>
      <c r="AB24" s="34">
        <v>3425.0340293327699</v>
      </c>
      <c r="AC24" s="18">
        <f t="shared" si="13"/>
        <v>6.1034586527512147E-2</v>
      </c>
      <c r="AD24" s="18">
        <f t="shared" si="13"/>
        <v>8.5614058975778562E-2</v>
      </c>
      <c r="AE24" s="18">
        <f t="shared" si="13"/>
        <v>-0.38344066107204355</v>
      </c>
      <c r="AF24" s="18">
        <f t="shared" si="13"/>
        <v>-4.0128403374516495</v>
      </c>
      <c r="AG24" s="18">
        <f t="shared" si="13"/>
        <v>1.1098606156058111</v>
      </c>
      <c r="AH24" s="18">
        <f t="shared" si="13"/>
        <v>-2.5385624171525194</v>
      </c>
      <c r="AI24" s="18">
        <f t="shared" si="13"/>
        <v>1.8725062742158514</v>
      </c>
      <c r="AJ24" s="18">
        <f t="shared" si="13"/>
        <v>1.3308308909551556</v>
      </c>
      <c r="AK24" s="18">
        <f t="shared" si="13"/>
        <v>12.109848670962037</v>
      </c>
      <c r="AL24" s="18">
        <f t="shared" si="13"/>
        <v>0.14863154210348739</v>
      </c>
      <c r="AM24" s="18">
        <f t="shared" si="13"/>
        <v>-1.7506695235768888</v>
      </c>
      <c r="AN24" s="18">
        <f t="shared" si="13"/>
        <v>0.10435739392760013</v>
      </c>
      <c r="AO24" s="17"/>
      <c r="AP24" s="36">
        <f t="shared" si="12"/>
        <v>-7.608076317695521E-2</v>
      </c>
      <c r="AQ24" s="36">
        <f t="shared" si="12"/>
        <v>-0.13857948839814746</v>
      </c>
      <c r="AR24" s="36">
        <f t="shared" si="12"/>
        <v>-0.30401964485117544</v>
      </c>
      <c r="AS24" s="36">
        <f t="shared" si="12"/>
        <v>-1.0487652402929701</v>
      </c>
      <c r="AT24" s="36">
        <f t="shared" si="12"/>
        <v>0.30793639802745237</v>
      </c>
      <c r="AU24" s="36">
        <f t="shared" si="12"/>
        <v>-0.86702438478670574</v>
      </c>
      <c r="AV24" s="36">
        <f t="shared" si="12"/>
        <v>1.0401618509640802</v>
      </c>
      <c r="AW24" s="36">
        <f t="shared" si="12"/>
        <v>0.24023387174564537</v>
      </c>
      <c r="AX24" s="36">
        <f t="shared" si="12"/>
        <v>4.5555717173263801</v>
      </c>
      <c r="AY24" s="6"/>
    </row>
    <row r="25" spans="1:51" x14ac:dyDescent="0.25">
      <c r="A25" s="1" t="str">
        <f t="shared" si="5"/>
        <v>20162</v>
      </c>
      <c r="B25" s="1">
        <f t="shared" si="6"/>
        <v>2</v>
      </c>
      <c r="C25" s="1">
        <f t="shared" si="7"/>
        <v>2016</v>
      </c>
      <c r="D25" s="35">
        <f t="shared" si="11"/>
        <v>42522</v>
      </c>
      <c r="E25" s="32">
        <v>29770.949637685499</v>
      </c>
      <c r="F25" s="32">
        <v>884.03030366696714</v>
      </c>
      <c r="G25" s="32">
        <v>3824.1543756308097</v>
      </c>
      <c r="H25" s="32">
        <v>3519.0996447735192</v>
      </c>
      <c r="I25" s="32">
        <v>768.29539176972969</v>
      </c>
      <c r="J25" s="32">
        <v>1305.4383993976489</v>
      </c>
      <c r="K25" s="32">
        <v>3580.5749676182295</v>
      </c>
      <c r="L25" s="32">
        <v>1835.7243008160272</v>
      </c>
      <c r="M25" s="32">
        <v>1016.2871573182249</v>
      </c>
      <c r="N25" s="32">
        <v>2788.1852630417543</v>
      </c>
      <c r="O25" s="16">
        <f t="shared" si="8"/>
        <v>6808.3450539610567</v>
      </c>
      <c r="P25" s="32">
        <v>3440.81477969153</v>
      </c>
      <c r="Q25" s="33">
        <v>30692.4904101598</v>
      </c>
      <c r="R25" s="33">
        <v>1227.12336422354</v>
      </c>
      <c r="S25" s="33">
        <v>3818.2016883188699</v>
      </c>
      <c r="T25" s="33">
        <v>3609.9430992602402</v>
      </c>
      <c r="U25" s="33">
        <v>850.62705441650098</v>
      </c>
      <c r="V25" s="33">
        <v>1487.32438312354</v>
      </c>
      <c r="W25" s="33">
        <v>3594.2386544532001</v>
      </c>
      <c r="X25" s="33">
        <v>1858.7585717243301</v>
      </c>
      <c r="Y25" s="33">
        <v>1030.3013227638501</v>
      </c>
      <c r="Z25" s="33">
        <v>2821.2345844610099</v>
      </c>
      <c r="AA25" s="33">
        <v>6938.6392897413025</v>
      </c>
      <c r="AB25" s="34">
        <v>3427.76085566449</v>
      </c>
      <c r="AC25" s="18">
        <f t="shared" si="13"/>
        <v>-3.8827644253274229E-2</v>
      </c>
      <c r="AD25" s="18">
        <f t="shared" si="13"/>
        <v>0.4388255722087564</v>
      </c>
      <c r="AE25" s="18">
        <f t="shared" si="13"/>
        <v>-0.25614815459954343</v>
      </c>
      <c r="AF25" s="18">
        <f t="shared" si="13"/>
        <v>1.3616754080129283</v>
      </c>
      <c r="AG25" s="18">
        <f t="shared" si="13"/>
        <v>0.76936758932744453</v>
      </c>
      <c r="AH25" s="18">
        <f t="shared" si="13"/>
        <v>1.783966962569508</v>
      </c>
      <c r="AI25" s="18">
        <f t="shared" si="13"/>
        <v>-1.8671770620554611</v>
      </c>
      <c r="AJ25" s="18">
        <f t="shared" si="13"/>
        <v>-0.24279456170516767</v>
      </c>
      <c r="AK25" s="18">
        <f t="shared" si="13"/>
        <v>0.14104186961425569</v>
      </c>
      <c r="AL25" s="18">
        <f t="shared" si="13"/>
        <v>0.49226717446933321</v>
      </c>
      <c r="AM25" s="18">
        <f t="shared" si="13"/>
        <v>0.30503956474386484</v>
      </c>
      <c r="AN25" s="18">
        <f t="shared" si="13"/>
        <v>7.9614576333170817E-2</v>
      </c>
      <c r="AO25" s="17"/>
      <c r="AP25" s="36">
        <f t="shared" si="12"/>
        <v>-0.11854645283109588</v>
      </c>
      <c r="AQ25" s="36">
        <f t="shared" si="12"/>
        <v>-2.902402463386887E-2</v>
      </c>
      <c r="AR25" s="36">
        <f t="shared" si="12"/>
        <v>-0.20302770603534995</v>
      </c>
      <c r="AS25" s="36">
        <f t="shared" si="12"/>
        <v>0.28933030658233239</v>
      </c>
      <c r="AT25" s="36">
        <f t="shared" si="12"/>
        <v>0.23305357972376745</v>
      </c>
      <c r="AU25" s="36">
        <f t="shared" si="12"/>
        <v>0.51795054640293703</v>
      </c>
      <c r="AV25" s="36">
        <f t="shared" si="12"/>
        <v>-1.9604230963646727</v>
      </c>
      <c r="AW25" s="36">
        <f t="shared" si="12"/>
        <v>-0.23978231455495402</v>
      </c>
      <c r="AX25" s="36">
        <f t="shared" si="12"/>
        <v>0.14235258682560889</v>
      </c>
      <c r="AY25" s="6"/>
    </row>
    <row r="26" spans="1:51" x14ac:dyDescent="0.25">
      <c r="A26" s="1" t="str">
        <f t="shared" si="5"/>
        <v>20163</v>
      </c>
      <c r="B26" s="1">
        <f t="shared" si="6"/>
        <v>3</v>
      </c>
      <c r="C26" s="1">
        <f t="shared" si="7"/>
        <v>2016</v>
      </c>
      <c r="D26" s="35">
        <f t="shared" si="11"/>
        <v>42614</v>
      </c>
      <c r="E26" s="32">
        <v>31566.490452369893</v>
      </c>
      <c r="F26" s="32">
        <v>2078.1932645993747</v>
      </c>
      <c r="G26" s="32">
        <v>3792.3378119699887</v>
      </c>
      <c r="H26" s="32">
        <v>3727.808718000198</v>
      </c>
      <c r="I26" s="32">
        <v>718.58382123235197</v>
      </c>
      <c r="J26" s="32">
        <v>1474.4061020828472</v>
      </c>
      <c r="K26" s="32">
        <v>3591.8513693684117</v>
      </c>
      <c r="L26" s="32">
        <v>1870.255970353528</v>
      </c>
      <c r="M26" s="32">
        <v>1014.2353461502669</v>
      </c>
      <c r="N26" s="32">
        <v>2800.3804688105624</v>
      </c>
      <c r="O26" s="16">
        <f t="shared" si="8"/>
        <v>6982.5602371761106</v>
      </c>
      <c r="P26" s="32">
        <v>3515.8773426262524</v>
      </c>
      <c r="Q26" s="33">
        <v>30733.928376017098</v>
      </c>
      <c r="R26" s="33">
        <v>1240.0152535950699</v>
      </c>
      <c r="S26" s="33">
        <v>3837.2186281162699</v>
      </c>
      <c r="T26" s="33">
        <v>3713.4844448676499</v>
      </c>
      <c r="U26" s="33">
        <v>866.24088813076105</v>
      </c>
      <c r="V26" s="33">
        <v>1499.3948037305699</v>
      </c>
      <c r="W26" s="33">
        <v>3580.8791781658902</v>
      </c>
      <c r="X26" s="33">
        <v>1867.68698066404</v>
      </c>
      <c r="Y26" s="33">
        <v>1020.80386193094</v>
      </c>
      <c r="Z26" s="33">
        <v>2835.3393043348301</v>
      </c>
      <c r="AA26" s="33">
        <v>6873.6888151782559</v>
      </c>
      <c r="AB26" s="34">
        <v>3422.7161751478502</v>
      </c>
      <c r="AC26" s="18">
        <f t="shared" si="13"/>
        <v>0.1350101125830605</v>
      </c>
      <c r="AD26" s="18">
        <f t="shared" si="13"/>
        <v>1.0505781038312421</v>
      </c>
      <c r="AE26" s="18">
        <f t="shared" si="13"/>
        <v>0.49806011703307718</v>
      </c>
      <c r="AF26" s="18">
        <f t="shared" si="13"/>
        <v>2.8682265276875967</v>
      </c>
      <c r="AG26" s="18">
        <f t="shared" si="13"/>
        <v>1.8355674949664689</v>
      </c>
      <c r="AH26" s="18">
        <f t="shared" si="13"/>
        <v>0.8115526608715129</v>
      </c>
      <c r="AI26" s="18">
        <f t="shared" si="13"/>
        <v>-0.37169140871482398</v>
      </c>
      <c r="AJ26" s="18">
        <f t="shared" si="13"/>
        <v>0.48034258324507562</v>
      </c>
      <c r="AK26" s="18">
        <f t="shared" si="13"/>
        <v>-0.92181390269718122</v>
      </c>
      <c r="AL26" s="18">
        <f t="shared" si="13"/>
        <v>0.49994849600622615</v>
      </c>
      <c r="AM26" s="18">
        <f t="shared" si="13"/>
        <v>-0.9360693336383008</v>
      </c>
      <c r="AN26" s="18">
        <f t="shared" si="13"/>
        <v>-0.14717130888240604</v>
      </c>
      <c r="AO26" s="17"/>
      <c r="AP26" s="36">
        <f t="shared" si="12"/>
        <v>-4.4623207032704448E-2</v>
      </c>
      <c r="AQ26" s="36">
        <f t="shared" si="12"/>
        <v>0.16072299606040297</v>
      </c>
      <c r="AR26" s="36">
        <f t="shared" si="12"/>
        <v>0.3953496669450966</v>
      </c>
      <c r="AS26" s="36">
        <f t="shared" si="12"/>
        <v>0.66441700087248345</v>
      </c>
      <c r="AT26" s="36">
        <f t="shared" si="12"/>
        <v>0.46753724795637513</v>
      </c>
      <c r="AU26" s="36">
        <f t="shared" si="12"/>
        <v>0.2063807889132579</v>
      </c>
      <c r="AV26" s="36">
        <f t="shared" si="12"/>
        <v>-0.76050017860389818</v>
      </c>
      <c r="AW26" s="36">
        <f t="shared" si="12"/>
        <v>-1.9197718706880276E-2</v>
      </c>
      <c r="AX26" s="36">
        <f t="shared" si="12"/>
        <v>-0.24955075869416388</v>
      </c>
      <c r="AY26" s="6"/>
    </row>
    <row r="27" spans="1:51" x14ac:dyDescent="0.25">
      <c r="A27" s="1" t="str">
        <f t="shared" si="5"/>
        <v>20164</v>
      </c>
      <c r="B27" s="1">
        <f t="shared" si="6"/>
        <v>4</v>
      </c>
      <c r="C27" s="1">
        <f t="shared" si="7"/>
        <v>2016</v>
      </c>
      <c r="D27" s="35">
        <f t="shared" si="11"/>
        <v>42705</v>
      </c>
      <c r="E27" s="32">
        <v>33934.435866496315</v>
      </c>
      <c r="F27" s="32">
        <v>1358.9465087240842</v>
      </c>
      <c r="G27" s="32">
        <v>4084.8416251430012</v>
      </c>
      <c r="H27" s="32">
        <v>4339.0248553404062</v>
      </c>
      <c r="I27" s="32">
        <v>990.54249420357087</v>
      </c>
      <c r="J27" s="32">
        <v>2408.854049016446</v>
      </c>
      <c r="K27" s="32">
        <v>3797.3790994120573</v>
      </c>
      <c r="L27" s="32">
        <v>2067.7516943811233</v>
      </c>
      <c r="M27" s="32">
        <v>1008.5156604723852</v>
      </c>
      <c r="N27" s="32">
        <v>2818.2056720507408</v>
      </c>
      <c r="O27" s="16">
        <f t="shared" si="8"/>
        <v>7504.7908252725665</v>
      </c>
      <c r="P27" s="32">
        <v>3555.5833824799338</v>
      </c>
      <c r="Q27" s="33">
        <v>30994.370229012799</v>
      </c>
      <c r="R27" s="33">
        <v>1221.69895500656</v>
      </c>
      <c r="S27" s="33">
        <v>3898.5089770416198</v>
      </c>
      <c r="T27" s="33">
        <v>3841.6434740744899</v>
      </c>
      <c r="U27" s="33">
        <v>873.21145273972104</v>
      </c>
      <c r="V27" s="33">
        <v>1540.50858624803</v>
      </c>
      <c r="W27" s="33">
        <v>3478.377000293</v>
      </c>
      <c r="X27" s="33">
        <v>1878.9016013164</v>
      </c>
      <c r="Y27" s="33">
        <v>1016.74106347876</v>
      </c>
      <c r="Z27" s="33">
        <v>2850.28682060459</v>
      </c>
      <c r="AA27" s="33">
        <v>7046.5971338604895</v>
      </c>
      <c r="AB27" s="34">
        <v>3452.5178088360299</v>
      </c>
      <c r="AC27" s="18">
        <f t="shared" si="13"/>
        <v>0.84740827729309842</v>
      </c>
      <c r="AD27" s="18">
        <f t="shared" si="13"/>
        <v>-1.477102683649008</v>
      </c>
      <c r="AE27" s="18">
        <f t="shared" si="13"/>
        <v>1.5972597567482865</v>
      </c>
      <c r="AF27" s="18">
        <f t="shared" si="13"/>
        <v>3.4511799122779934</v>
      </c>
      <c r="AG27" s="18">
        <f t="shared" si="13"/>
        <v>0.80469124748910303</v>
      </c>
      <c r="AH27" s="18">
        <f t="shared" si="13"/>
        <v>2.7420251434223246</v>
      </c>
      <c r="AI27" s="18">
        <f t="shared" si="13"/>
        <v>-2.8624863552472988</v>
      </c>
      <c r="AJ27" s="18">
        <f t="shared" si="13"/>
        <v>0.60045504243826997</v>
      </c>
      <c r="AK27" s="18">
        <f t="shared" si="13"/>
        <v>-0.3979999100409799</v>
      </c>
      <c r="AL27" s="18">
        <f t="shared" si="13"/>
        <v>0.52718615535387414</v>
      </c>
      <c r="AM27" s="18">
        <f t="shared" si="13"/>
        <v>2.5155098424069422</v>
      </c>
      <c r="AN27" s="18">
        <f t="shared" si="13"/>
        <v>0.87070128410201164</v>
      </c>
      <c r="AO27" s="17"/>
      <c r="AP27" s="36">
        <f t="shared" si="12"/>
        <v>0.25831894773614811</v>
      </c>
      <c r="AQ27" s="36">
        <f t="shared" si="12"/>
        <v>-0.62328667108144586</v>
      </c>
      <c r="AR27" s="36">
        <f t="shared" si="12"/>
        <v>1.2674379448554556</v>
      </c>
      <c r="AS27" s="36">
        <f t="shared" si="12"/>
        <v>0.80955516120154347</v>
      </c>
      <c r="AT27" s="36">
        <f t="shared" si="12"/>
        <v>0.24082212378134368</v>
      </c>
      <c r="AU27" s="36">
        <f t="shared" si="12"/>
        <v>0.8249204814893315</v>
      </c>
      <c r="AV27" s="36">
        <f t="shared" si="12"/>
        <v>-2.7590228211385832</v>
      </c>
      <c r="AW27" s="36">
        <f t="shared" si="12"/>
        <v>1.7441193361828432E-2</v>
      </c>
      <c r="AX27" s="36">
        <f t="shared" si="12"/>
        <v>-5.640653207384428E-2</v>
      </c>
      <c r="AY27" s="6"/>
    </row>
    <row r="28" spans="1:51" x14ac:dyDescent="0.25">
      <c r="A28" s="1" t="str">
        <f t="shared" si="5"/>
        <v>20171</v>
      </c>
      <c r="B28" s="1">
        <f t="shared" si="6"/>
        <v>1</v>
      </c>
      <c r="C28" s="1">
        <f t="shared" si="7"/>
        <v>2017</v>
      </c>
      <c r="D28" s="35">
        <f t="shared" si="11"/>
        <v>42795</v>
      </c>
      <c r="E28" s="32">
        <v>28094.388565715588</v>
      </c>
      <c r="F28" s="32">
        <v>617.86577521345373</v>
      </c>
      <c r="G28" s="32">
        <v>3760.4970910970028</v>
      </c>
      <c r="H28" s="32">
        <v>3290.4148242321326</v>
      </c>
      <c r="I28" s="32">
        <v>969.03490343209796</v>
      </c>
      <c r="J28" s="32">
        <v>851.96264480480818</v>
      </c>
      <c r="K28" s="32">
        <v>3253.317959225888</v>
      </c>
      <c r="L28" s="32">
        <v>1691.0783709641507</v>
      </c>
      <c r="M28" s="32">
        <v>1042.8971174756723</v>
      </c>
      <c r="N28" s="32">
        <v>2895.1507765700003</v>
      </c>
      <c r="O28" s="16">
        <f t="shared" si="8"/>
        <v>6469.1923631200762</v>
      </c>
      <c r="P28" s="32">
        <v>3252.9767395803065</v>
      </c>
      <c r="Q28" s="33">
        <v>31080.9136090996</v>
      </c>
      <c r="R28" s="33">
        <v>1244.49387095312</v>
      </c>
      <c r="S28" s="33">
        <v>3907.6565418313999</v>
      </c>
      <c r="T28" s="33">
        <v>3726.6627152211099</v>
      </c>
      <c r="U28" s="33">
        <v>861.38494445342599</v>
      </c>
      <c r="V28" s="33">
        <v>1465.8210957993199</v>
      </c>
      <c r="W28" s="33">
        <v>3578.573049136</v>
      </c>
      <c r="X28" s="33">
        <v>1864.2018379364899</v>
      </c>
      <c r="Y28" s="33">
        <v>1020.1191425528</v>
      </c>
      <c r="Z28" s="33">
        <v>2874.0251805164098</v>
      </c>
      <c r="AA28" s="33">
        <v>6990.2695278679148</v>
      </c>
      <c r="AB28" s="34">
        <v>3460.8193998873599</v>
      </c>
      <c r="AC28" s="18">
        <f t="shared" si="13"/>
        <v>0.27922290224755386</v>
      </c>
      <c r="AD28" s="18">
        <f t="shared" si="13"/>
        <v>1.8658373941588167</v>
      </c>
      <c r="AE28" s="18">
        <f t="shared" si="13"/>
        <v>0.23464265039916654</v>
      </c>
      <c r="AF28" s="18">
        <f t="shared" si="13"/>
        <v>-2.993009622817226</v>
      </c>
      <c r="AG28" s="18">
        <f t="shared" si="13"/>
        <v>-1.3543693511106767</v>
      </c>
      <c r="AH28" s="18">
        <f t="shared" si="13"/>
        <v>-4.84823590828627</v>
      </c>
      <c r="AI28" s="18">
        <f t="shared" si="13"/>
        <v>2.8805402299566794</v>
      </c>
      <c r="AJ28" s="18">
        <f t="shared" si="13"/>
        <v>-0.78235940453778596</v>
      </c>
      <c r="AK28" s="18">
        <f t="shared" si="13"/>
        <v>0.3322457600445432</v>
      </c>
      <c r="AL28" s="18">
        <f t="shared" si="13"/>
        <v>0.83284109305128595</v>
      </c>
      <c r="AM28" s="18">
        <f t="shared" si="13"/>
        <v>-0.79935896607324253</v>
      </c>
      <c r="AN28" s="18">
        <f t="shared" si="13"/>
        <v>0.24045034699267376</v>
      </c>
      <c r="AO28" s="17"/>
      <c r="AP28" s="36">
        <f t="shared" si="12"/>
        <v>1.6702236252190843E-2</v>
      </c>
      <c r="AQ28" s="36">
        <f t="shared" si="12"/>
        <v>0.41359162093181617</v>
      </c>
      <c r="AR28" s="36">
        <f t="shared" si="12"/>
        <v>0.18635825487749866</v>
      </c>
      <c r="AS28" s="36">
        <f t="shared" si="12"/>
        <v>-0.79485753912555657</v>
      </c>
      <c r="AT28" s="36">
        <f t="shared" si="12"/>
        <v>-0.23400857768334812</v>
      </c>
      <c r="AU28" s="36">
        <f t="shared" si="12"/>
        <v>-1.6070632841080144</v>
      </c>
      <c r="AV28" s="36">
        <f t="shared" si="12"/>
        <v>1.8489713789408488</v>
      </c>
      <c r="AW28" s="36">
        <f t="shared" si="12"/>
        <v>-0.40437030954482822</v>
      </c>
      <c r="AX28" s="36">
        <f t="shared" si="12"/>
        <v>0.21285457429006499</v>
      </c>
      <c r="AY28" s="6"/>
    </row>
    <row r="29" spans="1:51" x14ac:dyDescent="0.25">
      <c r="A29" s="1" t="str">
        <f t="shared" si="5"/>
        <v>20172</v>
      </c>
      <c r="B29" s="1">
        <f t="shared" si="6"/>
        <v>2</v>
      </c>
      <c r="C29" s="1">
        <f t="shared" si="7"/>
        <v>2017</v>
      </c>
      <c r="D29" s="35">
        <f t="shared" si="11"/>
        <v>42887</v>
      </c>
      <c r="E29" s="32">
        <v>30468.219536799785</v>
      </c>
      <c r="F29" s="32">
        <v>878.28270713401287</v>
      </c>
      <c r="G29" s="32">
        <v>3958.9676649084845</v>
      </c>
      <c r="H29" s="32">
        <v>3756.042789790291</v>
      </c>
      <c r="I29" s="32">
        <v>777.44826381841767</v>
      </c>
      <c r="J29" s="32">
        <v>1281.2069097424117</v>
      </c>
      <c r="K29" s="32">
        <v>3625.0551542273706</v>
      </c>
      <c r="L29" s="32">
        <v>1856.0182011535896</v>
      </c>
      <c r="M29" s="32">
        <v>1017.7668861240778</v>
      </c>
      <c r="N29" s="32">
        <v>2879.6850709424907</v>
      </c>
      <c r="O29" s="16">
        <f t="shared" si="8"/>
        <v>6953.0207539109251</v>
      </c>
      <c r="P29" s="32">
        <v>3484.7251350477109</v>
      </c>
      <c r="Q29" s="33">
        <v>31297.398357077898</v>
      </c>
      <c r="R29" s="33">
        <v>1245.9904164689999</v>
      </c>
      <c r="S29" s="33">
        <v>3952.8141279963102</v>
      </c>
      <c r="T29" s="33">
        <v>3843.1600745946198</v>
      </c>
      <c r="U29" s="33">
        <v>859.80582013081198</v>
      </c>
      <c r="V29" s="33">
        <v>1484.6597186716499</v>
      </c>
      <c r="W29" s="33">
        <v>3630.83176603419</v>
      </c>
      <c r="X29" s="33">
        <v>1866.4481709525301</v>
      </c>
      <c r="Y29" s="33">
        <v>1032.4333863637501</v>
      </c>
      <c r="Z29" s="33">
        <v>2886.98647688761</v>
      </c>
      <c r="AA29" s="33">
        <v>7015.1962099767279</v>
      </c>
      <c r="AB29" s="34">
        <v>3475.2091301415198</v>
      </c>
      <c r="AC29" s="18">
        <f t="shared" si="13"/>
        <v>0.69651989867800523</v>
      </c>
      <c r="AD29" s="18">
        <f t="shared" si="13"/>
        <v>0.12025334562184753</v>
      </c>
      <c r="AE29" s="18">
        <f t="shared" si="13"/>
        <v>1.1556180969719065</v>
      </c>
      <c r="AF29" s="18">
        <f t="shared" si="13"/>
        <v>3.1260505249828441</v>
      </c>
      <c r="AG29" s="18">
        <f t="shared" si="13"/>
        <v>-0.18332388240381192</v>
      </c>
      <c r="AH29" s="18">
        <f t="shared" si="13"/>
        <v>1.2851925058465099</v>
      </c>
      <c r="AI29" s="18">
        <f t="shared" si="13"/>
        <v>1.4603227649860884</v>
      </c>
      <c r="AJ29" s="18">
        <f t="shared" si="13"/>
        <v>0.12049838007490621</v>
      </c>
      <c r="AK29" s="18">
        <f t="shared" si="13"/>
        <v>1.2071378035446259</v>
      </c>
      <c r="AL29" s="18">
        <f t="shared" si="13"/>
        <v>0.45098061280282309</v>
      </c>
      <c r="AM29" s="18">
        <f t="shared" si="13"/>
        <v>0.35659114443926399</v>
      </c>
      <c r="AN29" s="18">
        <f t="shared" si="13"/>
        <v>0.41578968999735366</v>
      </c>
      <c r="AO29" s="17"/>
      <c r="AP29" s="36">
        <f t="shared" si="12"/>
        <v>0.19415475864697498</v>
      </c>
      <c r="AQ29" s="36">
        <f t="shared" si="12"/>
        <v>-0.12783543569658462</v>
      </c>
      <c r="AR29" s="36">
        <f t="shared" si="12"/>
        <v>0.9170461683191713</v>
      </c>
      <c r="AS29" s="36">
        <f t="shared" si="12"/>
        <v>0.72860755477484973</v>
      </c>
      <c r="AT29" s="36">
        <f t="shared" si="12"/>
        <v>2.3533216981305845E-2</v>
      </c>
      <c r="AU29" s="36">
        <f t="shared" si="12"/>
        <v>0.35813899668398314</v>
      </c>
      <c r="AV29" s="36">
        <f t="shared" si="12"/>
        <v>0.70944089891547069</v>
      </c>
      <c r="AW29" s="36">
        <f t="shared" si="12"/>
        <v>-0.12896401778148467</v>
      </c>
      <c r="AX29" s="36">
        <f t="shared" si="12"/>
        <v>0.53545066658079266</v>
      </c>
      <c r="AY29" s="6"/>
    </row>
    <row r="30" spans="1:51" x14ac:dyDescent="0.25">
      <c r="A30" s="1" t="str">
        <f t="shared" si="5"/>
        <v>20173</v>
      </c>
      <c r="B30" s="1">
        <f t="shared" si="6"/>
        <v>3</v>
      </c>
      <c r="C30" s="1">
        <f t="shared" si="7"/>
        <v>2017</v>
      </c>
      <c r="D30" s="35">
        <f t="shared" si="11"/>
        <v>42979</v>
      </c>
      <c r="E30" s="32">
        <v>32399.407796585321</v>
      </c>
      <c r="F30" s="32">
        <v>2155.3120244014135</v>
      </c>
      <c r="G30" s="32">
        <v>3886.1943445821703</v>
      </c>
      <c r="H30" s="32">
        <v>3941.4998292464775</v>
      </c>
      <c r="I30" s="32">
        <v>710.75110234368094</v>
      </c>
      <c r="J30" s="32">
        <v>1445.2636700802955</v>
      </c>
      <c r="K30" s="32">
        <v>3671.0282025502984</v>
      </c>
      <c r="L30" s="32">
        <v>1888.3171284430716</v>
      </c>
      <c r="M30" s="32">
        <v>1031.4936692359718</v>
      </c>
      <c r="N30" s="32">
        <v>2888.6614170208245</v>
      </c>
      <c r="O30" s="16">
        <f t="shared" si="8"/>
        <v>7150.6906268789371</v>
      </c>
      <c r="P30" s="32">
        <v>3630.1957818021783</v>
      </c>
      <c r="Q30" s="33">
        <v>31484.349230308399</v>
      </c>
      <c r="R30" s="33">
        <v>1258.7400679775999</v>
      </c>
      <c r="S30" s="33">
        <v>3932.1789891837402</v>
      </c>
      <c r="T30" s="33">
        <v>3907.0779089463599</v>
      </c>
      <c r="U30" s="33">
        <v>845.91527537304103</v>
      </c>
      <c r="V30" s="33">
        <v>1475.73648638442</v>
      </c>
      <c r="W30" s="33">
        <v>3654.40712903853</v>
      </c>
      <c r="X30" s="33">
        <v>1876.0414689470299</v>
      </c>
      <c r="Y30" s="33">
        <v>1038.0473420062499</v>
      </c>
      <c r="Z30" s="33">
        <v>2912.67507839567</v>
      </c>
      <c r="AA30" s="33">
        <v>7093.3639999522566</v>
      </c>
      <c r="AB30" s="34">
        <v>3510.1434179798098</v>
      </c>
      <c r="AC30" s="18">
        <f t="shared" si="13"/>
        <v>0.59733678530574252</v>
      </c>
      <c r="AD30" s="18">
        <f t="shared" si="13"/>
        <v>1.0232543798154694</v>
      </c>
      <c r="AE30" s="18">
        <f t="shared" si="13"/>
        <v>-0.52203665905813068</v>
      </c>
      <c r="AF30" s="18">
        <f t="shared" si="13"/>
        <v>1.6631582632810904</v>
      </c>
      <c r="AG30" s="18">
        <f t="shared" si="13"/>
        <v>-1.6155443976475539</v>
      </c>
      <c r="AH30" s="18">
        <f t="shared" si="13"/>
        <v>-0.60102878626044287</v>
      </c>
      <c r="AI30" s="18">
        <f t="shared" si="13"/>
        <v>0.64931025515650731</v>
      </c>
      <c r="AJ30" s="18">
        <f t="shared" si="13"/>
        <v>0.51398684109207693</v>
      </c>
      <c r="AK30" s="18">
        <f t="shared" si="13"/>
        <v>0.54375959908389859</v>
      </c>
      <c r="AL30" s="18">
        <f t="shared" si="13"/>
        <v>0.88980678343024522</v>
      </c>
      <c r="AM30" s="18">
        <f t="shared" si="13"/>
        <v>1.1142637730411735</v>
      </c>
      <c r="AN30" s="18">
        <f t="shared" si="13"/>
        <v>1.0052427502936325</v>
      </c>
      <c r="AO30" s="17"/>
      <c r="AP30" s="36">
        <f t="shared" si="12"/>
        <v>0.15197785874731512</v>
      </c>
      <c r="AQ30" s="36">
        <f t="shared" si="12"/>
        <v>0.15224800828631915</v>
      </c>
      <c r="AR30" s="36">
        <f t="shared" si="12"/>
        <v>-0.41397960193437627</v>
      </c>
      <c r="AS30" s="36">
        <f t="shared" si="12"/>
        <v>0.36439062553925594</v>
      </c>
      <c r="AT30" s="36">
        <f t="shared" si="12"/>
        <v>-0.29144741503353916</v>
      </c>
      <c r="AU30" s="36">
        <f t="shared" si="12"/>
        <v>-0.24622224062755174</v>
      </c>
      <c r="AV30" s="36">
        <f t="shared" si="12"/>
        <v>5.8714163449063481E-2</v>
      </c>
      <c r="AW30" s="36">
        <f t="shared" si="12"/>
        <v>-8.9349282090974372E-3</v>
      </c>
      <c r="AX30" s="36">
        <f t="shared" si="12"/>
        <v>0.29084538292347278</v>
      </c>
      <c r="AY30" s="6"/>
    </row>
    <row r="31" spans="1:51" x14ac:dyDescent="0.25">
      <c r="A31" s="1" t="str">
        <f t="shared" si="5"/>
        <v>20174</v>
      </c>
      <c r="B31" s="1">
        <f t="shared" si="6"/>
        <v>4</v>
      </c>
      <c r="C31" s="1">
        <f t="shared" si="7"/>
        <v>2017</v>
      </c>
      <c r="D31" s="35">
        <f t="shared" si="11"/>
        <v>43070</v>
      </c>
      <c r="E31" s="32">
        <v>34287.687929333086</v>
      </c>
      <c r="F31" s="32">
        <v>1357.1804842824381</v>
      </c>
      <c r="G31" s="32">
        <v>4029.5130015968066</v>
      </c>
      <c r="H31" s="32">
        <v>4355.167778123523</v>
      </c>
      <c r="I31" s="32">
        <v>937.99104508409437</v>
      </c>
      <c r="J31" s="32">
        <v>2379.6989392242585</v>
      </c>
      <c r="K31" s="32">
        <v>3927.8258883410135</v>
      </c>
      <c r="L31" s="32">
        <v>2024.1022992108922</v>
      </c>
      <c r="M31" s="32">
        <v>1047.9917286468119</v>
      </c>
      <c r="N31" s="32">
        <v>2904.7556757090983</v>
      </c>
      <c r="O31" s="16">
        <f t="shared" si="8"/>
        <v>7752.4565211009831</v>
      </c>
      <c r="P31" s="32">
        <v>3571.0045680131698</v>
      </c>
      <c r="Q31" s="33">
        <v>31443.3813412208</v>
      </c>
      <c r="R31" s="33">
        <v>1258.30180772821</v>
      </c>
      <c r="S31" s="33">
        <v>3845.69957287641</v>
      </c>
      <c r="T31" s="33">
        <v>3877.24291054273</v>
      </c>
      <c r="U31" s="33">
        <v>846.09370862420701</v>
      </c>
      <c r="V31" s="33">
        <v>1541.7611490873901</v>
      </c>
      <c r="W31" s="33">
        <v>3608.48837311947</v>
      </c>
      <c r="X31" s="33">
        <v>1871.0333919314401</v>
      </c>
      <c r="Y31" s="33">
        <v>1055.3874078752399</v>
      </c>
      <c r="Z31" s="33">
        <v>2918.4316161943698</v>
      </c>
      <c r="AA31" s="33">
        <v>7190.9323277019539</v>
      </c>
      <c r="AB31" s="34">
        <v>3509.0342936168099</v>
      </c>
      <c r="AC31" s="18">
        <f t="shared" si="13"/>
        <v>-0.13012144157059424</v>
      </c>
      <c r="AD31" s="18">
        <f t="shared" si="13"/>
        <v>-3.4817374971950699E-2</v>
      </c>
      <c r="AE31" s="18">
        <f t="shared" si="13"/>
        <v>-2.1992746654007789</v>
      </c>
      <c r="AF31" s="18">
        <f t="shared" si="13"/>
        <v>-0.76361411517579825</v>
      </c>
      <c r="AG31" s="18">
        <f t="shared" si="13"/>
        <v>2.1093513305729061E-2</v>
      </c>
      <c r="AH31" s="18">
        <f t="shared" si="13"/>
        <v>4.4740143861816222</v>
      </c>
      <c r="AI31" s="18">
        <f t="shared" si="13"/>
        <v>-1.2565309309458712</v>
      </c>
      <c r="AJ31" s="18">
        <f t="shared" si="13"/>
        <v>-0.26694916389031675</v>
      </c>
      <c r="AK31" s="18">
        <f t="shared" si="13"/>
        <v>1.6704503896206404</v>
      </c>
      <c r="AL31" s="18">
        <f t="shared" si="13"/>
        <v>0.19763748594540687</v>
      </c>
      <c r="AM31" s="18">
        <f t="shared" si="13"/>
        <v>1.3754873956891771</v>
      </c>
      <c r="AN31" s="18">
        <f t="shared" si="13"/>
        <v>-3.1597693624675571E-2</v>
      </c>
      <c r="AO31" s="17"/>
      <c r="AP31" s="36">
        <f t="shared" si="12"/>
        <v>-0.15736847827468575</v>
      </c>
      <c r="AQ31" s="36">
        <f t="shared" si="12"/>
        <v>-0.17593365467991831</v>
      </c>
      <c r="AR31" s="36">
        <f t="shared" si="12"/>
        <v>-1.7446747293237315</v>
      </c>
      <c r="AS31" s="36">
        <f t="shared" si="12"/>
        <v>-0.239803959923337</v>
      </c>
      <c r="AT31" s="36">
        <f t="shared" si="12"/>
        <v>6.8489646392919268E-2</v>
      </c>
      <c r="AU31" s="36">
        <f t="shared" si="12"/>
        <v>1.3798644671947609</v>
      </c>
      <c r="AV31" s="36">
        <f t="shared" si="12"/>
        <v>-1.4704630049899621</v>
      </c>
      <c r="AW31" s="36">
        <f t="shared" si="12"/>
        <v>-0.24715039569708472</v>
      </c>
      <c r="AX31" s="36">
        <f t="shared" si="12"/>
        <v>0.70628640670170462</v>
      </c>
      <c r="AY31" s="6"/>
    </row>
    <row r="32" spans="1:51" x14ac:dyDescent="0.25">
      <c r="A32" s="1" t="str">
        <f t="shared" si="5"/>
        <v>20181</v>
      </c>
      <c r="B32" s="1">
        <f t="shared" si="6"/>
        <v>1</v>
      </c>
      <c r="C32" s="1">
        <f t="shared" si="7"/>
        <v>2018</v>
      </c>
      <c r="D32" s="35">
        <f t="shared" si="11"/>
        <v>43160</v>
      </c>
      <c r="E32" s="32">
        <v>28814.381448462966</v>
      </c>
      <c r="F32" s="32">
        <v>641.59920439947609</v>
      </c>
      <c r="G32" s="32">
        <v>3759.3862146361748</v>
      </c>
      <c r="H32" s="32">
        <v>3481.9743892666766</v>
      </c>
      <c r="I32" s="32">
        <v>982.0324243937207</v>
      </c>
      <c r="J32" s="32">
        <v>853.58676128021921</v>
      </c>
      <c r="K32" s="32">
        <v>3319.7296604035705</v>
      </c>
      <c r="L32" s="32">
        <v>1728.5676135439257</v>
      </c>
      <c r="M32" s="32">
        <v>1109.5968304626192</v>
      </c>
      <c r="N32" s="32">
        <v>2988.4552037589397</v>
      </c>
      <c r="O32" s="16">
        <f t="shared" si="8"/>
        <v>6593.0966655878274</v>
      </c>
      <c r="P32" s="32">
        <v>3356.3564807298176</v>
      </c>
      <c r="Q32" s="33">
        <v>31931.736067479502</v>
      </c>
      <c r="R32" s="33">
        <v>1271.7274521654699</v>
      </c>
      <c r="S32" s="33">
        <v>3906.5041107984698</v>
      </c>
      <c r="T32" s="33">
        <v>3955.1507651561601</v>
      </c>
      <c r="U32" s="33">
        <v>860.04479662261099</v>
      </c>
      <c r="V32" s="33">
        <v>1455.5373174531301</v>
      </c>
      <c r="W32" s="33">
        <v>3656.4715890651501</v>
      </c>
      <c r="X32" s="33">
        <v>1899.87859648829</v>
      </c>
      <c r="Y32" s="33">
        <v>1087.4207498855901</v>
      </c>
      <c r="Z32" s="33">
        <v>2951.7946821486398</v>
      </c>
      <c r="AA32" s="33">
        <v>7260.1002753044913</v>
      </c>
      <c r="AB32" s="34">
        <v>3554.1652468616599</v>
      </c>
      <c r="AC32" s="18">
        <f t="shared" si="13"/>
        <v>1.5531240770803976</v>
      </c>
      <c r="AD32" s="18">
        <f t="shared" si="13"/>
        <v>1.06696536195075</v>
      </c>
      <c r="AE32" s="18">
        <f t="shared" si="13"/>
        <v>1.581104731916966</v>
      </c>
      <c r="AF32" s="18">
        <f t="shared" si="13"/>
        <v>2.0093622300936715</v>
      </c>
      <c r="AG32" s="18">
        <f t="shared" si="13"/>
        <v>1.6488821340001607</v>
      </c>
      <c r="AH32" s="18">
        <f t="shared" si="13"/>
        <v>-5.5925544423854632</v>
      </c>
      <c r="AI32" s="18">
        <f t="shared" si="13"/>
        <v>1.3297317597894818</v>
      </c>
      <c r="AJ32" s="18">
        <f t="shared" si="13"/>
        <v>1.5416723550333558</v>
      </c>
      <c r="AK32" s="18">
        <f t="shared" si="13"/>
        <v>3.0352211682003372</v>
      </c>
      <c r="AL32" s="18">
        <f t="shared" si="13"/>
        <v>1.1431847766841088</v>
      </c>
      <c r="AM32" s="18">
        <f t="shared" si="13"/>
        <v>0.96187732619981148</v>
      </c>
      <c r="AN32" s="18">
        <f t="shared" si="13"/>
        <v>1.2861359983556326</v>
      </c>
      <c r="AO32" s="17"/>
      <c r="AP32" s="36">
        <f t="shared" si="12"/>
        <v>0.55841947526769542</v>
      </c>
      <c r="AQ32" s="36">
        <f t="shared" si="12"/>
        <v>0.16580582489198592</v>
      </c>
      <c r="AR32" s="36">
        <f t="shared" si="12"/>
        <v>1.2546207938341947</v>
      </c>
      <c r="AS32" s="36">
        <f t="shared" si="12"/>
        <v>0.45058517928922098</v>
      </c>
      <c r="AT32" s="36">
        <f t="shared" si="12"/>
        <v>0.42648053053107005</v>
      </c>
      <c r="AU32" s="36">
        <f t="shared" si="12"/>
        <v>-1.8455492306427486</v>
      </c>
      <c r="AV32" s="36">
        <f t="shared" si="12"/>
        <v>0.60465945909437446</v>
      </c>
      <c r="AW32" s="36">
        <f t="shared" si="12"/>
        <v>0.30454861406870226</v>
      </c>
      <c r="AX32" s="36">
        <f t="shared" si="12"/>
        <v>1.2095138886674182</v>
      </c>
      <c r="AY32" s="6"/>
    </row>
    <row r="33" spans="1:51" x14ac:dyDescent="0.25">
      <c r="A33" s="1" t="str">
        <f t="shared" si="5"/>
        <v>20182</v>
      </c>
      <c r="B33" s="1">
        <f t="shared" si="6"/>
        <v>2</v>
      </c>
      <c r="C33" s="1">
        <f t="shared" si="7"/>
        <v>2018</v>
      </c>
      <c r="D33" s="35">
        <f t="shared" si="11"/>
        <v>43252</v>
      </c>
      <c r="E33" s="32">
        <v>31299.580315771596</v>
      </c>
      <c r="F33" s="32">
        <v>912.78845670890757</v>
      </c>
      <c r="G33" s="32">
        <v>3962.7136373974276</v>
      </c>
      <c r="H33" s="32">
        <v>3920.0782914250931</v>
      </c>
      <c r="I33" s="32">
        <v>779.91114877835889</v>
      </c>
      <c r="J33" s="32">
        <v>1292.2872461892539</v>
      </c>
      <c r="K33" s="32">
        <v>3711.2515335184708</v>
      </c>
      <c r="L33" s="32">
        <v>1927.4629380686567</v>
      </c>
      <c r="M33" s="32">
        <v>1111.2319912326845</v>
      </c>
      <c r="N33" s="32">
        <v>2975.9100144672761</v>
      </c>
      <c r="O33" s="16">
        <f t="shared" si="8"/>
        <v>7106.5040236847963</v>
      </c>
      <c r="P33" s="32">
        <v>3599.4410343006689</v>
      </c>
      <c r="Q33" s="33">
        <v>32133.296449204499</v>
      </c>
      <c r="R33" s="33">
        <v>1275.2797818850099</v>
      </c>
      <c r="S33" s="33">
        <v>3956.5655715995399</v>
      </c>
      <c r="T33" s="33">
        <v>3944.6750710573001</v>
      </c>
      <c r="U33" s="33">
        <v>860.45925512020801</v>
      </c>
      <c r="V33" s="33">
        <v>1468.66976873522</v>
      </c>
      <c r="W33" s="33">
        <v>3712.1040373860901</v>
      </c>
      <c r="X33" s="33">
        <v>1917.14035927129</v>
      </c>
      <c r="Y33" s="33">
        <v>1127.0495678177299</v>
      </c>
      <c r="Z33" s="33">
        <v>2967.7942287916599</v>
      </c>
      <c r="AA33" s="33">
        <v>7215.8726950584696</v>
      </c>
      <c r="AB33" s="34">
        <v>3592.0245772134699</v>
      </c>
      <c r="AC33" s="18">
        <f t="shared" si="13"/>
        <v>0.6312227474856229</v>
      </c>
      <c r="AD33" s="18">
        <f t="shared" si="13"/>
        <v>0.27933105583993267</v>
      </c>
      <c r="AE33" s="18">
        <f t="shared" si="13"/>
        <v>1.2814900325508063</v>
      </c>
      <c r="AF33" s="18">
        <f t="shared" si="13"/>
        <v>-0.26486206774083598</v>
      </c>
      <c r="AG33" s="18">
        <f t="shared" si="13"/>
        <v>4.8190338366623564E-2</v>
      </c>
      <c r="AH33" s="18">
        <f t="shared" si="13"/>
        <v>0.9022407824671177</v>
      </c>
      <c r="AI33" s="18">
        <f t="shared" si="13"/>
        <v>1.5214790260455402</v>
      </c>
      <c r="AJ33" s="18">
        <f t="shared" si="13"/>
        <v>0.90857188532500288</v>
      </c>
      <c r="AK33" s="18">
        <f t="shared" si="13"/>
        <v>3.6442948082707716</v>
      </c>
      <c r="AL33" s="18">
        <f t="shared" si="13"/>
        <v>0.5420277616115925</v>
      </c>
      <c r="AM33" s="18">
        <f t="shared" si="13"/>
        <v>-0.60918690608811232</v>
      </c>
      <c r="AN33" s="18">
        <f t="shared" si="13"/>
        <v>1.0652101892347332</v>
      </c>
      <c r="AO33" s="17"/>
      <c r="AP33" s="36">
        <f t="shared" si="12"/>
        <v>0.16638761849643954</v>
      </c>
      <c r="AQ33" s="36">
        <f t="shared" si="12"/>
        <v>-7.8494370457846324E-2</v>
      </c>
      <c r="AR33" s="36">
        <f t="shared" si="12"/>
        <v>1.0169110477915544</v>
      </c>
      <c r="AS33" s="36">
        <f t="shared" si="12"/>
        <v>-0.11562944350651441</v>
      </c>
      <c r="AT33" s="36">
        <f t="shared" si="12"/>
        <v>7.4448906850673374E-2</v>
      </c>
      <c r="AU33" s="36">
        <f t="shared" si="12"/>
        <v>0.23543802923088594</v>
      </c>
      <c r="AV33" s="36">
        <f t="shared" si="12"/>
        <v>0.75851044301030934</v>
      </c>
      <c r="AW33" s="36">
        <f t="shared" si="12"/>
        <v>0.11142866135011843</v>
      </c>
      <c r="AX33" s="36">
        <f t="shared" si="12"/>
        <v>1.4340956272530803</v>
      </c>
      <c r="AY33" s="6"/>
    </row>
    <row r="34" spans="1:51" x14ac:dyDescent="0.25">
      <c r="A34" s="1" t="str">
        <f t="shared" si="5"/>
        <v>20183</v>
      </c>
      <c r="B34" s="1">
        <f t="shared" si="6"/>
        <v>3</v>
      </c>
      <c r="C34" s="1">
        <f t="shared" si="7"/>
        <v>2018</v>
      </c>
      <c r="D34" s="35">
        <f t="shared" si="11"/>
        <v>43344</v>
      </c>
      <c r="E34" s="32">
        <v>33252.577831814131</v>
      </c>
      <c r="F34" s="32">
        <v>2109.8655881367577</v>
      </c>
      <c r="G34" s="32">
        <v>4023.6017048574176</v>
      </c>
      <c r="H34" s="32">
        <v>4018.2633424464179</v>
      </c>
      <c r="I34" s="32">
        <v>722.51691019974692</v>
      </c>
      <c r="J34" s="32">
        <v>1539.8629437660884</v>
      </c>
      <c r="K34" s="32">
        <v>3721.8994622354376</v>
      </c>
      <c r="L34" s="32">
        <v>1951.5329187299733</v>
      </c>
      <c r="M34" s="32">
        <v>1135.8744211412159</v>
      </c>
      <c r="N34" s="32">
        <v>2986.4518177066302</v>
      </c>
      <c r="O34" s="16">
        <f t="shared" si="8"/>
        <v>7342.9209815281702</v>
      </c>
      <c r="P34" s="32">
        <v>3699.7877410662772</v>
      </c>
      <c r="Q34" s="33">
        <v>32223.413494890701</v>
      </c>
      <c r="R34" s="33">
        <v>1282.33664639687</v>
      </c>
      <c r="S34" s="33">
        <v>4071.2072009844501</v>
      </c>
      <c r="T34" s="33">
        <v>3974.0862229568502</v>
      </c>
      <c r="U34" s="33">
        <v>869.689961611988</v>
      </c>
      <c r="V34" s="33">
        <v>1560.6431284622099</v>
      </c>
      <c r="W34" s="33">
        <v>3702.4379059948201</v>
      </c>
      <c r="X34" s="33">
        <v>1931.7180554488</v>
      </c>
      <c r="Y34" s="33">
        <v>1141.6191837281499</v>
      </c>
      <c r="Z34" s="33">
        <v>2987.1299047166899</v>
      </c>
      <c r="AA34" s="33">
        <v>7177.6783134540201</v>
      </c>
      <c r="AB34" s="34">
        <v>3578.8666483182601</v>
      </c>
      <c r="AC34" s="18">
        <f t="shared" si="13"/>
        <v>0.28044755952336686</v>
      </c>
      <c r="AD34" s="18">
        <f t="shared" si="13"/>
        <v>0.55335814243279913</v>
      </c>
      <c r="AE34" s="18">
        <f t="shared" si="13"/>
        <v>2.8975035876522384</v>
      </c>
      <c r="AF34" s="18">
        <f t="shared" si="13"/>
        <v>0.745591243125304</v>
      </c>
      <c r="AG34" s="18">
        <f t="shared" si="13"/>
        <v>1.0727650887421021</v>
      </c>
      <c r="AH34" s="18">
        <f t="shared" si="13"/>
        <v>6.2623580661154961</v>
      </c>
      <c r="AI34" s="18">
        <f t="shared" si="13"/>
        <v>-0.26039494836132349</v>
      </c>
      <c r="AJ34" s="18">
        <f t="shared" si="13"/>
        <v>0.76038752754917027</v>
      </c>
      <c r="AK34" s="18">
        <f t="shared" si="13"/>
        <v>1.2927218399658074</v>
      </c>
      <c r="AL34" s="18">
        <f t="shared" si="13"/>
        <v>0.65151673042045388</v>
      </c>
      <c r="AM34" s="18">
        <f t="shared" si="13"/>
        <v>-0.52931063529717903</v>
      </c>
      <c r="AN34" s="18">
        <f t="shared" si="13"/>
        <v>-0.36630954528203574</v>
      </c>
      <c r="AO34" s="17"/>
      <c r="AP34" s="36">
        <f t="shared" si="12"/>
        <v>1.7223012880158647E-2</v>
      </c>
      <c r="AQ34" s="36">
        <f t="shared" si="12"/>
        <v>6.5004936134550207E-3</v>
      </c>
      <c r="AR34" s="36">
        <f t="shared" si="12"/>
        <v>2.2990316266459478</v>
      </c>
      <c r="AS34" s="36">
        <f t="shared" si="12"/>
        <v>0.13594356132399102</v>
      </c>
      <c r="AT34" s="36">
        <f t="shared" si="12"/>
        <v>0.29977817632060422</v>
      </c>
      <c r="AU34" s="36">
        <f t="shared" si="12"/>
        <v>1.9528648906688351</v>
      </c>
      <c r="AV34" s="36">
        <f t="shared" si="12"/>
        <v>-0.67119997492391026</v>
      </c>
      <c r="AW34" s="36">
        <f t="shared" si="12"/>
        <v>6.6226742323766255E-2</v>
      </c>
      <c r="AX34" s="36">
        <f t="shared" si="12"/>
        <v>0.56700778944761854</v>
      </c>
      <c r="AY34" s="6"/>
    </row>
    <row r="35" spans="1:51" x14ac:dyDescent="0.25">
      <c r="A35" s="1" t="str">
        <f t="shared" si="5"/>
        <v>20184</v>
      </c>
      <c r="B35" s="1">
        <f t="shared" si="6"/>
        <v>4</v>
      </c>
      <c r="C35" s="1">
        <f t="shared" si="7"/>
        <v>2018</v>
      </c>
      <c r="D35" s="35">
        <f t="shared" si="11"/>
        <v>43435</v>
      </c>
      <c r="E35" s="32">
        <v>35398.097798435789</v>
      </c>
      <c r="F35" s="32">
        <v>1429.9139366405284</v>
      </c>
      <c r="G35" s="32">
        <v>4255.6033660709791</v>
      </c>
      <c r="H35" s="32">
        <v>4530.7403657781842</v>
      </c>
      <c r="I35" s="32">
        <v>974.46626838327404</v>
      </c>
      <c r="J35" s="32">
        <v>2386.6828013693075</v>
      </c>
      <c r="K35" s="32">
        <v>3943.0229806462271</v>
      </c>
      <c r="L35" s="32">
        <v>2079.2333945880341</v>
      </c>
      <c r="M35" s="32">
        <v>1163.4603940979905</v>
      </c>
      <c r="N35" s="32">
        <v>3005.1658339926566</v>
      </c>
      <c r="O35" s="16">
        <f t="shared" si="8"/>
        <v>7923.4389819252337</v>
      </c>
      <c r="P35" s="32">
        <v>3706.3694749433726</v>
      </c>
      <c r="Q35" s="33">
        <v>32359.778414912598</v>
      </c>
      <c r="R35" s="33">
        <v>1282.56375075809</v>
      </c>
      <c r="S35" s="33">
        <v>4061.4674972052999</v>
      </c>
      <c r="T35" s="33">
        <v>3933.2836520964602</v>
      </c>
      <c r="U35" s="33">
        <v>870.42601924716098</v>
      </c>
      <c r="V35" s="33">
        <v>1520.2967727565599</v>
      </c>
      <c r="W35" s="33">
        <v>3618.7859465668498</v>
      </c>
      <c r="X35" s="33">
        <v>1942.6576036112399</v>
      </c>
      <c r="Y35" s="33">
        <v>1168.60170910538</v>
      </c>
      <c r="Z35" s="33">
        <v>3000.9177804768801</v>
      </c>
      <c r="AA35" s="33">
        <v>7306.4271040575968</v>
      </c>
      <c r="AB35" s="34">
        <v>3591.2705723538802</v>
      </c>
      <c r="AC35" s="18">
        <f t="shared" si="13"/>
        <v>0.42318583052511372</v>
      </c>
      <c r="AD35" s="18">
        <f t="shared" si="13"/>
        <v>1.7710198165048041E-2</v>
      </c>
      <c r="AE35" s="18">
        <f t="shared" si="13"/>
        <v>-0.23923380212127654</v>
      </c>
      <c r="AF35" s="18">
        <f t="shared" si="13"/>
        <v>-1.0267157925434134</v>
      </c>
      <c r="AG35" s="18">
        <f t="shared" si="13"/>
        <v>8.4634486732355185E-2</v>
      </c>
      <c r="AH35" s="18">
        <f t="shared" si="13"/>
        <v>-2.5852390575291508</v>
      </c>
      <c r="AI35" s="18">
        <f t="shared" si="13"/>
        <v>-2.2593750807413926</v>
      </c>
      <c r="AJ35" s="18">
        <f t="shared" si="13"/>
        <v>0.5663118451257958</v>
      </c>
      <c r="AK35" s="18">
        <f t="shared" si="13"/>
        <v>2.3635311811346753</v>
      </c>
      <c r="AL35" s="18">
        <f t="shared" si="13"/>
        <v>0.46157603452125784</v>
      </c>
      <c r="AM35" s="18">
        <f t="shared" si="13"/>
        <v>1.7937386572792917</v>
      </c>
      <c r="AN35" s="18">
        <f t="shared" si="13"/>
        <v>0.34658804740456617</v>
      </c>
      <c r="AO35" s="17"/>
      <c r="AP35" s="36">
        <f t="shared" si="12"/>
        <v>7.7921427793748235E-2</v>
      </c>
      <c r="AQ35" s="36">
        <f t="shared" si="12"/>
        <v>-0.15964119981976155</v>
      </c>
      <c r="AR35" s="36">
        <f t="shared" si="12"/>
        <v>-0.18960811600658831</v>
      </c>
      <c r="AS35" s="36">
        <f t="shared" si="12"/>
        <v>-0.30530850015249517</v>
      </c>
      <c r="AT35" s="36">
        <f t="shared" si="12"/>
        <v>8.2463874352746436E-2</v>
      </c>
      <c r="AU35" s="36">
        <f t="shared" si="12"/>
        <v>-0.88197997470057832</v>
      </c>
      <c r="AV35" s="36">
        <f t="shared" si="12"/>
        <v>-2.2751084227470209</v>
      </c>
      <c r="AW35" s="36">
        <f t="shared" si="12"/>
        <v>7.0262071690622343E-3</v>
      </c>
      <c r="AX35" s="36">
        <f t="shared" si="12"/>
        <v>0.96184382849482108</v>
      </c>
      <c r="AY35" s="6"/>
    </row>
    <row r="36" spans="1:51" x14ac:dyDescent="0.25">
      <c r="A36" s="1" t="str">
        <f t="shared" si="5"/>
        <v>20191</v>
      </c>
      <c r="B36" s="1">
        <f t="shared" si="6"/>
        <v>1</v>
      </c>
      <c r="C36" s="1">
        <f t="shared" si="7"/>
        <v>2019</v>
      </c>
      <c r="D36" s="35">
        <f t="shared" si="11"/>
        <v>43525</v>
      </c>
      <c r="E36" s="32">
        <v>29214.152126536803</v>
      </c>
      <c r="F36" s="32">
        <v>647.91109951419298</v>
      </c>
      <c r="G36" s="32">
        <v>3943.337147074873</v>
      </c>
      <c r="H36" s="32">
        <v>3493.3394514161091</v>
      </c>
      <c r="I36" s="32">
        <v>975.29195927867818</v>
      </c>
      <c r="J36" s="32">
        <v>849.47026476201574</v>
      </c>
      <c r="K36" s="32">
        <v>3172.9589841357338</v>
      </c>
      <c r="L36" s="32">
        <v>1780.5421203387857</v>
      </c>
      <c r="M36" s="32">
        <v>1229.515527547748</v>
      </c>
      <c r="N36" s="32">
        <v>3065.8202876302353</v>
      </c>
      <c r="O36" s="16">
        <f t="shared" si="8"/>
        <v>6644.6177335314396</v>
      </c>
      <c r="P36" s="32">
        <v>3411.3475513069925</v>
      </c>
      <c r="Q36" s="33">
        <v>32484.596185630198</v>
      </c>
      <c r="R36" s="33">
        <v>1292.0669138981</v>
      </c>
      <c r="S36" s="33">
        <v>4097.6537639858998</v>
      </c>
      <c r="T36" s="33">
        <v>3983.3621907939701</v>
      </c>
      <c r="U36" s="33">
        <v>867.63524369515198</v>
      </c>
      <c r="V36" s="33">
        <v>1451.0520110283601</v>
      </c>
      <c r="W36" s="33">
        <v>3518.53747345172</v>
      </c>
      <c r="X36" s="33">
        <v>1943.8980885942501</v>
      </c>
      <c r="Y36" s="33">
        <v>1208.70546427</v>
      </c>
      <c r="Z36" s="33">
        <v>3033.5436556609002</v>
      </c>
      <c r="AA36" s="33">
        <v>7414.8157583956372</v>
      </c>
      <c r="AB36" s="34">
        <v>3632.2532888871401</v>
      </c>
      <c r="AC36" s="18">
        <f t="shared" si="13"/>
        <v>0.38571886716034953</v>
      </c>
      <c r="AD36" s="18">
        <f t="shared" si="13"/>
        <v>0.74095054802482707</v>
      </c>
      <c r="AE36" s="18">
        <f t="shared" si="13"/>
        <v>0.89096531747452445</v>
      </c>
      <c r="AF36" s="18">
        <f t="shared" si="13"/>
        <v>1.2731992687793507</v>
      </c>
      <c r="AG36" s="18">
        <f t="shared" si="13"/>
        <v>-0.32062179786660749</v>
      </c>
      <c r="AH36" s="18">
        <f t="shared" si="13"/>
        <v>-4.5546871485260851</v>
      </c>
      <c r="AI36" s="18">
        <f t="shared" si="13"/>
        <v>-2.7702238981622003</v>
      </c>
      <c r="AJ36" s="18">
        <f t="shared" si="13"/>
        <v>6.3855049943157383E-2</v>
      </c>
      <c r="AK36" s="18">
        <f t="shared" si="13"/>
        <v>3.4317727633071229</v>
      </c>
      <c r="AL36" s="18">
        <f t="shared" si="13"/>
        <v>1.0871965702051085</v>
      </c>
      <c r="AM36" s="18">
        <f t="shared" si="13"/>
        <v>1.4834700024290584</v>
      </c>
      <c r="AN36" s="18">
        <f t="shared" si="13"/>
        <v>1.1411759628681608</v>
      </c>
      <c r="AO36" s="17"/>
      <c r="AP36" s="36">
        <f t="shared" si="12"/>
        <v>6.1988873252444551E-2</v>
      </c>
      <c r="AQ36" s="36">
        <f t="shared" si="12"/>
        <v>6.4685949702298157E-2</v>
      </c>
      <c r="AR36" s="36">
        <f t="shared" si="12"/>
        <v>0.70707467781189659</v>
      </c>
      <c r="AS36" s="36">
        <f t="shared" si="12"/>
        <v>0.26730236331822055</v>
      </c>
      <c r="AT36" s="36">
        <f t="shared" si="12"/>
        <v>-6.6619825194025222E-3</v>
      </c>
      <c r="AU36" s="36">
        <f t="shared" si="12"/>
        <v>-1.5130077814995366</v>
      </c>
      <c r="AV36" s="36">
        <f t="shared" si="12"/>
        <v>-2.6849948045822027</v>
      </c>
      <c r="AW36" s="36">
        <f t="shared" si="12"/>
        <v>-0.14624240843234876</v>
      </c>
      <c r="AX36" s="36">
        <f t="shared" si="12"/>
        <v>1.3557330661345315</v>
      </c>
      <c r="AY36" s="6"/>
    </row>
    <row r="37" spans="1:51" x14ac:dyDescent="0.25">
      <c r="A37" s="1" t="str">
        <f t="shared" si="5"/>
        <v>20192</v>
      </c>
      <c r="B37" s="1">
        <f t="shared" si="6"/>
        <v>2</v>
      </c>
      <c r="C37" s="1">
        <f t="shared" si="7"/>
        <v>2019</v>
      </c>
      <c r="D37" s="35">
        <f t="shared" si="11"/>
        <v>43617</v>
      </c>
      <c r="E37" s="32">
        <v>31724.114866244363</v>
      </c>
      <c r="F37" s="32">
        <v>925.80284048616784</v>
      </c>
      <c r="G37" s="32">
        <v>4063.07981314876</v>
      </c>
      <c r="H37" s="32">
        <v>3991.8060909593264</v>
      </c>
      <c r="I37" s="32">
        <v>785.98827256804725</v>
      </c>
      <c r="J37" s="32">
        <v>1272.7433514861441</v>
      </c>
      <c r="K37" s="32">
        <v>3643.2853869403466</v>
      </c>
      <c r="L37" s="32">
        <v>1972.7468634881466</v>
      </c>
      <c r="M37" s="32">
        <v>1224.7316282665195</v>
      </c>
      <c r="N37" s="32">
        <v>3054.9268734307075</v>
      </c>
      <c r="O37" s="16">
        <f t="shared" si="8"/>
        <v>7251.2701034088932</v>
      </c>
      <c r="P37" s="32">
        <v>3537.7336420613037</v>
      </c>
      <c r="Q37" s="33">
        <v>32715.883665868801</v>
      </c>
      <c r="R37" s="33">
        <v>1293.53226926758</v>
      </c>
      <c r="S37" s="33">
        <v>4056.78681697304</v>
      </c>
      <c r="T37" s="33">
        <v>4133.2599608301998</v>
      </c>
      <c r="U37" s="33">
        <v>870.09225678587495</v>
      </c>
      <c r="V37" s="33">
        <v>1450.2106932947399</v>
      </c>
      <c r="W37" s="33">
        <v>3642.8076286772798</v>
      </c>
      <c r="X37" s="33">
        <v>1961.90427810695</v>
      </c>
      <c r="Y37" s="33">
        <v>1242.8029160034</v>
      </c>
      <c r="Z37" s="33">
        <v>3047.0503114861299</v>
      </c>
      <c r="AA37" s="33">
        <v>7316.6902250735966</v>
      </c>
      <c r="AB37" s="34">
        <v>3627.4335551266399</v>
      </c>
      <c r="AC37" s="18">
        <f t="shared" si="13"/>
        <v>0.71199124322474461</v>
      </c>
      <c r="AD37" s="18">
        <f t="shared" si="13"/>
        <v>0.11341172455684045</v>
      </c>
      <c r="AE37" s="18">
        <f t="shared" si="13"/>
        <v>-0.99732552740393032</v>
      </c>
      <c r="AF37" s="18">
        <f t="shared" si="13"/>
        <v>3.7630966720189747</v>
      </c>
      <c r="AG37" s="18">
        <f t="shared" si="13"/>
        <v>0.2831850260322426</v>
      </c>
      <c r="AH37" s="18">
        <f t="shared" si="13"/>
        <v>-5.7979846843934979E-2</v>
      </c>
      <c r="AI37" s="18">
        <f t="shared" si="13"/>
        <v>3.5318695953421013</v>
      </c>
      <c r="AJ37" s="18">
        <f t="shared" si="13"/>
        <v>0.92629287606951038</v>
      </c>
      <c r="AK37" s="18">
        <f t="shared" si="13"/>
        <v>2.8209892932016487</v>
      </c>
      <c r="AL37" s="18">
        <f t="shared" si="13"/>
        <v>0.44524349600261814</v>
      </c>
      <c r="AM37" s="18">
        <f t="shared" si="13"/>
        <v>-1.323371160111904</v>
      </c>
      <c r="AN37" s="18">
        <f t="shared" si="13"/>
        <v>-0.13269266698019067</v>
      </c>
      <c r="AO37" s="17"/>
      <c r="AP37" s="36">
        <f t="shared" si="12"/>
        <v>0.20073383575067336</v>
      </c>
      <c r="AQ37" s="36">
        <f t="shared" si="12"/>
        <v>-0.12995749837176679</v>
      </c>
      <c r="AR37" s="36">
        <f t="shared" si="12"/>
        <v>-0.79106656205478043</v>
      </c>
      <c r="AS37" s="36">
        <f t="shared" si="12"/>
        <v>0.88721321394004238</v>
      </c>
      <c r="AT37" s="36">
        <f t="shared" si="12"/>
        <v>0.12613003727244432</v>
      </c>
      <c r="AU37" s="36">
        <f t="shared" si="12"/>
        <v>-7.2224772610491567E-2</v>
      </c>
      <c r="AV37" s="36">
        <f t="shared" si="12"/>
        <v>2.3715742075207973</v>
      </c>
      <c r="AW37" s="36">
        <f t="shared" si="12"/>
        <v>0.11683424396843851</v>
      </c>
      <c r="AX37" s="36">
        <f t="shared" si="12"/>
        <v>1.1305208674916736</v>
      </c>
      <c r="AY37" s="6"/>
    </row>
    <row r="38" spans="1:51" x14ac:dyDescent="0.25">
      <c r="A38" s="1" t="str">
        <f t="shared" si="5"/>
        <v>20193</v>
      </c>
      <c r="B38" s="1">
        <f t="shared" si="6"/>
        <v>3</v>
      </c>
      <c r="C38" s="1">
        <f t="shared" si="7"/>
        <v>2019</v>
      </c>
      <c r="D38" s="35">
        <f t="shared" si="11"/>
        <v>43709</v>
      </c>
      <c r="E38" s="32">
        <v>34172.464636120923</v>
      </c>
      <c r="F38" s="32">
        <v>2195.3868957866162</v>
      </c>
      <c r="G38" s="32">
        <v>4104.0611978920761</v>
      </c>
      <c r="H38" s="32">
        <v>4223.311615857825</v>
      </c>
      <c r="I38" s="32">
        <v>728.83357261466426</v>
      </c>
      <c r="J38" s="32">
        <v>1510.6652325695538</v>
      </c>
      <c r="K38" s="32">
        <v>3775.6962413784172</v>
      </c>
      <c r="L38" s="32">
        <v>1971.0791399561845</v>
      </c>
      <c r="M38" s="32">
        <v>1280.8690109290203</v>
      </c>
      <c r="N38" s="32">
        <v>3072.8425936311987</v>
      </c>
      <c r="O38" s="16">
        <f t="shared" si="8"/>
        <v>7495.0739796681428</v>
      </c>
      <c r="P38" s="32">
        <v>3814.6451558372237</v>
      </c>
      <c r="Q38" s="33">
        <v>33168.048568603001</v>
      </c>
      <c r="R38" s="33">
        <v>1299.7885027848099</v>
      </c>
      <c r="S38" s="33">
        <v>4152.6186879247798</v>
      </c>
      <c r="T38" s="33">
        <v>4206.5097546441402</v>
      </c>
      <c r="U38" s="33">
        <v>867.27876447675806</v>
      </c>
      <c r="V38" s="33">
        <v>1536.2814820856099</v>
      </c>
      <c r="W38" s="33">
        <v>3758.5219734785801</v>
      </c>
      <c r="X38" s="33">
        <v>1963.32567260369</v>
      </c>
      <c r="Y38" s="33">
        <v>1285.2256241309401</v>
      </c>
      <c r="Z38" s="33">
        <v>3073.0000146523098</v>
      </c>
      <c r="AA38" s="33">
        <v>7477.7036328428148</v>
      </c>
      <c r="AB38" s="34">
        <v>3665.5731581923001</v>
      </c>
      <c r="AC38" s="18">
        <f t="shared" si="13"/>
        <v>1.3820959487208455</v>
      </c>
      <c r="AD38" s="18">
        <f t="shared" si="13"/>
        <v>0.48365500156964458</v>
      </c>
      <c r="AE38" s="18">
        <f t="shared" si="13"/>
        <v>2.3622604606875655</v>
      </c>
      <c r="AF38" s="18">
        <f t="shared" si="13"/>
        <v>1.7722038901039099</v>
      </c>
      <c r="AG38" s="18">
        <f t="shared" si="13"/>
        <v>-0.32335563121891653</v>
      </c>
      <c r="AH38" s="18">
        <f t="shared" si="13"/>
        <v>5.9350540710278068</v>
      </c>
      <c r="AI38" s="18">
        <f t="shared" si="13"/>
        <v>3.1765153858348754</v>
      </c>
      <c r="AJ38" s="18">
        <f t="shared" si="13"/>
        <v>7.2449737359846722E-2</v>
      </c>
      <c r="AK38" s="18">
        <f t="shared" si="13"/>
        <v>3.4134702760404707</v>
      </c>
      <c r="AL38" s="18">
        <f t="shared" si="13"/>
        <v>0.85163356405242041</v>
      </c>
      <c r="AM38" s="18">
        <f t="shared" si="13"/>
        <v>2.2006317449034611</v>
      </c>
      <c r="AN38" s="18">
        <f t="shared" si="13"/>
        <v>1.0514211352474803</v>
      </c>
      <c r="AO38" s="17"/>
      <c r="AP38" s="36">
        <f t="shared" si="12"/>
        <v>0.48569100360969347</v>
      </c>
      <c r="AQ38" s="36">
        <f t="shared" si="12"/>
        <v>-1.5119299731312879E-2</v>
      </c>
      <c r="AR38" s="36">
        <f t="shared" si="12"/>
        <v>1.8743778695005082</v>
      </c>
      <c r="AS38" s="36">
        <f t="shared" si="12"/>
        <v>0.39153976316732481</v>
      </c>
      <c r="AT38" s="36">
        <f t="shared" si="12"/>
        <v>-7.2632199321950733E-3</v>
      </c>
      <c r="AU38" s="36">
        <f t="shared" si="12"/>
        <v>1.8479939254878377</v>
      </c>
      <c r="AV38" s="36">
        <f t="shared" si="12"/>
        <v>2.0864510042603777</v>
      </c>
      <c r="AW38" s="36">
        <f t="shared" si="12"/>
        <v>-0.1436206987559894</v>
      </c>
      <c r="AX38" s="36">
        <f t="shared" si="12"/>
        <v>1.3489844496448877</v>
      </c>
      <c r="AY38" s="6"/>
    </row>
    <row r="39" spans="1:51" x14ac:dyDescent="0.25">
      <c r="A39" s="1" t="str">
        <f t="shared" si="5"/>
        <v>20194</v>
      </c>
      <c r="B39" s="1">
        <f t="shared" si="6"/>
        <v>4</v>
      </c>
      <c r="C39" s="1">
        <f t="shared" si="7"/>
        <v>2019</v>
      </c>
      <c r="D39" s="35">
        <f t="shared" si="11"/>
        <v>43800</v>
      </c>
      <c r="E39" s="32">
        <v>36484.249988138719</v>
      </c>
      <c r="F39" s="32">
        <v>1501.1093576154649</v>
      </c>
      <c r="G39" s="32">
        <v>4294.4427786472379</v>
      </c>
      <c r="H39" s="32">
        <v>4700.0092616693546</v>
      </c>
      <c r="I39" s="32">
        <v>957.00681766719822</v>
      </c>
      <c r="J39" s="32">
        <v>2328.0040658826083</v>
      </c>
      <c r="K39" s="32">
        <v>4138.0577015049348</v>
      </c>
      <c r="L39" s="32">
        <v>2091.3548653036751</v>
      </c>
      <c r="M39" s="32">
        <v>1327.6556739186797</v>
      </c>
      <c r="N39" s="32">
        <v>3077.2872154168354</v>
      </c>
      <c r="O39" s="16">
        <f t="shared" si="8"/>
        <v>8156.392175788953</v>
      </c>
      <c r="P39" s="32">
        <v>3912.9300747237803</v>
      </c>
      <c r="Q39" s="33">
        <v>33067.325984167597</v>
      </c>
      <c r="R39" s="33">
        <v>1307.4906084383999</v>
      </c>
      <c r="S39" s="33">
        <v>4098.5248017751901</v>
      </c>
      <c r="T39" s="33">
        <v>4162.2967168940304</v>
      </c>
      <c r="U39" s="33">
        <v>846.85069576138699</v>
      </c>
      <c r="V39" s="33">
        <v>1488.71085846544</v>
      </c>
      <c r="W39" s="33">
        <v>3808.0614228417198</v>
      </c>
      <c r="X39" s="33">
        <v>1953.7980042469201</v>
      </c>
      <c r="Y39" s="33">
        <v>1330.3974440913901</v>
      </c>
      <c r="Z39" s="33">
        <v>3087.2371327698502</v>
      </c>
      <c r="AA39" s="33">
        <v>7410.1727230598608</v>
      </c>
      <c r="AB39" s="34">
        <v>3658.7949574177401</v>
      </c>
      <c r="AC39" s="18">
        <f t="shared" si="13"/>
        <v>-0.30367353155273236</v>
      </c>
      <c r="AD39" s="18">
        <f t="shared" si="13"/>
        <v>0.59256607033285036</v>
      </c>
      <c r="AE39" s="18">
        <f t="shared" si="13"/>
        <v>-1.3026451551375686</v>
      </c>
      <c r="AF39" s="18">
        <f t="shared" si="13"/>
        <v>-1.0510622898543716</v>
      </c>
      <c r="AG39" s="18">
        <f t="shared" si="13"/>
        <v>-2.3554212961383456</v>
      </c>
      <c r="AH39" s="18">
        <f t="shared" si="13"/>
        <v>-3.0964783586136519</v>
      </c>
      <c r="AI39" s="18">
        <f t="shared" si="13"/>
        <v>1.3180566646332466</v>
      </c>
      <c r="AJ39" s="18">
        <f t="shared" si="13"/>
        <v>-0.48528211542890176</v>
      </c>
      <c r="AK39" s="18">
        <f t="shared" si="13"/>
        <v>3.5146996070043883</v>
      </c>
      <c r="AL39" s="18">
        <f t="shared" si="13"/>
        <v>0.4632970403402652</v>
      </c>
      <c r="AM39" s="18">
        <f t="shared" si="13"/>
        <v>-0.90309690111749319</v>
      </c>
      <c r="AN39" s="18">
        <f t="shared" si="13"/>
        <v>-0.18491516829806187</v>
      </c>
      <c r="AO39" s="17"/>
      <c r="AP39" s="36">
        <f t="shared" si="12"/>
        <v>-0.23117024631436961</v>
      </c>
      <c r="AQ39" s="36">
        <f t="shared" si="12"/>
        <v>1.8661599815826293E-2</v>
      </c>
      <c r="AR39" s="36">
        <f t="shared" si="12"/>
        <v>-1.0333025115056436</v>
      </c>
      <c r="AS39" s="36">
        <f t="shared" si="12"/>
        <v>-0.31137005828660175</v>
      </c>
      <c r="AT39" s="36">
        <f t="shared" si="12"/>
        <v>-0.4541646018210444</v>
      </c>
      <c r="AU39" s="36">
        <f t="shared" si="12"/>
        <v>-1.0457853658594192</v>
      </c>
      <c r="AV39" s="36">
        <f t="shared" si="12"/>
        <v>0.59529179032823787</v>
      </c>
      <c r="AW39" s="36">
        <f t="shared" si="12"/>
        <v>-0.31375032934973873</v>
      </c>
      <c r="AX39" s="36">
        <f t="shared" si="12"/>
        <v>1.3863104109869528</v>
      </c>
      <c r="AY39" s="6"/>
    </row>
    <row r="40" spans="1:51" x14ac:dyDescent="0.25">
      <c r="A40" s="1" t="str">
        <f t="shared" si="5"/>
        <v>20201</v>
      </c>
      <c r="B40" s="1">
        <f t="shared" si="6"/>
        <v>1</v>
      </c>
      <c r="C40" s="1">
        <f t="shared" si="7"/>
        <v>2020</v>
      </c>
      <c r="D40" s="35">
        <f t="shared" si="11"/>
        <v>43891</v>
      </c>
      <c r="E40" s="32">
        <v>29656.556682411796</v>
      </c>
      <c r="F40" s="32">
        <v>661.59384342224632</v>
      </c>
      <c r="G40" s="32">
        <v>4000.5748899289747</v>
      </c>
      <c r="H40" s="32">
        <v>3670.1065010563329</v>
      </c>
      <c r="I40" s="32">
        <v>943.17742151621053</v>
      </c>
      <c r="J40" s="32">
        <v>855.99236224879621</v>
      </c>
      <c r="K40" s="32">
        <v>3384.4220761617148</v>
      </c>
      <c r="L40" s="32">
        <v>1684.4477780454033</v>
      </c>
      <c r="M40" s="32">
        <v>1403.520325788701</v>
      </c>
      <c r="N40" s="32">
        <v>3034.5098610775349</v>
      </c>
      <c r="O40" s="16">
        <f t="shared" si="8"/>
        <v>6666.1093228748823</v>
      </c>
      <c r="P40" s="32">
        <v>3352.102300290996</v>
      </c>
      <c r="Q40" s="33">
        <v>32890.241674917801</v>
      </c>
      <c r="R40" s="33">
        <v>1313.2036850662801</v>
      </c>
      <c r="S40" s="33">
        <v>4157.1319753648504</v>
      </c>
      <c r="T40" s="33">
        <v>4150.7979477928593</v>
      </c>
      <c r="U40" s="33">
        <v>831.14966466894202</v>
      </c>
      <c r="V40" s="33">
        <v>1472.64994765561</v>
      </c>
      <c r="W40" s="33">
        <v>3730.7666078566199</v>
      </c>
      <c r="X40" s="33">
        <v>1825.10948547108</v>
      </c>
      <c r="Y40" s="33">
        <v>1359.0478304078499</v>
      </c>
      <c r="Z40" s="33">
        <v>3036.4411860554405</v>
      </c>
      <c r="AA40" s="33">
        <v>7382.0134374825802</v>
      </c>
      <c r="AB40" s="34">
        <v>3629.7492476479902</v>
      </c>
      <c r="AC40" s="18">
        <f t="shared" si="13"/>
        <v>-0.53552654767000263</v>
      </c>
      <c r="AD40" s="18">
        <f t="shared" si="13"/>
        <v>0.43694972575775637</v>
      </c>
      <c r="AE40" s="18">
        <f t="shared" si="13"/>
        <v>1.4299577634439515</v>
      </c>
      <c r="AF40" s="18">
        <f t="shared" si="13"/>
        <v>-0.2762601967922933</v>
      </c>
      <c r="AG40" s="18">
        <f t="shared" si="13"/>
        <v>-1.8540495002284274</v>
      </c>
      <c r="AH40" s="18">
        <f t="shared" si="13"/>
        <v>-1.0788468908183688</v>
      </c>
      <c r="AI40" s="18">
        <f t="shared" si="13"/>
        <v>-2.0297680736310042</v>
      </c>
      <c r="AJ40" s="18">
        <f t="shared" si="13"/>
        <v>-6.5865825687258024</v>
      </c>
      <c r="AK40" s="18">
        <f t="shared" si="13"/>
        <v>2.1535208477513947</v>
      </c>
      <c r="AL40" s="18">
        <f t="shared" si="13"/>
        <v>-1.6453529330555767</v>
      </c>
      <c r="AM40" s="18">
        <f t="shared" si="13"/>
        <v>-0.38000849143031701</v>
      </c>
      <c r="AN40" s="18">
        <f t="shared" si="13"/>
        <v>-0.79386000330144668</v>
      </c>
      <c r="AO40" s="17"/>
      <c r="AP40" s="36">
        <f t="shared" si="12"/>
        <v>-0.3297640605205191</v>
      </c>
      <c r="AQ40" s="36">
        <f t="shared" si="12"/>
        <v>-2.960585512407243E-2</v>
      </c>
      <c r="AR40" s="36">
        <f t="shared" si="12"/>
        <v>1.1347030876373896</v>
      </c>
      <c r="AS40" s="36">
        <f t="shared" si="12"/>
        <v>-0.11846724070514307</v>
      </c>
      <c r="AT40" s="36">
        <f t="shared" si="12"/>
        <v>-0.34390057231630855</v>
      </c>
      <c r="AU40" s="36">
        <f t="shared" si="12"/>
        <v>-0.39931919806774285</v>
      </c>
      <c r="AV40" s="36">
        <f t="shared" si="12"/>
        <v>-2.0908801693399912</v>
      </c>
      <c r="AW40" s="36">
        <f t="shared" si="12"/>
        <v>-2.1748812421183943</v>
      </c>
      <c r="AX40" s="36">
        <f t="shared" si="12"/>
        <v>0.88440740260267858</v>
      </c>
      <c r="AY40" s="6"/>
    </row>
    <row r="41" spans="1:51" x14ac:dyDescent="0.25">
      <c r="A41" s="1" t="str">
        <f t="shared" si="5"/>
        <v>20202</v>
      </c>
      <c r="B41" s="1">
        <f t="shared" si="6"/>
        <v>2</v>
      </c>
      <c r="C41" s="1">
        <f t="shared" si="7"/>
        <v>2020</v>
      </c>
      <c r="D41" s="35">
        <f t="shared" si="11"/>
        <v>43983</v>
      </c>
      <c r="E41" s="32">
        <v>29402.852727791222</v>
      </c>
      <c r="F41" s="32">
        <v>937.53997040774834</v>
      </c>
      <c r="G41" s="32">
        <v>3710.3855296081556</v>
      </c>
      <c r="H41" s="32">
        <v>3721.3277353707658</v>
      </c>
      <c r="I41" s="32">
        <v>743.91893661176596</v>
      </c>
      <c r="J41" s="32">
        <v>1165.31196943285</v>
      </c>
      <c r="K41" s="32">
        <v>3225.8199690729261</v>
      </c>
      <c r="L41" s="32">
        <v>1591.990338653341</v>
      </c>
      <c r="M41" s="32">
        <v>1362.9335914704159</v>
      </c>
      <c r="N41" s="32">
        <v>2945.9268257636604</v>
      </c>
      <c r="O41" s="16">
        <f t="shared" si="8"/>
        <v>6790.3277807080412</v>
      </c>
      <c r="P41" s="32">
        <v>3207.3700806915535</v>
      </c>
      <c r="Q41" s="33">
        <v>30346.414579692599</v>
      </c>
      <c r="R41" s="33">
        <v>1314.20013492865</v>
      </c>
      <c r="S41" s="33">
        <v>3704.6462372440601</v>
      </c>
      <c r="T41" s="33">
        <v>3864.4741949785475</v>
      </c>
      <c r="U41" s="33">
        <v>827.29675527408301</v>
      </c>
      <c r="V41" s="33">
        <v>1350.56239348289</v>
      </c>
      <c r="W41" s="33">
        <v>3223.07175564206</v>
      </c>
      <c r="X41" s="33">
        <v>1586.84705205968</v>
      </c>
      <c r="Y41" s="33">
        <v>1383.0332082955299</v>
      </c>
      <c r="Z41" s="33">
        <v>2975.1658619959699</v>
      </c>
      <c r="AA41" s="33">
        <v>6633.0018658110339</v>
      </c>
      <c r="AB41" s="34">
        <v>3352.1825776545902</v>
      </c>
      <c r="AC41" s="18">
        <f t="shared" si="13"/>
        <v>-7.7342912842295419</v>
      </c>
      <c r="AD41" s="18">
        <f t="shared" si="13"/>
        <v>7.5879307505871907E-2</v>
      </c>
      <c r="AE41" s="18">
        <f t="shared" si="13"/>
        <v>-10.884565147371291</v>
      </c>
      <c r="AF41" s="18">
        <f t="shared" si="13"/>
        <v>-6.8980412059459866</v>
      </c>
      <c r="AG41" s="18">
        <f t="shared" si="13"/>
        <v>-0.46356385121008259</v>
      </c>
      <c r="AH41" s="18">
        <f t="shared" si="13"/>
        <v>-8.2903309348618563</v>
      </c>
      <c r="AI41" s="18">
        <f t="shared" si="13"/>
        <v>-13.608325193685545</v>
      </c>
      <c r="AJ41" s="18">
        <f t="shared" si="13"/>
        <v>-13.054692625735925</v>
      </c>
      <c r="AK41" s="18">
        <f t="shared" si="13"/>
        <v>1.7648663535618141</v>
      </c>
      <c r="AL41" s="18">
        <f t="shared" si="13"/>
        <v>-2.0179980544616285</v>
      </c>
      <c r="AM41" s="18">
        <f t="shared" si="13"/>
        <v>-10.146440100859195</v>
      </c>
      <c r="AN41" s="18">
        <f t="shared" si="13"/>
        <v>-7.6469929754309618</v>
      </c>
      <c r="AO41" s="17"/>
      <c r="AP41" s="36">
        <f t="shared" si="12"/>
        <v>-3.3909865748359742</v>
      </c>
      <c r="AQ41" s="36">
        <f t="shared" si="12"/>
        <v>-0.14159891209176911</v>
      </c>
      <c r="AR41" s="36">
        <f t="shared" si="12"/>
        <v>-8.6354521148906738</v>
      </c>
      <c r="AS41" s="36">
        <f t="shared" si="12"/>
        <v>-1.7670949683677195</v>
      </c>
      <c r="AT41" s="36">
        <f t="shared" si="12"/>
        <v>-3.8098467211820919E-2</v>
      </c>
      <c r="AU41" s="36">
        <f t="shared" si="12"/>
        <v>-2.7099396103960043</v>
      </c>
      <c r="AV41" s="36">
        <f t="shared" si="12"/>
        <v>-11.381090350842179</v>
      </c>
      <c r="AW41" s="36">
        <f t="shared" si="12"/>
        <v>-4.1479031685810579</v>
      </c>
      <c r="AX41" s="36">
        <f t="shared" si="12"/>
        <v>0.74110009742340111</v>
      </c>
      <c r="AY41" s="6"/>
    </row>
    <row r="42" spans="1:51" x14ac:dyDescent="0.25">
      <c r="A42" s="1" t="str">
        <f t="shared" si="5"/>
        <v>20203</v>
      </c>
      <c r="B42" s="1">
        <f t="shared" si="6"/>
        <v>3</v>
      </c>
      <c r="C42" s="1">
        <f t="shared" si="7"/>
        <v>2020</v>
      </c>
      <c r="D42" s="35">
        <f t="shared" si="11"/>
        <v>44075</v>
      </c>
      <c r="E42" s="32">
        <v>33034.592588034073</v>
      </c>
      <c r="F42" s="32">
        <v>2225.139547883397</v>
      </c>
      <c r="G42" s="32">
        <v>3644.4218445824517</v>
      </c>
      <c r="H42" s="32">
        <v>4219.612767199621</v>
      </c>
      <c r="I42" s="32">
        <v>706.741028965493</v>
      </c>
      <c r="J42" s="32">
        <v>1409.9357801856975</v>
      </c>
      <c r="K42" s="32">
        <v>3772.8319102192131</v>
      </c>
      <c r="L42" s="32">
        <v>1773.8632423699298</v>
      </c>
      <c r="M42" s="32">
        <v>1470.7142029168622</v>
      </c>
      <c r="N42" s="32">
        <v>3009.3191402958714</v>
      </c>
      <c r="O42" s="16">
        <f t="shared" si="8"/>
        <v>7344.6291583475559</v>
      </c>
      <c r="P42" s="32">
        <v>3457.3839650679806</v>
      </c>
      <c r="Q42" s="33">
        <v>32350.6210198968</v>
      </c>
      <c r="R42" s="33">
        <v>1313.9653150238801</v>
      </c>
      <c r="S42" s="33">
        <v>3687.5427919591798</v>
      </c>
      <c r="T42" s="33">
        <v>4159.9216137071116</v>
      </c>
      <c r="U42" s="33">
        <v>833.82579096691302</v>
      </c>
      <c r="V42" s="33">
        <v>1439.70597464513</v>
      </c>
      <c r="W42" s="33">
        <v>3762.5236185752001</v>
      </c>
      <c r="X42" s="33">
        <v>1779.37728521705</v>
      </c>
      <c r="Y42" s="33">
        <v>1474.1904615452399</v>
      </c>
      <c r="Z42" s="33">
        <v>3071.4720295199895</v>
      </c>
      <c r="AA42" s="33">
        <v>7483.0012694482693</v>
      </c>
      <c r="AB42" s="34">
        <v>3366.9631012533</v>
      </c>
      <c r="AC42" s="18">
        <f t="shared" si="13"/>
        <v>6.6044258208526117</v>
      </c>
      <c r="AD42" s="18">
        <f t="shared" si="13"/>
        <v>-1.7867895347805529E-2</v>
      </c>
      <c r="AE42" s="18">
        <f t="shared" si="13"/>
        <v>-0.46167553362946023</v>
      </c>
      <c r="AF42" s="18">
        <f t="shared" ref="AF42:AN54" si="14">T42/T41*100-100</f>
        <v>7.6452164983392947</v>
      </c>
      <c r="AG42" s="18">
        <f t="shared" si="14"/>
        <v>0.7892011725184318</v>
      </c>
      <c r="AH42" s="18">
        <f t="shared" si="14"/>
        <v>6.6004785556299055</v>
      </c>
      <c r="AI42" s="18">
        <f t="shared" si="14"/>
        <v>16.737196805774417</v>
      </c>
      <c r="AJ42" s="18">
        <f t="shared" si="14"/>
        <v>12.132879026209338</v>
      </c>
      <c r="AK42" s="18">
        <f t="shared" si="14"/>
        <v>6.5911109511284707</v>
      </c>
      <c r="AL42" s="18">
        <f t="shared" si="14"/>
        <v>3.2370016325546942</v>
      </c>
      <c r="AM42" s="18">
        <f t="shared" si="14"/>
        <v>12.814701711731004</v>
      </c>
      <c r="AN42" s="18">
        <f t="shared" si="14"/>
        <v>0.44092239179440185</v>
      </c>
      <c r="AO42" s="17"/>
      <c r="AP42" s="36">
        <f t="shared" si="12"/>
        <v>2.7064489206676061</v>
      </c>
      <c r="AQ42" s="36">
        <f t="shared" si="12"/>
        <v>-0.17067644184506486</v>
      </c>
      <c r="AR42" s="36">
        <f t="shared" si="12"/>
        <v>-0.36609000296993444</v>
      </c>
      <c r="AS42" s="36">
        <f t="shared" si="12"/>
        <v>1.8537462930214794</v>
      </c>
      <c r="AT42" s="36">
        <f t="shared" si="12"/>
        <v>0.23741547407043026</v>
      </c>
      <c r="AU42" s="36">
        <f t="shared" si="12"/>
        <v>2.0612015520448979</v>
      </c>
      <c r="AV42" s="36">
        <f t="shared" si="12"/>
        <v>12.967045130917537</v>
      </c>
      <c r="AW42" s="36">
        <f t="shared" si="12"/>
        <v>3.535273324338601</v>
      </c>
      <c r="AX42" s="36">
        <f t="shared" si="12"/>
        <v>2.5206655411615939</v>
      </c>
      <c r="AY42" s="6"/>
    </row>
    <row r="43" spans="1:51" x14ac:dyDescent="0.25">
      <c r="A43" s="1" t="str">
        <f t="shared" si="5"/>
        <v>20204</v>
      </c>
      <c r="B43" s="1">
        <f t="shared" si="6"/>
        <v>4</v>
      </c>
      <c r="C43" s="1">
        <f t="shared" si="7"/>
        <v>2020</v>
      </c>
      <c r="D43" s="35">
        <f t="shared" si="11"/>
        <v>44166</v>
      </c>
      <c r="E43" s="32">
        <v>36008.903471356702</v>
      </c>
      <c r="F43" s="32">
        <v>1455.2235835351121</v>
      </c>
      <c r="G43" s="32">
        <v>3980.0029743106584</v>
      </c>
      <c r="H43" s="32">
        <v>4820.551780147146</v>
      </c>
      <c r="I43" s="32">
        <v>966.45417416768782</v>
      </c>
      <c r="J43" s="32">
        <v>2329.8740233654198</v>
      </c>
      <c r="K43" s="32">
        <v>4153.0901639811464</v>
      </c>
      <c r="L43" s="32">
        <v>1914.9991209513605</v>
      </c>
      <c r="M43" s="32">
        <v>1478.0021567834256</v>
      </c>
      <c r="N43" s="32">
        <v>3051.3527286853105</v>
      </c>
      <c r="O43" s="16">
        <f t="shared" si="8"/>
        <v>8116.9500492933266</v>
      </c>
      <c r="P43" s="32">
        <v>3742.4027161361078</v>
      </c>
      <c r="Q43" s="33">
        <v>32603.6761607769</v>
      </c>
      <c r="R43" s="33">
        <v>1328.8821840462397</v>
      </c>
      <c r="S43" s="33">
        <v>3798.4200182647101</v>
      </c>
      <c r="T43" s="33">
        <v>4270.2698497465999</v>
      </c>
      <c r="U43" s="33">
        <v>862.85370713172495</v>
      </c>
      <c r="V43" s="33">
        <v>1509.3305215713899</v>
      </c>
      <c r="W43" s="33">
        <v>3822.6404340863701</v>
      </c>
      <c r="X43" s="33">
        <v>1780.4162108820699</v>
      </c>
      <c r="Y43" s="33">
        <v>1479.33191735522</v>
      </c>
      <c r="Z43" s="33">
        <v>3099.3519602857396</v>
      </c>
      <c r="AA43" s="33">
        <v>7396.299677877395</v>
      </c>
      <c r="AB43" s="34">
        <v>3406.7741363822302</v>
      </c>
      <c r="AC43" s="18">
        <f t="shared" ref="AC43:AE54" si="15">Q43/Q42*100-100</f>
        <v>0.78222653198669434</v>
      </c>
      <c r="AD43" s="18">
        <f t="shared" si="15"/>
        <v>1.1352559197567871</v>
      </c>
      <c r="AE43" s="18">
        <f t="shared" si="15"/>
        <v>3.0068051426359546</v>
      </c>
      <c r="AF43" s="18">
        <f t="shared" si="14"/>
        <v>2.6526518114160353</v>
      </c>
      <c r="AG43" s="18">
        <f t="shared" si="14"/>
        <v>3.4812926727956892</v>
      </c>
      <c r="AH43" s="18">
        <f t="shared" si="14"/>
        <v>4.8360254213310157</v>
      </c>
      <c r="AI43" s="18">
        <f t="shared" si="14"/>
        <v>1.5977790867379298</v>
      </c>
      <c r="AJ43" s="18">
        <f t="shared" si="14"/>
        <v>5.8387036501542866E-2</v>
      </c>
      <c r="AK43" s="18">
        <f t="shared" si="14"/>
        <v>0.348764691137049</v>
      </c>
      <c r="AL43" s="18">
        <f t="shared" si="14"/>
        <v>0.90770583283179462</v>
      </c>
      <c r="AM43" s="18">
        <f t="shared" si="14"/>
        <v>-1.1586472920278794</v>
      </c>
      <c r="AN43" s="18">
        <f t="shared" si="14"/>
        <v>1.1824018835879428</v>
      </c>
      <c r="AO43" s="17"/>
      <c r="AP43" s="36">
        <f t="shared" si="12"/>
        <v>0.23060088310195048</v>
      </c>
      <c r="AQ43" s="36">
        <f t="shared" si="12"/>
        <v>0.18698747795499585</v>
      </c>
      <c r="AR43" s="36">
        <f t="shared" si="12"/>
        <v>2.3857498181506047</v>
      </c>
      <c r="AS43" s="36">
        <f t="shared" si="12"/>
        <v>0.61074526903221349</v>
      </c>
      <c r="AT43" s="36">
        <f t="shared" si="12"/>
        <v>0.82947282360142327</v>
      </c>
      <c r="AU43" s="36">
        <f t="shared" si="12"/>
        <v>1.495855861226226</v>
      </c>
      <c r="AV43" s="36">
        <f t="shared" si="12"/>
        <v>0.8197308173059914</v>
      </c>
      <c r="AW43" s="36">
        <f t="shared" si="12"/>
        <v>-0.14791036248993403</v>
      </c>
      <c r="AX43" s="36">
        <f t="shared" si="12"/>
        <v>0.21894554592348306</v>
      </c>
      <c r="AY43" s="6"/>
    </row>
    <row r="44" spans="1:51" x14ac:dyDescent="0.25">
      <c r="A44" s="1" t="str">
        <f t="shared" si="5"/>
        <v>20211</v>
      </c>
      <c r="B44" s="1">
        <f t="shared" si="6"/>
        <v>1</v>
      </c>
      <c r="C44" s="1">
        <f t="shared" si="7"/>
        <v>2021</v>
      </c>
      <c r="D44" s="35">
        <f t="shared" si="11"/>
        <v>44256</v>
      </c>
      <c r="E44" s="32">
        <v>29819.358322661585</v>
      </c>
      <c r="F44" s="32">
        <v>659.65672672960636</v>
      </c>
      <c r="G44" s="32">
        <v>3691.4804297802234</v>
      </c>
      <c r="H44" s="32">
        <v>3723.840192750904</v>
      </c>
      <c r="I44" s="32">
        <v>1012.1973645216173</v>
      </c>
      <c r="J44" s="32">
        <v>872.73333064629344</v>
      </c>
      <c r="K44" s="32">
        <v>3417.5343474103965</v>
      </c>
      <c r="L44" s="32">
        <v>1639.2065316583255</v>
      </c>
      <c r="M44" s="32">
        <v>1585.0966438134046</v>
      </c>
      <c r="N44" s="32">
        <v>3148.1563072197164</v>
      </c>
      <c r="O44" s="16">
        <f t="shared" si="8"/>
        <v>6907.4803588883988</v>
      </c>
      <c r="P44" s="32">
        <v>3161.9760892426989</v>
      </c>
      <c r="Q44" s="33">
        <v>33122.064974492801</v>
      </c>
      <c r="R44" s="33">
        <v>1333.4812778790242</v>
      </c>
      <c r="S44" s="33">
        <v>3835.9429940222399</v>
      </c>
      <c r="T44" s="33">
        <v>4225.1791230018871</v>
      </c>
      <c r="U44" s="33">
        <v>889.94528272669095</v>
      </c>
      <c r="V44" s="33">
        <v>1489.7266061932503</v>
      </c>
      <c r="W44" s="33">
        <v>3760.1453378600499</v>
      </c>
      <c r="X44" s="33">
        <v>1777.6436888570299</v>
      </c>
      <c r="Y44" s="33">
        <v>1566.7422238791901</v>
      </c>
      <c r="Z44" s="33">
        <v>3113.4697488826023</v>
      </c>
      <c r="AA44" s="33">
        <v>7768.5379890866043</v>
      </c>
      <c r="AB44" s="34">
        <v>3409.6369413981001</v>
      </c>
      <c r="AC44" s="18">
        <f t="shared" si="15"/>
        <v>1.5899704412459386</v>
      </c>
      <c r="AD44" s="18">
        <f t="shared" si="15"/>
        <v>0.3460874024799665</v>
      </c>
      <c r="AE44" s="18">
        <f t="shared" si="15"/>
        <v>0.98785746644922767</v>
      </c>
      <c r="AF44" s="18">
        <f t="shared" si="14"/>
        <v>-1.055922185980549</v>
      </c>
      <c r="AG44" s="18">
        <f t="shared" si="14"/>
        <v>3.1397646404073782</v>
      </c>
      <c r="AH44" s="18">
        <f t="shared" si="14"/>
        <v>-1.298848403180088</v>
      </c>
      <c r="AI44" s="18">
        <f t="shared" si="14"/>
        <v>-1.6348672417382772</v>
      </c>
      <c r="AJ44" s="18">
        <f t="shared" si="14"/>
        <v>-0.15572325213025806</v>
      </c>
      <c r="AK44" s="18">
        <f t="shared" si="14"/>
        <v>5.90876905300901</v>
      </c>
      <c r="AL44" s="18">
        <f t="shared" si="14"/>
        <v>0.45550775703321733</v>
      </c>
      <c r="AM44" s="18">
        <f t="shared" si="14"/>
        <v>5.0327640498746717</v>
      </c>
      <c r="AN44" s="18">
        <f t="shared" si="14"/>
        <v>8.4032721315367098E-2</v>
      </c>
      <c r="AO44" s="17"/>
      <c r="AP44" s="36">
        <f t="shared" si="12"/>
        <v>0.57408812449877555</v>
      </c>
      <c r="AQ44" s="36">
        <f t="shared" si="12"/>
        <v>-5.7788583015029149E-2</v>
      </c>
      <c r="AR44" s="36">
        <f t="shared" si="12"/>
        <v>0.78394743530686395</v>
      </c>
      <c r="AS44" s="36">
        <f t="shared" si="12"/>
        <v>-0.31258002876072349</v>
      </c>
      <c r="AT44" s="36">
        <f t="shared" si="12"/>
        <v>0.75436238191490046</v>
      </c>
      <c r="AU44" s="36">
        <f t="shared" si="12"/>
        <v>-0.4698095412622138</v>
      </c>
      <c r="AV44" s="36">
        <f t="shared" si="12"/>
        <v>-1.7740262046280038</v>
      </c>
      <c r="AW44" s="36">
        <f t="shared" si="12"/>
        <v>-0.21322222181643832</v>
      </c>
      <c r="AX44" s="36">
        <f t="shared" si="12"/>
        <v>2.2690678365362746</v>
      </c>
      <c r="AY44" s="6"/>
    </row>
    <row r="45" spans="1:51" x14ac:dyDescent="0.25">
      <c r="A45" s="1" t="str">
        <f t="shared" si="5"/>
        <v>20212</v>
      </c>
      <c r="B45" s="1">
        <f t="shared" si="6"/>
        <v>2</v>
      </c>
      <c r="C45" s="1">
        <f t="shared" si="7"/>
        <v>2021</v>
      </c>
      <c r="D45" s="35">
        <f t="shared" si="11"/>
        <v>44348</v>
      </c>
      <c r="E45" s="32">
        <v>32705.467696786487</v>
      </c>
      <c r="F45" s="32">
        <v>933.91485939868505</v>
      </c>
      <c r="G45" s="32">
        <v>3975.7448439068858</v>
      </c>
      <c r="H45" s="32">
        <v>4175.5291587683141</v>
      </c>
      <c r="I45" s="32">
        <v>813.76367155446417</v>
      </c>
      <c r="J45" s="32">
        <v>1283.0218442144139</v>
      </c>
      <c r="K45" s="32">
        <v>3813.2899928467195</v>
      </c>
      <c r="L45" s="32">
        <v>1906.6573800077801</v>
      </c>
      <c r="M45" s="32">
        <v>1624.8962000484089</v>
      </c>
      <c r="N45" s="32">
        <v>3149.8129797077841</v>
      </c>
      <c r="O45" s="16">
        <f t="shared" si="8"/>
        <v>7525.3642580086471</v>
      </c>
      <c r="P45" s="32">
        <v>3503.4725083243839</v>
      </c>
      <c r="Q45" s="33">
        <v>33671.586692437901</v>
      </c>
      <c r="R45" s="33">
        <v>1345.7979798648687</v>
      </c>
      <c r="S45" s="33">
        <v>3969.6035508937598</v>
      </c>
      <c r="T45" s="33">
        <v>4207.8613512848042</v>
      </c>
      <c r="U45" s="33">
        <v>899.04862773863704</v>
      </c>
      <c r="V45" s="33">
        <v>1461.5163072270391</v>
      </c>
      <c r="W45" s="33">
        <v>3805.98472547446</v>
      </c>
      <c r="X45" s="33">
        <v>1907.27173742174</v>
      </c>
      <c r="Y45" s="33">
        <v>1646.63213140115</v>
      </c>
      <c r="Z45" s="33">
        <v>3130.2870983491239</v>
      </c>
      <c r="AA45" s="33">
        <v>7365.08931050918</v>
      </c>
      <c r="AB45" s="34">
        <v>3652.7330360809401</v>
      </c>
      <c r="AC45" s="18">
        <f t="shared" si="15"/>
        <v>1.6590804902057954</v>
      </c>
      <c r="AD45" s="18">
        <f t="shared" si="15"/>
        <v>0.92365016218562346</v>
      </c>
      <c r="AE45" s="18">
        <f t="shared" si="15"/>
        <v>3.4844250052675534</v>
      </c>
      <c r="AF45" s="18">
        <f t="shared" si="14"/>
        <v>-0.40987071110913575</v>
      </c>
      <c r="AG45" s="18">
        <f t="shared" si="14"/>
        <v>1.0229106427818095</v>
      </c>
      <c r="AH45" s="18">
        <f t="shared" si="14"/>
        <v>-1.8936561144126927</v>
      </c>
      <c r="AI45" s="18">
        <f t="shared" si="14"/>
        <v>1.2190855271700229</v>
      </c>
      <c r="AJ45" s="18">
        <f t="shared" si="14"/>
        <v>7.2921277406304625</v>
      </c>
      <c r="AK45" s="18">
        <f t="shared" si="14"/>
        <v>5.0991098793620182</v>
      </c>
      <c r="AL45" s="18">
        <f t="shared" si="14"/>
        <v>0.54014815697365748</v>
      </c>
      <c r="AM45" s="18">
        <f t="shared" si="14"/>
        <v>-5.1933668747478237</v>
      </c>
      <c r="AN45" s="18">
        <f t="shared" si="14"/>
        <v>7.1296768207573393</v>
      </c>
      <c r="AO45" s="17"/>
      <c r="AP45" s="36">
        <f t="shared" si="12"/>
        <v>0.60347667178202336</v>
      </c>
      <c r="AQ45" s="36">
        <f t="shared" si="12"/>
        <v>0.12135381076870244</v>
      </c>
      <c r="AR45" s="36">
        <f t="shared" si="12"/>
        <v>2.7646861536884244</v>
      </c>
      <c r="AS45" s="36">
        <f t="shared" si="12"/>
        <v>-0.15173230916716349</v>
      </c>
      <c r="AT45" s="36">
        <f t="shared" si="12"/>
        <v>0.28881395347210631</v>
      </c>
      <c r="AU45" s="36">
        <f t="shared" si="12"/>
        <v>-0.66039095704160689</v>
      </c>
      <c r="AV45" s="36">
        <f t="shared" si="12"/>
        <v>0.51588097433432223</v>
      </c>
      <c r="AW45" s="36">
        <f t="shared" si="12"/>
        <v>2.0586583096252702</v>
      </c>
      <c r="AX45" s="36">
        <f t="shared" si="12"/>
        <v>1.9705248477797028</v>
      </c>
      <c r="AY45" s="6"/>
    </row>
    <row r="46" spans="1:51" x14ac:dyDescent="0.25">
      <c r="A46" s="1" t="str">
        <f t="shared" si="5"/>
        <v>20213</v>
      </c>
      <c r="B46" s="1">
        <f t="shared" si="6"/>
        <v>3</v>
      </c>
      <c r="C46" s="1">
        <f t="shared" si="7"/>
        <v>2021</v>
      </c>
      <c r="D46" s="35">
        <f t="shared" si="11"/>
        <v>44440</v>
      </c>
      <c r="E46" s="32">
        <v>34674.504656885008</v>
      </c>
      <c r="F46" s="32">
        <v>2114.2352204825079</v>
      </c>
      <c r="G46" s="32">
        <v>3944.7948988953694</v>
      </c>
      <c r="H46" s="32">
        <v>4395.9055683081588</v>
      </c>
      <c r="I46" s="32">
        <v>755.12649493392155</v>
      </c>
      <c r="J46" s="32">
        <v>1461.4269465252037</v>
      </c>
      <c r="K46" s="32">
        <v>3891.6063925535277</v>
      </c>
      <c r="L46" s="32">
        <v>1914.9205531787622</v>
      </c>
      <c r="M46" s="32">
        <v>1676.4638796196602</v>
      </c>
      <c r="N46" s="32">
        <v>3170.1828959733471</v>
      </c>
      <c r="O46" s="16">
        <f t="shared" si="8"/>
        <v>7882.9671828375303</v>
      </c>
      <c r="P46" s="32">
        <v>3466.8746235770182</v>
      </c>
      <c r="Q46" s="33">
        <v>33901.190233661197</v>
      </c>
      <c r="R46" s="33">
        <v>1353.7341522804772</v>
      </c>
      <c r="S46" s="33">
        <v>3991.4695988479998</v>
      </c>
      <c r="T46" s="33">
        <v>4324.0704114724413</v>
      </c>
      <c r="U46" s="33">
        <v>908.62683784747298</v>
      </c>
      <c r="V46" s="33">
        <v>1486.1604874585055</v>
      </c>
      <c r="W46" s="33">
        <v>3888.9789169803098</v>
      </c>
      <c r="X46" s="33">
        <v>1906.29401616515</v>
      </c>
      <c r="Y46" s="33">
        <v>1677.36492428112</v>
      </c>
      <c r="Z46" s="33">
        <v>3146.2360562051554</v>
      </c>
      <c r="AA46" s="33">
        <v>7746.5099283565714</v>
      </c>
      <c r="AB46" s="34">
        <v>3422.0804699645</v>
      </c>
      <c r="AC46" s="18">
        <f t="shared" si="15"/>
        <v>0.68189106536775057</v>
      </c>
      <c r="AD46" s="18">
        <f t="shared" si="15"/>
        <v>0.58970012842532071</v>
      </c>
      <c r="AE46" s="18">
        <f t="shared" si="15"/>
        <v>0.55083707160925144</v>
      </c>
      <c r="AF46" s="18">
        <f t="shared" si="14"/>
        <v>2.7617131479903634</v>
      </c>
      <c r="AG46" s="18">
        <f t="shared" si="14"/>
        <v>1.0653717511285095</v>
      </c>
      <c r="AH46" s="18">
        <f t="shared" si="14"/>
        <v>1.6862063125538498</v>
      </c>
      <c r="AI46" s="18">
        <f t="shared" si="14"/>
        <v>2.1806233469710889</v>
      </c>
      <c r="AJ46" s="18">
        <f t="shared" si="14"/>
        <v>-5.1262818894997508E-2</v>
      </c>
      <c r="AK46" s="18">
        <f t="shared" si="14"/>
        <v>1.8664030838399128</v>
      </c>
      <c r="AL46" s="18">
        <f t="shared" si="14"/>
        <v>0.5095046350362793</v>
      </c>
      <c r="AM46" s="18">
        <f t="shared" si="14"/>
        <v>5.178764326769894</v>
      </c>
      <c r="AN46" s="18">
        <f t="shared" si="14"/>
        <v>-6.3145202191920902</v>
      </c>
      <c r="AO46" s="17"/>
      <c r="AP46" s="36">
        <f t="shared" si="12"/>
        <v>0.18793395333851842</v>
      </c>
      <c r="AQ46" s="36">
        <f t="shared" si="12"/>
        <v>1.7772671841970043E-2</v>
      </c>
      <c r="AR46" s="36">
        <f t="shared" si="12"/>
        <v>0.43722210009255835</v>
      </c>
      <c r="AS46" s="36">
        <f t="shared" si="12"/>
        <v>0.63789831792401874</v>
      </c>
      <c r="AT46" s="36">
        <f t="shared" si="12"/>
        <v>0.29815219894530304</v>
      </c>
      <c r="AU46" s="36">
        <f t="shared" si="12"/>
        <v>0.48662720822884276</v>
      </c>
      <c r="AV46" s="36">
        <f t="shared" si="12"/>
        <v>1.2873837057017001</v>
      </c>
      <c r="AW46" s="36">
        <f t="shared" si="12"/>
        <v>-0.1813577786631273</v>
      </c>
      <c r="AX46" s="36">
        <f t="shared" si="12"/>
        <v>0.77853940511289799</v>
      </c>
      <c r="AY46" s="6"/>
    </row>
    <row r="47" spans="1:51" x14ac:dyDescent="0.25">
      <c r="A47" s="1" t="str">
        <f t="shared" si="5"/>
        <v>20214</v>
      </c>
      <c r="B47" s="1">
        <f t="shared" si="6"/>
        <v>4</v>
      </c>
      <c r="C47" s="1">
        <f t="shared" si="7"/>
        <v>2021</v>
      </c>
      <c r="D47" s="35">
        <f t="shared" si="11"/>
        <v>44531</v>
      </c>
      <c r="E47" s="32">
        <v>38095.643904698925</v>
      </c>
      <c r="F47" s="32">
        <v>1528.1113762405403</v>
      </c>
      <c r="G47" s="32">
        <v>4299.7444603363774</v>
      </c>
      <c r="H47" s="32">
        <v>5118.6168802458533</v>
      </c>
      <c r="I47" s="32">
        <v>1007.7740395389444</v>
      </c>
      <c r="J47" s="32">
        <v>2454.4094785034445</v>
      </c>
      <c r="K47" s="32">
        <v>4267.0784891164039</v>
      </c>
      <c r="L47" s="32">
        <v>2033.2914209858839</v>
      </c>
      <c r="M47" s="32">
        <v>1655.1237580556819</v>
      </c>
      <c r="N47" s="32">
        <v>3208.0217179381016</v>
      </c>
      <c r="O47" s="16">
        <f t="shared" si="8"/>
        <v>8776.9586380794026</v>
      </c>
      <c r="P47" s="32">
        <v>3746.5136456582918</v>
      </c>
      <c r="Q47" s="33">
        <v>34245.546475178802</v>
      </c>
      <c r="R47" s="33">
        <v>1377.4829753823485</v>
      </c>
      <c r="S47" s="33">
        <v>4103.5632002020602</v>
      </c>
      <c r="T47" s="33">
        <v>4403.0991195280931</v>
      </c>
      <c r="U47" s="33">
        <v>903.36093424079297</v>
      </c>
      <c r="V47" s="33">
        <v>1570.0698712348924</v>
      </c>
      <c r="W47" s="33">
        <v>3940.5179479081198</v>
      </c>
      <c r="X47" s="33">
        <v>1896.3645715462201</v>
      </c>
      <c r="Y47" s="33">
        <v>1653.02414922459</v>
      </c>
      <c r="Z47" s="33">
        <v>3165.3532999504473</v>
      </c>
      <c r="AA47" s="33">
        <v>7837.7606710370146</v>
      </c>
      <c r="AB47" s="34">
        <v>3407.0071854134799</v>
      </c>
      <c r="AC47" s="18">
        <f t="shared" si="15"/>
        <v>1.0157644588409909</v>
      </c>
      <c r="AD47" s="18">
        <f t="shared" si="15"/>
        <v>1.7543195657629269</v>
      </c>
      <c r="AE47" s="18">
        <f t="shared" si="15"/>
        <v>2.8083290772504625</v>
      </c>
      <c r="AF47" s="18">
        <f t="shared" si="14"/>
        <v>1.8276461883223902</v>
      </c>
      <c r="AG47" s="18">
        <f t="shared" si="14"/>
        <v>-0.5795452420440057</v>
      </c>
      <c r="AH47" s="18">
        <f t="shared" si="14"/>
        <v>5.6460513171010973</v>
      </c>
      <c r="AI47" s="18">
        <f t="shared" si="14"/>
        <v>1.3252586868696312</v>
      </c>
      <c r="AJ47" s="18">
        <f t="shared" si="14"/>
        <v>-0.52087687076229372</v>
      </c>
      <c r="AK47" s="18">
        <f t="shared" si="14"/>
        <v>-1.4511317545859583</v>
      </c>
      <c r="AL47" s="18">
        <f t="shared" si="14"/>
        <v>0.60762267686773441</v>
      </c>
      <c r="AM47" s="18">
        <f t="shared" si="14"/>
        <v>1.177959410423199</v>
      </c>
      <c r="AN47" s="18">
        <f t="shared" si="14"/>
        <v>-0.44047136481208327</v>
      </c>
      <c r="AO47" s="17"/>
      <c r="AP47" s="36">
        <f t="shared" si="12"/>
        <v>0.32991119338368385</v>
      </c>
      <c r="AQ47" s="36">
        <f t="shared" si="12"/>
        <v>0.37900218386599105</v>
      </c>
      <c r="AR47" s="36">
        <f t="shared" si="12"/>
        <v>2.2282819262276208</v>
      </c>
      <c r="AS47" s="36">
        <f t="shared" si="12"/>
        <v>0.40534325651782538</v>
      </c>
      <c r="AT47" s="36">
        <f t="shared" si="12"/>
        <v>-6.360563695140023E-2</v>
      </c>
      <c r="AU47" s="36">
        <f t="shared" si="12"/>
        <v>1.7553950015543232</v>
      </c>
      <c r="AV47" s="36">
        <f t="shared" ref="AV47:AX54" si="16">(AI47-AV$2)/AV$3</f>
        <v>0.60107042920475018</v>
      </c>
      <c r="AW47" s="36">
        <f t="shared" si="16"/>
        <v>-0.32460809647504324</v>
      </c>
      <c r="AX47" s="36">
        <f t="shared" si="16"/>
        <v>-0.44472440539452451</v>
      </c>
      <c r="AY47" s="6"/>
    </row>
    <row r="48" spans="1:51" x14ac:dyDescent="0.25">
      <c r="A48" s="1" t="str">
        <f t="shared" si="5"/>
        <v>20221</v>
      </c>
      <c r="B48" s="1">
        <f t="shared" si="6"/>
        <v>1</v>
      </c>
      <c r="C48" s="1">
        <f t="shared" si="7"/>
        <v>2022</v>
      </c>
      <c r="D48" s="35">
        <f t="shared" si="11"/>
        <v>44621</v>
      </c>
      <c r="E48" s="32">
        <v>30719.37666596712</v>
      </c>
      <c r="F48" s="32">
        <v>670.6547582594801</v>
      </c>
      <c r="G48" s="32">
        <v>3933.0903486643351</v>
      </c>
      <c r="H48" s="32">
        <v>3904.3105163489286</v>
      </c>
      <c r="I48" s="32">
        <v>1013.8414040791313</v>
      </c>
      <c r="J48" s="32">
        <v>909.48878696549264</v>
      </c>
      <c r="K48" s="32">
        <v>3531.7630707542003</v>
      </c>
      <c r="L48" s="32">
        <v>1722.2019172343605</v>
      </c>
      <c r="M48" s="32">
        <v>1656.5932683952369</v>
      </c>
      <c r="N48" s="32">
        <v>3157.1654162808441</v>
      </c>
      <c r="O48" s="16">
        <f t="shared" si="8"/>
        <v>7007.1953141095864</v>
      </c>
      <c r="P48" s="32">
        <v>3213.0718648755205</v>
      </c>
      <c r="Q48" s="33">
        <v>34254.5410450649</v>
      </c>
      <c r="R48" s="33">
        <v>1376.6842275746612</v>
      </c>
      <c r="S48" s="33">
        <v>4087.0095345898699</v>
      </c>
      <c r="T48" s="33">
        <v>4424.1310773782643</v>
      </c>
      <c r="U48" s="33">
        <v>892.62669637204795</v>
      </c>
      <c r="V48" s="33">
        <v>1569.997914429614</v>
      </c>
      <c r="W48" s="33">
        <v>3866.9076142297699</v>
      </c>
      <c r="X48" s="33">
        <v>1856.0504590357</v>
      </c>
      <c r="Y48" s="33">
        <v>1639.9454646719801</v>
      </c>
      <c r="Z48" s="33">
        <v>3097.6061477131689</v>
      </c>
      <c r="AA48" s="33">
        <v>8080.641021162729</v>
      </c>
      <c r="AB48" s="34">
        <v>3436.6433212141201</v>
      </c>
      <c r="AC48" s="18">
        <f t="shared" si="15"/>
        <v>2.6264933142812197E-2</v>
      </c>
      <c r="AD48" s="18">
        <f t="shared" si="15"/>
        <v>-5.7986038445633881E-2</v>
      </c>
      <c r="AE48" s="18">
        <f t="shared" si="15"/>
        <v>-0.40339735991821613</v>
      </c>
      <c r="AF48" s="18">
        <f t="shared" si="14"/>
        <v>0.47766260261761317</v>
      </c>
      <c r="AG48" s="18">
        <f t="shared" si="14"/>
        <v>-1.1882557084191774</v>
      </c>
      <c r="AH48" s="18">
        <f t="shared" si="14"/>
        <v>-4.5830320418644988E-3</v>
      </c>
      <c r="AI48" s="18">
        <f t="shared" si="14"/>
        <v>-1.8680370106530546</v>
      </c>
      <c r="AJ48" s="18">
        <f t="shared" si="14"/>
        <v>-2.1258629862321072</v>
      </c>
      <c r="AK48" s="18">
        <f t="shared" si="14"/>
        <v>-0.79119742798343395</v>
      </c>
      <c r="AL48" s="18">
        <f t="shared" si="14"/>
        <v>-2.1402714268369039</v>
      </c>
      <c r="AM48" s="18">
        <f t="shared" si="14"/>
        <v>3.0988487696904627</v>
      </c>
      <c r="AN48" s="18">
        <f t="shared" si="14"/>
        <v>0.86985832984215961</v>
      </c>
      <c r="AO48" s="17"/>
      <c r="AP48" s="36">
        <f t="shared" ref="AP48:AU54" si="17">(AC48-AP$2)/AP$3</f>
        <v>-9.0866306204307579E-2</v>
      </c>
      <c r="AQ48" s="36">
        <f t="shared" si="17"/>
        <v>-0.18311986910544761</v>
      </c>
      <c r="AR48" s="36">
        <f t="shared" si="17"/>
        <v>-0.31985298622130498</v>
      </c>
      <c r="AS48" s="36">
        <f t="shared" si="17"/>
        <v>6.9237249960732647E-2</v>
      </c>
      <c r="AT48" s="36">
        <f t="shared" si="17"/>
        <v>-0.19747608872346747</v>
      </c>
      <c r="AU48" s="36">
        <f t="shared" si="17"/>
        <v>-5.5115982036811437E-2</v>
      </c>
      <c r="AV48" s="36">
        <f t="shared" si="16"/>
        <v>-1.9611130876247318</v>
      </c>
      <c r="AW48" s="36">
        <f t="shared" si="16"/>
        <v>-0.81419048910270808</v>
      </c>
      <c r="AX48" s="36">
        <f t="shared" si="16"/>
        <v>-0.20138897159769506</v>
      </c>
      <c r="AY48" s="6"/>
    </row>
    <row r="49" spans="1:51" x14ac:dyDescent="0.25">
      <c r="A49" s="1" t="str">
        <f t="shared" si="5"/>
        <v>20222</v>
      </c>
      <c r="B49" s="1">
        <f t="shared" si="6"/>
        <v>2</v>
      </c>
      <c r="C49" s="1">
        <f t="shared" si="7"/>
        <v>2022</v>
      </c>
      <c r="D49" s="35">
        <f t="shared" si="11"/>
        <v>44713</v>
      </c>
      <c r="E49" s="32">
        <v>31247.195932862087</v>
      </c>
      <c r="F49" s="32">
        <v>972.81903482863629</v>
      </c>
      <c r="G49" s="32">
        <v>3910.4920494205385</v>
      </c>
      <c r="H49" s="32">
        <v>3964.4657151048109</v>
      </c>
      <c r="I49" s="32">
        <v>811.15470557135643</v>
      </c>
      <c r="J49" s="32">
        <v>1327.4186970320948</v>
      </c>
      <c r="K49" s="32">
        <v>3262.7025225126763</v>
      </c>
      <c r="L49" s="32">
        <v>1841.4502976835504</v>
      </c>
      <c r="M49" s="32">
        <v>1650.026844857952</v>
      </c>
      <c r="N49" s="32">
        <v>3173.9435828001992</v>
      </c>
      <c r="O49" s="16">
        <f t="shared" si="8"/>
        <v>7456.4666641126541</v>
      </c>
      <c r="P49" s="32">
        <v>2876.2558189376168</v>
      </c>
      <c r="Q49" s="33">
        <v>32364.309882086702</v>
      </c>
      <c r="R49" s="33">
        <v>1385.5583413939517</v>
      </c>
      <c r="S49" s="33">
        <v>3904.4589361921198</v>
      </c>
      <c r="T49" s="33">
        <v>4167.4394137089039</v>
      </c>
      <c r="U49" s="33">
        <v>890.47476306275496</v>
      </c>
      <c r="V49" s="33">
        <v>1538.526608709293</v>
      </c>
      <c r="W49" s="33">
        <v>3248.9293423468498</v>
      </c>
      <c r="X49" s="33">
        <v>1846.8503218206199</v>
      </c>
      <c r="Y49" s="33">
        <v>1676.5783758203499</v>
      </c>
      <c r="Z49" s="33">
        <v>3148.0374155624841</v>
      </c>
      <c r="AA49" s="33">
        <v>7509.5079118667509</v>
      </c>
      <c r="AB49" s="34">
        <v>3016.77140741828</v>
      </c>
      <c r="AC49" s="18">
        <f t="shared" si="15"/>
        <v>-5.5181914727493506</v>
      </c>
      <c r="AD49" s="18">
        <f t="shared" si="15"/>
        <v>0.64460052941291224</v>
      </c>
      <c r="AE49" s="18">
        <f t="shared" si="15"/>
        <v>-4.4666056404507231</v>
      </c>
      <c r="AF49" s="18">
        <f t="shared" si="14"/>
        <v>-5.802080887293144</v>
      </c>
      <c r="AG49" s="18">
        <f t="shared" si="14"/>
        <v>-0.24107875308224891</v>
      </c>
      <c r="AH49" s="18">
        <f t="shared" si="14"/>
        <v>-2.0045444284398712</v>
      </c>
      <c r="AI49" s="18">
        <f t="shared" si="14"/>
        <v>-15.981200833679921</v>
      </c>
      <c r="AJ49" s="18">
        <f t="shared" si="14"/>
        <v>-0.49568357208671898</v>
      </c>
      <c r="AK49" s="18">
        <f t="shared" si="14"/>
        <v>2.2337883751334005</v>
      </c>
      <c r="AL49" s="18">
        <f t="shared" si="14"/>
        <v>1.6280723063048583</v>
      </c>
      <c r="AM49" s="18">
        <f t="shared" si="14"/>
        <v>-7.0679183470743681</v>
      </c>
      <c r="AN49" s="18">
        <f t="shared" si="14"/>
        <v>-12.217500466341818</v>
      </c>
      <c r="AO49" s="17"/>
      <c r="AP49" s="36">
        <f t="shared" si="17"/>
        <v>-2.4486061963773751</v>
      </c>
      <c r="AQ49" s="36">
        <f t="shared" si="17"/>
        <v>3.4801105700164238E-2</v>
      </c>
      <c r="AR49" s="36">
        <f t="shared" si="17"/>
        <v>-3.5435406441601125</v>
      </c>
      <c r="AS49" s="36">
        <f t="shared" si="17"/>
        <v>-1.4942332462341581</v>
      </c>
      <c r="AT49" s="36">
        <f t="shared" si="17"/>
        <v>1.0831495790603739E-2</v>
      </c>
      <c r="AU49" s="36">
        <f t="shared" si="17"/>
        <v>-0.69592050967113772</v>
      </c>
      <c r="AV49" s="36">
        <f t="shared" si="16"/>
        <v>-13.284998860472644</v>
      </c>
      <c r="AW49" s="36">
        <f t="shared" si="16"/>
        <v>-0.31692317302001338</v>
      </c>
      <c r="AX49" s="36">
        <f t="shared" si="16"/>
        <v>0.91400418641577952</v>
      </c>
      <c r="AY49" s="6"/>
    </row>
    <row r="50" spans="1:51" x14ac:dyDescent="0.25">
      <c r="A50" s="1" t="str">
        <f t="shared" si="5"/>
        <v>20223</v>
      </c>
      <c r="B50" s="1">
        <f t="shared" si="6"/>
        <v>3</v>
      </c>
      <c r="C50" s="1">
        <f t="shared" si="7"/>
        <v>2022</v>
      </c>
      <c r="D50" s="37">
        <f t="shared" si="11"/>
        <v>44805</v>
      </c>
      <c r="E50" s="32">
        <v>33447.76958004287</v>
      </c>
      <c r="F50" s="32">
        <v>2314.1296454783333</v>
      </c>
      <c r="G50" s="32">
        <v>3947.7053965240789</v>
      </c>
      <c r="H50" s="32">
        <v>4242.2856540982357</v>
      </c>
      <c r="I50" s="32">
        <v>736.32595522551139</v>
      </c>
      <c r="J50" s="32">
        <v>1535.7490327790813</v>
      </c>
      <c r="K50" s="32">
        <v>3110.5940293148587</v>
      </c>
      <c r="L50" s="32">
        <v>1845.4354952913109</v>
      </c>
      <c r="M50" s="32">
        <v>1710.554942467505</v>
      </c>
      <c r="N50" s="32">
        <v>3180.9158866521384</v>
      </c>
      <c r="O50" s="16">
        <f t="shared" si="8"/>
        <v>7802.8043202338231</v>
      </c>
      <c r="P50" s="32">
        <v>3021.2692219779892</v>
      </c>
      <c r="Q50" s="33">
        <v>32726.668919940599</v>
      </c>
      <c r="R50" s="33">
        <v>1391.2582596028169</v>
      </c>
      <c r="S50" s="33">
        <v>3994.4133547174201</v>
      </c>
      <c r="T50" s="33">
        <v>4275.5575656018018</v>
      </c>
      <c r="U50" s="33">
        <v>884.84800150269803</v>
      </c>
      <c r="V50" s="33">
        <v>1598.3013987397239</v>
      </c>
      <c r="W50" s="33">
        <v>3114.9510014776502</v>
      </c>
      <c r="X50" s="33">
        <v>1842.49757462003</v>
      </c>
      <c r="Y50" s="33">
        <v>1711.7454483346401</v>
      </c>
      <c r="Z50" s="33">
        <v>3190.3144611868997</v>
      </c>
      <c r="AA50" s="33">
        <v>7740.5223250985437</v>
      </c>
      <c r="AB50" s="34">
        <v>3041.46896575453</v>
      </c>
      <c r="AC50" s="18">
        <f>Q50/Q49*100-100</f>
        <v>1.1196254119864903</v>
      </c>
      <c r="AD50" s="18">
        <f t="shared" si="15"/>
        <v>0.41138059932796978</v>
      </c>
      <c r="AE50" s="18">
        <f t="shared" si="15"/>
        <v>2.303889475990502</v>
      </c>
      <c r="AF50" s="18">
        <f t="shared" si="14"/>
        <v>2.5943544982859379</v>
      </c>
      <c r="AG50" s="18">
        <f t="shared" si="14"/>
        <v>-0.63188332712584838</v>
      </c>
      <c r="AH50" s="18">
        <f t="shared" si="14"/>
        <v>3.8851970250015597</v>
      </c>
      <c r="AI50" s="18">
        <f t="shared" si="14"/>
        <v>-4.1237689943857276</v>
      </c>
      <c r="AJ50" s="18">
        <f t="shared" si="14"/>
        <v>-0.23568489276915727</v>
      </c>
      <c r="AK50" s="18">
        <f t="shared" si="14"/>
        <v>2.097550166545787</v>
      </c>
      <c r="AL50" s="18">
        <f t="shared" si="14"/>
        <v>1.3429651571298677</v>
      </c>
      <c r="AM50" s="18">
        <f t="shared" si="14"/>
        <v>3.076292294289189</v>
      </c>
      <c r="AN50" s="18">
        <f t="shared" si="14"/>
        <v>0.81867516628931014</v>
      </c>
      <c r="AO50" s="38"/>
      <c r="AP50" s="36">
        <f t="shared" si="17"/>
        <v>0.37407731073331368</v>
      </c>
      <c r="AQ50" s="36">
        <f t="shared" si="17"/>
        <v>-3.7536620116478125E-2</v>
      </c>
      <c r="AR50" s="36">
        <f t="shared" si="17"/>
        <v>1.8280672179271662</v>
      </c>
      <c r="AS50" s="36">
        <f t="shared" si="17"/>
        <v>0.59623096136458653</v>
      </c>
      <c r="AT50" s="36">
        <f t="shared" si="17"/>
        <v>-7.5116073327686855E-2</v>
      </c>
      <c r="AU50" s="36">
        <f t="shared" si="17"/>
        <v>1.1912024101803407</v>
      </c>
      <c r="AV50" s="36">
        <f t="shared" si="16"/>
        <v>-3.7710298177254415</v>
      </c>
      <c r="AW50" s="36">
        <f t="shared" si="16"/>
        <v>-0.23761359253615721</v>
      </c>
      <c r="AX50" s="36">
        <f t="shared" si="16"/>
        <v>0.86376951570689098</v>
      </c>
      <c r="AY50" s="6"/>
    </row>
    <row r="51" spans="1:51" x14ac:dyDescent="0.25">
      <c r="A51" s="39" t="str">
        <f t="shared" si="5"/>
        <v>20224</v>
      </c>
      <c r="B51" s="39">
        <f t="shared" si="6"/>
        <v>4</v>
      </c>
      <c r="C51" s="39">
        <f t="shared" si="7"/>
        <v>2022</v>
      </c>
      <c r="D51" s="37">
        <f t="shared" si="11"/>
        <v>44896</v>
      </c>
      <c r="E51" s="16">
        <v>37080.416741612469</v>
      </c>
      <c r="F51" s="32">
        <v>1626.5278535563166</v>
      </c>
      <c r="G51" s="16">
        <v>4177.0646049324059</v>
      </c>
      <c r="H51" s="16">
        <v>4871.0251363021925</v>
      </c>
      <c r="I51" s="32">
        <v>989.091384318579</v>
      </c>
      <c r="J51" s="16">
        <v>2603.9137123310438</v>
      </c>
      <c r="K51" s="16">
        <v>3530.4398887704974</v>
      </c>
      <c r="L51" s="16">
        <v>1951.1074258449853</v>
      </c>
      <c r="M51" s="32">
        <v>1743.5972238145671</v>
      </c>
      <c r="N51" s="16">
        <v>3210.1716002526196</v>
      </c>
      <c r="O51" s="16">
        <f t="shared" si="8"/>
        <v>8867.2845127741275</v>
      </c>
      <c r="P51" s="16">
        <v>3510.1933987151347</v>
      </c>
      <c r="Q51" s="33">
        <v>33181.710609270798</v>
      </c>
      <c r="R51" s="33">
        <v>1402.3406838919382</v>
      </c>
      <c r="S51" s="33">
        <v>3986.4758387337401</v>
      </c>
      <c r="T51" s="33">
        <v>4361.8464381594604</v>
      </c>
      <c r="U51" s="33">
        <v>882.09420290297396</v>
      </c>
      <c r="V51" s="33">
        <v>1713.7390467305879</v>
      </c>
      <c r="W51" s="33">
        <v>3212.0033902874402</v>
      </c>
      <c r="X51" s="33">
        <v>1841.77063331507</v>
      </c>
      <c r="Y51" s="33">
        <v>1737.3230984445099</v>
      </c>
      <c r="Z51" s="33">
        <v>3244.4062796645117</v>
      </c>
      <c r="AA51" s="33">
        <v>7865.6791291759127</v>
      </c>
      <c r="AB51" s="34">
        <v>3123.901248911</v>
      </c>
      <c r="AC51" s="40">
        <f>Q51/Q50*100-100</f>
        <v>1.3904308148298554</v>
      </c>
      <c r="AD51" s="18">
        <f t="shared" si="15"/>
        <v>0.79657563307368662</v>
      </c>
      <c r="AE51" s="18">
        <f t="shared" si="15"/>
        <v>-0.19871543775774114</v>
      </c>
      <c r="AF51" s="18">
        <f t="shared" si="14"/>
        <v>2.0181899374219512</v>
      </c>
      <c r="AG51" s="18">
        <f t="shared" si="14"/>
        <v>-0.31121713503871717</v>
      </c>
      <c r="AH51" s="18">
        <f t="shared" si="14"/>
        <v>7.2225206135643703</v>
      </c>
      <c r="AI51" s="18">
        <f t="shared" si="14"/>
        <v>3.1156955202104655</v>
      </c>
      <c r="AJ51" s="18">
        <f t="shared" si="14"/>
        <v>-3.9454125474762236E-2</v>
      </c>
      <c r="AK51" s="18">
        <f t="shared" si="14"/>
        <v>1.4942437927762313</v>
      </c>
      <c r="AL51" s="18">
        <f t="shared" si="14"/>
        <v>1.6955011531210715</v>
      </c>
      <c r="AM51" s="18">
        <f t="shared" si="14"/>
        <v>1.6169038576576469</v>
      </c>
      <c r="AN51" s="18">
        <f t="shared" si="14"/>
        <v>2.7102786214364727</v>
      </c>
      <c r="AO51" s="17"/>
      <c r="AP51" s="36">
        <f t="shared" si="17"/>
        <v>0.48923534499608806</v>
      </c>
      <c r="AQ51" s="36">
        <f t="shared" si="17"/>
        <v>8.1939158505363499E-2</v>
      </c>
      <c r="AR51" s="36">
        <f t="shared" si="17"/>
        <v>-0.15746146190952628</v>
      </c>
      <c r="AS51" s="36">
        <f t="shared" si="17"/>
        <v>0.45278301746190802</v>
      </c>
      <c r="AT51" s="36">
        <f t="shared" si="17"/>
        <v>-4.5936650990845507E-3</v>
      </c>
      <c r="AU51" s="36">
        <f t="shared" si="17"/>
        <v>2.2605090825908789</v>
      </c>
      <c r="AV51" s="36">
        <f t="shared" si="16"/>
        <v>2.0376513715425122</v>
      </c>
      <c r="AW51" s="36">
        <f t="shared" si="16"/>
        <v>-0.17775567374598103</v>
      </c>
      <c r="AX51" s="36">
        <f t="shared" si="16"/>
        <v>0.64131432243123121</v>
      </c>
      <c r="AY51" s="6"/>
    </row>
    <row r="52" spans="1:51" x14ac:dyDescent="0.25">
      <c r="A52" s="39" t="str">
        <f t="shared" si="5"/>
        <v>20231</v>
      </c>
      <c r="B52" s="39">
        <f t="shared" si="6"/>
        <v>1</v>
      </c>
      <c r="C52" s="39">
        <f t="shared" si="7"/>
        <v>2023</v>
      </c>
      <c r="D52" s="37">
        <f t="shared" si="11"/>
        <v>44986</v>
      </c>
      <c r="E52" s="16">
        <v>30165.086505691736</v>
      </c>
      <c r="F52" s="32">
        <v>693.78861567044999</v>
      </c>
      <c r="G52" s="16">
        <v>3738.5314598445893</v>
      </c>
      <c r="H52" s="16">
        <v>3917.9446649780407</v>
      </c>
      <c r="I52" s="32">
        <v>992.50707340958206</v>
      </c>
      <c r="J52" s="16">
        <v>973.05378492226373</v>
      </c>
      <c r="K52" s="16">
        <v>3173.3611863602214</v>
      </c>
      <c r="L52" s="16">
        <v>1755.78625921098</v>
      </c>
      <c r="M52" s="32">
        <v>1759.314261141448</v>
      </c>
      <c r="N52" s="16">
        <v>3197.542902412632</v>
      </c>
      <c r="O52" s="16">
        <f t="shared" si="8"/>
        <v>6997.5083467745917</v>
      </c>
      <c r="P52" s="16">
        <v>2965.7479509669361</v>
      </c>
      <c r="Q52" s="33">
        <v>33614.961791928603</v>
      </c>
      <c r="R52" s="33">
        <v>1406.2843012072867</v>
      </c>
      <c r="S52" s="33">
        <v>3884.8386993774102</v>
      </c>
      <c r="T52" s="33">
        <v>4431.7821018076502</v>
      </c>
      <c r="U52" s="33">
        <v>885.09117950366999</v>
      </c>
      <c r="V52" s="33">
        <v>1691.7840034532762</v>
      </c>
      <c r="W52" s="33">
        <v>3504.15986727277</v>
      </c>
      <c r="X52" s="33">
        <v>1872.87745734643</v>
      </c>
      <c r="Y52" s="33">
        <v>1740.69645739053</v>
      </c>
      <c r="Z52" s="33">
        <v>3204.542305114685</v>
      </c>
      <c r="AA52" s="33">
        <v>7883.1158485721298</v>
      </c>
      <c r="AB52" s="34">
        <v>3177.4602300475899</v>
      </c>
      <c r="AC52" s="40">
        <f t="shared" ref="AC52:AC54" si="18">Q52/Q51*100-100</f>
        <v>1.3056927286224891</v>
      </c>
      <c r="AD52" s="18">
        <f t="shared" si="15"/>
        <v>0.28121677996276162</v>
      </c>
      <c r="AE52" s="18">
        <f t="shared" si="15"/>
        <v>-2.5495486105495502</v>
      </c>
      <c r="AF52" s="18">
        <f t="shared" si="14"/>
        <v>1.6033499720751365</v>
      </c>
      <c r="AG52" s="18">
        <f t="shared" si="14"/>
        <v>0.33975697729708543</v>
      </c>
      <c r="AH52" s="18">
        <f t="shared" si="14"/>
        <v>-1.281119393246982</v>
      </c>
      <c r="AI52" s="18">
        <f t="shared" si="14"/>
        <v>9.0957711274141957</v>
      </c>
      <c r="AJ52" s="18">
        <f t="shared" si="14"/>
        <v>1.6889629722985404</v>
      </c>
      <c r="AK52" s="18">
        <f t="shared" si="14"/>
        <v>0.19416992435317582</v>
      </c>
      <c r="AL52" s="18">
        <f t="shared" si="14"/>
        <v>-1.2286986004092171</v>
      </c>
      <c r="AM52" s="18">
        <f t="shared" si="14"/>
        <v>0.22168104126623689</v>
      </c>
      <c r="AN52" s="18">
        <f t="shared" si="14"/>
        <v>1.7144902117267833</v>
      </c>
      <c r="AO52" s="38"/>
      <c r="AP52" s="36">
        <f t="shared" si="17"/>
        <v>0.45320108817413668</v>
      </c>
      <c r="AQ52" s="36">
        <f t="shared" si="17"/>
        <v>-7.7909476214402612E-2</v>
      </c>
      <c r="AR52" s="36">
        <f t="shared" si="17"/>
        <v>-2.0225767505623877</v>
      </c>
      <c r="AS52" s="36">
        <f t="shared" si="17"/>
        <v>0.34950012899611288</v>
      </c>
      <c r="AT52" s="36">
        <f t="shared" si="17"/>
        <v>0.1385716052950059</v>
      </c>
      <c r="AU52" s="36">
        <f t="shared" si="17"/>
        <v>-0.46412901670005502</v>
      </c>
      <c r="AV52" s="36">
        <f t="shared" si="16"/>
        <v>6.8358450252207748</v>
      </c>
      <c r="AW52" s="36">
        <f t="shared" si="16"/>
        <v>0.34947790792193062</v>
      </c>
      <c r="AX52" s="36">
        <f t="shared" si="16"/>
        <v>0.16194232132727129</v>
      </c>
      <c r="AY52" s="41"/>
    </row>
    <row r="53" spans="1:51" x14ac:dyDescent="0.25">
      <c r="A53" s="39" t="str">
        <f t="shared" si="5"/>
        <v>20232</v>
      </c>
      <c r="B53" s="39">
        <f t="shared" si="6"/>
        <v>2</v>
      </c>
      <c r="C53" s="39">
        <f t="shared" si="7"/>
        <v>2023</v>
      </c>
      <c r="D53" s="37">
        <f t="shared" si="11"/>
        <v>45078</v>
      </c>
      <c r="E53" s="16">
        <v>32762.886706712779</v>
      </c>
      <c r="F53" s="32">
        <v>1011.5243369714922</v>
      </c>
      <c r="G53" s="16">
        <v>3936.485942148151</v>
      </c>
      <c r="H53" s="16">
        <v>4386.4791725337964</v>
      </c>
      <c r="I53" s="32">
        <v>809.22977517669187</v>
      </c>
      <c r="J53" s="16">
        <v>1482.5495672896741</v>
      </c>
      <c r="K53" s="16">
        <v>3620.2068458733615</v>
      </c>
      <c r="L53" s="16">
        <v>1893.8916278702238</v>
      </c>
      <c r="M53" s="32">
        <v>1686.8484345615122</v>
      </c>
      <c r="N53" s="16">
        <v>3219.88117421165</v>
      </c>
      <c r="O53" s="16">
        <f t="shared" si="8"/>
        <v>7637.4122239272692</v>
      </c>
      <c r="P53" s="16">
        <v>3078.3776061489616</v>
      </c>
      <c r="Q53" s="33">
        <v>34010.158039172202</v>
      </c>
      <c r="R53" s="33">
        <v>1417.5657477406201</v>
      </c>
      <c r="S53" s="33">
        <v>3930.41494718595</v>
      </c>
      <c r="T53" s="33">
        <v>4552.4890918990886</v>
      </c>
      <c r="U53" s="33">
        <v>884.98801215388301</v>
      </c>
      <c r="V53" s="33">
        <v>1747.6712156547203</v>
      </c>
      <c r="W53" s="33">
        <v>3601.0510875324298</v>
      </c>
      <c r="X53" s="33">
        <v>1881.8756052481499</v>
      </c>
      <c r="Y53" s="33">
        <v>1717.1396336801299</v>
      </c>
      <c r="Z53" s="33">
        <v>3259.9500996005313</v>
      </c>
      <c r="AA53" s="33">
        <v>7777.3599917413067</v>
      </c>
      <c r="AB53" s="34">
        <v>3233.8517216530399</v>
      </c>
      <c r="AC53" s="40">
        <f t="shared" si="18"/>
        <v>1.1756557978253852</v>
      </c>
      <c r="AD53" s="18">
        <f t="shared" si="15"/>
        <v>0.80221663028223134</v>
      </c>
      <c r="AE53" s="18">
        <f t="shared" si="15"/>
        <v>1.1731825008807704</v>
      </c>
      <c r="AF53" s="18">
        <f t="shared" si="14"/>
        <v>2.7236670783566694</v>
      </c>
      <c r="AG53" s="18">
        <f t="shared" si="14"/>
        <v>-1.1656126755752894E-2</v>
      </c>
      <c r="AH53" s="18">
        <f t="shared" si="14"/>
        <v>3.3034484359331344</v>
      </c>
      <c r="AI53" s="18">
        <f t="shared" si="14"/>
        <v>2.7650342430029866</v>
      </c>
      <c r="AJ53" s="18">
        <f t="shared" si="14"/>
        <v>0.48044509620339682</v>
      </c>
      <c r="AK53" s="18">
        <f t="shared" si="14"/>
        <v>-1.3532987678801902</v>
      </c>
      <c r="AL53" s="18">
        <f t="shared" si="14"/>
        <v>1.7290392577252476</v>
      </c>
      <c r="AM53" s="18">
        <f t="shared" si="14"/>
        <v>-1.3415489365157356</v>
      </c>
      <c r="AN53" s="18">
        <f t="shared" si="14"/>
        <v>1.7747347731431802</v>
      </c>
      <c r="AO53" s="38"/>
      <c r="AP53" s="36">
        <f t="shared" si="17"/>
        <v>0.39790382609986269</v>
      </c>
      <c r="AQ53" s="36">
        <f t="shared" si="17"/>
        <v>8.36888241932639E-2</v>
      </c>
      <c r="AR53" s="36">
        <f t="shared" si="17"/>
        <v>0.93098149926721607</v>
      </c>
      <c r="AS53" s="36">
        <f t="shared" si="17"/>
        <v>0.62842597124870858</v>
      </c>
      <c r="AT53" s="36">
        <f t="shared" si="17"/>
        <v>6.1287192430675382E-2</v>
      </c>
      <c r="AU53" s="36">
        <f t="shared" si="17"/>
        <v>1.0048052474694356</v>
      </c>
      <c r="AV53" s="36">
        <f t="shared" si="16"/>
        <v>1.7562936052860432</v>
      </c>
      <c r="AW53" s="36">
        <f t="shared" si="16"/>
        <v>-1.9166448318353867E-2</v>
      </c>
      <c r="AX53" s="36">
        <f t="shared" si="16"/>
        <v>-0.40865076700349423</v>
      </c>
      <c r="AY53" s="41"/>
    </row>
    <row r="54" spans="1:51" x14ac:dyDescent="0.25">
      <c r="A54" s="39" t="str">
        <f t="shared" si="5"/>
        <v>20233</v>
      </c>
      <c r="B54" s="39">
        <f t="shared" si="6"/>
        <v>3</v>
      </c>
      <c r="C54" s="39">
        <f t="shared" si="7"/>
        <v>2023</v>
      </c>
      <c r="D54" s="37">
        <f t="shared" si="11"/>
        <v>45170</v>
      </c>
      <c r="E54" s="16">
        <v>35304.048801396151</v>
      </c>
      <c r="F54" s="32">
        <v>2400.9688985861717</v>
      </c>
      <c r="G54" s="16">
        <v>3898.380801695911</v>
      </c>
      <c r="H54" s="16">
        <v>4661.7465851140278</v>
      </c>
      <c r="I54" s="32">
        <v>741.78450745959276</v>
      </c>
      <c r="J54" s="16">
        <v>1688.6164774143178</v>
      </c>
      <c r="K54" s="16">
        <v>3642.6494951335821</v>
      </c>
      <c r="L54" s="16">
        <v>1901.6215969498576</v>
      </c>
      <c r="M54" s="32">
        <v>1762.4997035421097</v>
      </c>
      <c r="N54" s="16">
        <v>3217.8455693545161</v>
      </c>
      <c r="O54" s="16">
        <f t="shared" si="8"/>
        <v>8104.2488470342396</v>
      </c>
      <c r="P54" s="16">
        <v>3283.6863191118241</v>
      </c>
      <c r="Q54" s="33">
        <v>34530.535253063303</v>
      </c>
      <c r="R54" s="33">
        <v>1423.2864086765624</v>
      </c>
      <c r="S54" s="33">
        <v>3944.5041180404501</v>
      </c>
      <c r="T54" s="33">
        <v>4594.0095397739915</v>
      </c>
      <c r="U54" s="33">
        <v>881.45998931620102</v>
      </c>
      <c r="V54" s="33">
        <v>1764.4543548269835</v>
      </c>
      <c r="W54" s="33">
        <v>3646.60445969071</v>
      </c>
      <c r="X54" s="33">
        <v>1891.35736178404</v>
      </c>
      <c r="Y54" s="33">
        <v>1765.96179569783</v>
      </c>
      <c r="Z54" s="33">
        <v>3311.6481783575591</v>
      </c>
      <c r="AA54" s="33">
        <v>8012.6947654021023</v>
      </c>
      <c r="AB54" s="34">
        <v>3300.0444380270501</v>
      </c>
      <c r="AC54" s="40">
        <f t="shared" si="18"/>
        <v>1.5300640864171839</v>
      </c>
      <c r="AD54" s="18">
        <f t="shared" si="15"/>
        <v>0.40355524567803513</v>
      </c>
      <c r="AE54" s="18">
        <f t="shared" si="15"/>
        <v>0.35846522679716486</v>
      </c>
      <c r="AF54" s="18">
        <f t="shared" si="14"/>
        <v>0.91203838244855717</v>
      </c>
      <c r="AG54" s="18">
        <f t="shared" si="14"/>
        <v>-0.39865204830238099</v>
      </c>
      <c r="AH54" s="18">
        <f t="shared" si="14"/>
        <v>0.96031444712991743</v>
      </c>
      <c r="AI54" s="18">
        <f t="shared" si="14"/>
        <v>1.2650021077455875</v>
      </c>
      <c r="AJ54" s="18">
        <f t="shared" si="14"/>
        <v>0.50384608363313532</v>
      </c>
      <c r="AK54" s="18">
        <f t="shared" si="14"/>
        <v>2.8432260871566797</v>
      </c>
      <c r="AL54" s="18">
        <f t="shared" si="14"/>
        <v>1.5858549111952129</v>
      </c>
      <c r="AM54" s="18">
        <f t="shared" si="14"/>
        <v>3.0258953412301253</v>
      </c>
      <c r="AN54" s="18">
        <f t="shared" si="14"/>
        <v>2.0468692466881038</v>
      </c>
      <c r="AO54" s="38"/>
      <c r="AP54" s="36">
        <f t="shared" si="17"/>
        <v>0.54861338141945126</v>
      </c>
      <c r="AQ54" s="36">
        <f t="shared" si="17"/>
        <v>-3.996380670615364E-2</v>
      </c>
      <c r="AR54" s="36">
        <f t="shared" si="17"/>
        <v>0.28459720394168481</v>
      </c>
      <c r="AS54" s="36">
        <f t="shared" si="17"/>
        <v>0.17738397874327722</v>
      </c>
      <c r="AT54" s="36">
        <f t="shared" si="17"/>
        <v>-2.3822760023245061E-2</v>
      </c>
      <c r="AU54" s="36">
        <f t="shared" si="17"/>
        <v>0.25404532201126812</v>
      </c>
      <c r="AV54" s="36">
        <f t="shared" si="16"/>
        <v>0.55272275694504414</v>
      </c>
      <c r="AW54" s="36">
        <f t="shared" si="16"/>
        <v>-1.2028248613524853E-2</v>
      </c>
      <c r="AX54" s="36">
        <f t="shared" si="16"/>
        <v>1.1387201680662551</v>
      </c>
      <c r="AY54" s="41"/>
    </row>
  </sheetData>
  <mergeCells count="4">
    <mergeCell ref="E1:P1"/>
    <mergeCell ref="Q1:AB1"/>
    <mergeCell ref="AC1:AN1"/>
    <mergeCell ref="AP1:A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FC7E-3186-424B-A26C-D7B517D15213}">
  <dimension ref="A1:M15"/>
  <sheetViews>
    <sheetView workbookViewId="0">
      <selection activeCell="B2" sqref="B2:L2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7</v>
      </c>
      <c r="E1" t="s">
        <v>50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51</v>
      </c>
      <c r="L1" t="s">
        <v>15</v>
      </c>
    </row>
    <row r="2" spans="1:13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45</v>
      </c>
      <c r="L2" t="s">
        <v>46</v>
      </c>
    </row>
    <row r="3" spans="1:13" x14ac:dyDescent="0.25">
      <c r="A3">
        <v>2011</v>
      </c>
      <c r="B3" s="44">
        <f>SUM(gdp!F4:F7)/SUM(gdp!$E$4:$E$7)*100</f>
        <v>3.8097895653606391</v>
      </c>
      <c r="C3" s="44">
        <f>SUM(gdp!G4:G7)/SUM(gdp!$E$4:$E$7)*100</f>
        <v>12.102564243527144</v>
      </c>
      <c r="D3" s="44">
        <f>SUM(gdp!H4:H7)/SUM(gdp!$E$4:$E$7)*100</f>
        <v>11.625506434246949</v>
      </c>
      <c r="E3" s="44">
        <f>SUM(gdp!I4:I7)/SUM(gdp!$E$4:$E$7)*100</f>
        <v>3.0024847034377502</v>
      </c>
      <c r="F3" s="44">
        <f>SUM(gdp!J4:J7)/SUM(gdp!$E$4:$E$7)*100</f>
        <v>5.1647884533241868</v>
      </c>
      <c r="G3" s="44">
        <f>SUM(gdp!K4:K7)/SUM(gdp!$E$4:$E$7)*100</f>
        <v>13.020532180389951</v>
      </c>
      <c r="H3" s="44">
        <f>SUM(gdp!L4:L7)/SUM(gdp!$E$4:$E$7)*100</f>
        <v>5.9961097185679151</v>
      </c>
      <c r="I3" s="44">
        <f>SUM(gdp!M4:M7)/SUM(gdp!$E$4:$E$7)*100</f>
        <v>2.6586023605987918</v>
      </c>
      <c r="J3" s="44">
        <f>SUM(gdp!N4:N7)/SUM(gdp!$E$4:$E$7)*100</f>
        <v>8.6138575774824027</v>
      </c>
      <c r="K3" s="44">
        <f>SUM(gdp!O4:O7)/SUM(gdp!$E$4:$E$7)*100</f>
        <v>21.986450119276554</v>
      </c>
      <c r="L3" s="44">
        <f>SUM(gdp!P4:P7)/SUM(gdp!$E$4:$E$7)*100</f>
        <v>12.019314643787729</v>
      </c>
      <c r="M3" s="45">
        <f>SUM(B3:L3)</f>
        <v>100</v>
      </c>
    </row>
    <row r="4" spans="1:13" x14ac:dyDescent="0.25">
      <c r="A4">
        <v>2012</v>
      </c>
      <c r="B4" s="44">
        <f>SUM(gdp!F8:F11)/SUM(gdp!$E$8:$E$11)*100</f>
        <v>3.6095992304561029</v>
      </c>
      <c r="C4" s="44">
        <f>SUM(gdp!G8:G11)/SUM(gdp!$E$8:$E$11)*100</f>
        <v>11.898778397221736</v>
      </c>
      <c r="D4" s="44">
        <f>SUM(gdp!H8:H11)/SUM(gdp!$E$8:$E$11)*100</f>
        <v>11.755217718809016</v>
      </c>
      <c r="E4" s="44">
        <f>SUM(gdp!I8:I11)/SUM(gdp!$E$8:$E$11)*100</f>
        <v>2.9056546927539006</v>
      </c>
      <c r="F4" s="44">
        <f>SUM(gdp!J8:J11)/SUM(gdp!$E$8:$E$11)*100</f>
        <v>5.1682993982198235</v>
      </c>
      <c r="G4" s="44">
        <f>SUM(gdp!K8:K11)/SUM(gdp!$E$8:$E$11)*100</f>
        <v>12.98784163277368</v>
      </c>
      <c r="H4" s="44">
        <f>SUM(gdp!L8:L11)/SUM(gdp!$E$8:$E$11)*100</f>
        <v>5.9899165433000388</v>
      </c>
      <c r="I4" s="44">
        <f>SUM(gdp!M8:M11)/SUM(gdp!$E$8:$E$11)*100</f>
        <v>2.9920965839939826</v>
      </c>
      <c r="J4" s="44">
        <f>SUM(gdp!N8:N11)/SUM(gdp!$E$8:$E$11)*100</f>
        <v>8.5422254244801703</v>
      </c>
      <c r="K4" s="44">
        <f>SUM(gdp!O8:O11)/SUM(gdp!$E$8:$E$11)*100</f>
        <v>22.195234264173145</v>
      </c>
      <c r="L4" s="44">
        <f>SUM(gdp!P8:P11)/SUM(gdp!$E$8:$E$11)*100</f>
        <v>11.955136113818401</v>
      </c>
      <c r="M4" s="45">
        <f t="shared" ref="M4:M15" si="0">SUM(B4:L4)</f>
        <v>99.999999999999986</v>
      </c>
    </row>
    <row r="5" spans="1:13" x14ac:dyDescent="0.25">
      <c r="A5">
        <v>2013</v>
      </c>
      <c r="B5" s="44">
        <f>SUM(gdp!F12:F15)/SUM(gdp!$E$12:$E$15)*100</f>
        <v>3.6863642651340305</v>
      </c>
      <c r="C5" s="44">
        <f>SUM(gdp!G12:G15)/SUM(gdp!$E$12:$E$15)*100</f>
        <v>11.804347491247217</v>
      </c>
      <c r="D5" s="44">
        <f>SUM(gdp!H12:H15)/SUM(gdp!$E$12:$E$15)*100</f>
        <v>11.714776643505711</v>
      </c>
      <c r="E5" s="44">
        <f>SUM(gdp!I12:I15)/SUM(gdp!$E$12:$E$15)*100</f>
        <v>2.8141071918365212</v>
      </c>
      <c r="F5" s="44">
        <f>SUM(gdp!J12:J15)/SUM(gdp!$E$12:$E$15)*100</f>
        <v>5.0144531627991595</v>
      </c>
      <c r="G5" s="44">
        <f>SUM(gdp!K12:K15)/SUM(gdp!$E$12:$E$15)*100</f>
        <v>12.783261798234502</v>
      </c>
      <c r="H5" s="44">
        <f>SUM(gdp!L12:L15)/SUM(gdp!$E$12:$E$15)*100</f>
        <v>5.8703316840860458</v>
      </c>
      <c r="I5" s="44">
        <f>SUM(gdp!M12:M15)/SUM(gdp!$E$12:$E$15)*100</f>
        <v>3.127380717534467</v>
      </c>
      <c r="J5" s="44">
        <f>SUM(gdp!N12:N15)/SUM(gdp!$E$12:$E$15)*100</f>
        <v>8.7113420032468536</v>
      </c>
      <c r="K5" s="44">
        <f>SUM(gdp!O12:O15)/SUM(gdp!$E$12:$E$15)*100</f>
        <v>22.506836478246512</v>
      </c>
      <c r="L5" s="44">
        <f>SUM(gdp!P12:P15)/SUM(gdp!$E$12:$E$15)*100</f>
        <v>11.966798564128982</v>
      </c>
      <c r="M5" s="45">
        <f t="shared" si="0"/>
        <v>99.999999999999986</v>
      </c>
    </row>
    <row r="6" spans="1:13" x14ac:dyDescent="0.25">
      <c r="A6">
        <v>2014</v>
      </c>
      <c r="B6" s="44">
        <f>SUM(gdp!F16:F19)/SUM(gdp!$E$16:$E$19)*100</f>
        <v>3.7631217384939575</v>
      </c>
      <c r="C6" s="44">
        <f>SUM(gdp!G16:G19)/SUM(gdp!$E$16:$E$19)*100</f>
        <v>11.935310520932079</v>
      </c>
      <c r="D6" s="44">
        <f>SUM(gdp!H16:H19)/SUM(gdp!$E$16:$E$19)*100</f>
        <v>11.717766136283915</v>
      </c>
      <c r="E6" s="44">
        <f>SUM(gdp!I16:I19)/SUM(gdp!$E$16:$E$19)*100</f>
        <v>2.7422588396220067</v>
      </c>
      <c r="F6" s="44">
        <f>SUM(gdp!J16:J19)/SUM(gdp!$E$16:$E$19)*100</f>
        <v>4.8447983319874126</v>
      </c>
      <c r="G6" s="44">
        <f>SUM(gdp!K16:K19)/SUM(gdp!$E$16:$E$19)*100</f>
        <v>12.756930078960533</v>
      </c>
      <c r="H6" s="44">
        <f>SUM(gdp!L16:L19)/SUM(gdp!$E$16:$E$19)*100</f>
        <v>5.8563191797872722</v>
      </c>
      <c r="I6" s="44">
        <f>SUM(gdp!M16:M19)/SUM(gdp!$E$16:$E$19)*100</f>
        <v>3.2392826267152586</v>
      </c>
      <c r="J6" s="44">
        <f>SUM(gdp!N16:N19)/SUM(gdp!$E$16:$E$19)*100</f>
        <v>8.8744780093473175</v>
      </c>
      <c r="K6" s="44">
        <f>SUM(gdp!O16:O19)/SUM(gdp!$E$16:$E$19)*100</f>
        <v>22.598586948178738</v>
      </c>
      <c r="L6" s="44">
        <f>SUM(gdp!P16:P19)/SUM(gdp!$E$16:$E$19)*100</f>
        <v>11.671147589691506</v>
      </c>
      <c r="M6" s="45">
        <f t="shared" si="0"/>
        <v>99.999999999999986</v>
      </c>
    </row>
    <row r="7" spans="1:13" x14ac:dyDescent="0.25">
      <c r="A7">
        <v>2015</v>
      </c>
      <c r="B7" s="44">
        <f>SUM(gdp!F20:F23)/SUM(gdp!$E$20:$E$23)*100</f>
        <v>3.9494227371006869</v>
      </c>
      <c r="C7" s="44">
        <f>SUM(gdp!G20:G23)/SUM(gdp!$E$20:$E$23)*100</f>
        <v>12.297074879000926</v>
      </c>
      <c r="D7" s="44">
        <f>SUM(gdp!H20:H23)/SUM(gdp!$E$20:$E$23)*100</f>
        <v>11.84414740939858</v>
      </c>
      <c r="E7" s="44">
        <f>SUM(gdp!I20:I23)/SUM(gdp!$E$20:$E$23)*100</f>
        <v>2.7115810076233373</v>
      </c>
      <c r="F7" s="44">
        <f>SUM(gdp!J20:J23)/SUM(gdp!$E$20:$E$23)*100</f>
        <v>4.8443833703554198</v>
      </c>
      <c r="G7" s="44">
        <f>SUM(gdp!K20:K23)/SUM(gdp!$E$20:$E$23)*100</f>
        <v>12.133321121566867</v>
      </c>
      <c r="H7" s="44">
        <f>SUM(gdp!L20:L23)/SUM(gdp!$E$20:$E$23)*100</f>
        <v>5.9335084907565818</v>
      </c>
      <c r="I7" s="44">
        <f>SUM(gdp!M20:M23)/SUM(gdp!$E$20:$E$23)*100</f>
        <v>3.0914662327481452</v>
      </c>
      <c r="J7" s="44">
        <f>SUM(gdp!N20:N23)/SUM(gdp!$E$20:$E$23)*100</f>
        <v>9.0846136517506721</v>
      </c>
      <c r="K7" s="44">
        <f>SUM(gdp!O20:O23)/SUM(gdp!$E$20:$E$23)*100</f>
        <v>22.844154499868775</v>
      </c>
      <c r="L7" s="44">
        <f>SUM(gdp!P20:P23)/SUM(gdp!$E$20:$E$23)*100</f>
        <v>11.266326599830004</v>
      </c>
      <c r="M7" s="45">
        <f t="shared" si="0"/>
        <v>100</v>
      </c>
    </row>
    <row r="8" spans="1:13" x14ac:dyDescent="0.25">
      <c r="A8">
        <v>2016</v>
      </c>
      <c r="B8" s="44">
        <f>SUM(gdp!F24:F27)/SUM(gdp!$E$24:$E$27)*100</f>
        <v>4.0120615254283338</v>
      </c>
      <c r="C8" s="44">
        <f>SUM(gdp!G24:G27)/SUM(gdp!$E$24:$E$27)*100</f>
        <v>12.50799297094572</v>
      </c>
      <c r="D8" s="44">
        <f>SUM(gdp!H24:H27)/SUM(gdp!$E$24:$E$27)*100</f>
        <v>11.949687003879712</v>
      </c>
      <c r="E8" s="44">
        <f>SUM(gdp!I24:I27)/SUM(gdp!$E$24:$E$27)*100</f>
        <v>2.8015790015060587</v>
      </c>
      <c r="F8" s="44">
        <f>SUM(gdp!J24:J27)/SUM(gdp!$E$24:$E$27)*100</f>
        <v>4.913798057778811</v>
      </c>
      <c r="G8" s="44">
        <f>SUM(gdp!K24:K27)/SUM(gdp!$E$24:$E$27)*100</f>
        <v>11.640104040637183</v>
      </c>
      <c r="H8" s="44">
        <f>SUM(gdp!L24:L27)/SUM(gdp!$E$24:$E$27)*100</f>
        <v>6.0629291064531161</v>
      </c>
      <c r="I8" s="44">
        <f>SUM(gdp!M24:M27)/SUM(gdp!$E$24:$E$27)*100</f>
        <v>3.3456398874171178</v>
      </c>
      <c r="J8" s="44">
        <f>SUM(gdp!N24:N27)/SUM(gdp!$E$24:$E$27)*100</f>
        <v>9.1130397342273302</v>
      </c>
      <c r="K8" s="44">
        <f>SUM(gdp!O24:O27)/SUM(gdp!$E$24:$E$27)*100</f>
        <v>22.505244896278846</v>
      </c>
      <c r="L8" s="44">
        <f>SUM(gdp!P24:P27)/SUM(gdp!$E$24:$E$27)*100</f>
        <v>11.147923775447776</v>
      </c>
      <c r="M8" s="45">
        <f t="shared" si="0"/>
        <v>100.00000000000001</v>
      </c>
    </row>
    <row r="9" spans="1:13" x14ac:dyDescent="0.25">
      <c r="A9">
        <v>2017</v>
      </c>
      <c r="B9" s="44">
        <f>SUM(gdp!F28:F31)/SUM(gdp!$E$28:$E$31)*100</f>
        <v>3.9989244189288633</v>
      </c>
      <c r="C9" s="44">
        <f>SUM(gdp!G28:G31)/SUM(gdp!$E$28:$E$31)*100</f>
        <v>12.483200857385995</v>
      </c>
      <c r="D9" s="44">
        <f>SUM(gdp!H28:H31)/SUM(gdp!$E$28:$E$31)*100</f>
        <v>12.250029143709062</v>
      </c>
      <c r="E9" s="44">
        <f>SUM(gdp!I28:I31)/SUM(gdp!$E$28:$E$31)*100</f>
        <v>2.710765144266567</v>
      </c>
      <c r="F9" s="44">
        <f>SUM(gdp!J28:J31)/SUM(gdp!$E$28:$E$31)*100</f>
        <v>4.7570029962012397</v>
      </c>
      <c r="G9" s="44">
        <f>SUM(gdp!K28:K31)/SUM(gdp!$E$28:$E$31)*100</f>
        <v>11.558691766788831</v>
      </c>
      <c r="H9" s="44">
        <f>SUM(gdp!L28:L31)/SUM(gdp!$E$28:$E$31)*100</f>
        <v>5.9557154801656855</v>
      </c>
      <c r="I9" s="44">
        <f>SUM(gdp!M28:M31)/SUM(gdp!$E$28:$E$31)*100</f>
        <v>3.3055163205445046</v>
      </c>
      <c r="J9" s="44">
        <f>SUM(gdp!N28:N31)/SUM(gdp!$E$28:$E$31)*100</f>
        <v>9.2361519322141739</v>
      </c>
      <c r="K9" s="44">
        <f>SUM(gdp!O28:O31)/SUM(gdp!$E$28:$E$31)*100</f>
        <v>22.61511157248788</v>
      </c>
      <c r="L9" s="44">
        <f>SUM(gdp!P28:P31)/SUM(gdp!$E$28:$E$31)*100</f>
        <v>11.128890367307202</v>
      </c>
      <c r="M9" s="45">
        <f t="shared" si="0"/>
        <v>100</v>
      </c>
    </row>
    <row r="10" spans="1:13" x14ac:dyDescent="0.25">
      <c r="A10">
        <v>2018</v>
      </c>
      <c r="B10" s="44">
        <f>SUM(gdp!F32:F35)/SUM(gdp!$E$32:$E$35)*100</f>
        <v>3.9561849347496971</v>
      </c>
      <c r="C10" s="44">
        <f>SUM(gdp!G32:G35)/SUM(gdp!$E$32:$E$35)*100</f>
        <v>12.42678521583551</v>
      </c>
      <c r="D10" s="44">
        <f>SUM(gdp!H32:H35)/SUM(gdp!$E$32:$E$35)*100</f>
        <v>12.387761664756274</v>
      </c>
      <c r="E10" s="44">
        <f>SUM(gdp!I32:I35)/SUM(gdp!$E$32:$E$35)*100</f>
        <v>2.6862396553475332</v>
      </c>
      <c r="F10" s="44">
        <f>SUM(gdp!J32:J35)/SUM(gdp!$E$32:$E$35)*100</f>
        <v>4.7159063819683276</v>
      </c>
      <c r="G10" s="44">
        <f>SUM(gdp!K32:K35)/SUM(gdp!$E$32:$E$35)*100</f>
        <v>11.412996560368672</v>
      </c>
      <c r="H10" s="44">
        <f>SUM(gdp!L32:L35)/SUM(gdp!$E$32:$E$35)*100</f>
        <v>5.9696489816386862</v>
      </c>
      <c r="I10" s="44">
        <f>SUM(gdp!M32:M35)/SUM(gdp!$E$32:$E$35)*100</f>
        <v>3.5104076153194899</v>
      </c>
      <c r="J10" s="44">
        <f>SUM(gdp!N32:N35)/SUM(gdp!$E$32:$E$35)*100</f>
        <v>9.2851446731427103</v>
      </c>
      <c r="K10" s="44">
        <f>SUM(gdp!O32:O35)/SUM(gdp!$E$32:$E$35)*100</f>
        <v>22.495276062468651</v>
      </c>
      <c r="L10" s="44">
        <f>SUM(gdp!P32:P35)/SUM(gdp!$E$32:$E$35)*100</f>
        <v>11.153648254404448</v>
      </c>
      <c r="M10" s="45">
        <f t="shared" si="0"/>
        <v>100</v>
      </c>
    </row>
    <row r="11" spans="1:13" x14ac:dyDescent="0.25">
      <c r="A11">
        <v>2019</v>
      </c>
      <c r="B11" s="44">
        <f>SUM(gdp!F36:F39)/SUM(gdp!$E$36:$E$39)*100</f>
        <v>4.0048717121595603</v>
      </c>
      <c r="C11" s="44">
        <f>SUM(gdp!G36:G39)/SUM(gdp!$E$36:$E$39)*100</f>
        <v>12.466220774667139</v>
      </c>
      <c r="D11" s="44">
        <f>SUM(gdp!H36:H39)/SUM(gdp!$E$36:$E$39)*100</f>
        <v>12.468915013532561</v>
      </c>
      <c r="E11" s="44">
        <f>SUM(gdp!I36:I39)/SUM(gdp!$E$36:$E$39)*100</f>
        <v>2.6194924607080958</v>
      </c>
      <c r="F11" s="44">
        <f>SUM(gdp!J36:J39)/SUM(gdp!$E$36:$E$39)*100</f>
        <v>4.529719022300787</v>
      </c>
      <c r="G11" s="44">
        <f>SUM(gdp!K36:K39)/SUM(gdp!$E$36:$E$39)*100</f>
        <v>11.193434683418033</v>
      </c>
      <c r="H11" s="44">
        <f>SUM(gdp!L36:L39)/SUM(gdp!$E$36:$E$39)*100</f>
        <v>5.9392257159407515</v>
      </c>
      <c r="I11" s="44">
        <f>SUM(gdp!M36:M39)/SUM(gdp!$E$36:$E$39)*100</f>
        <v>3.8472377733942151</v>
      </c>
      <c r="J11" s="44">
        <f>SUM(gdp!N36:N39)/SUM(gdp!$E$36:$E$39)*100</f>
        <v>9.3247301829631208</v>
      </c>
      <c r="K11" s="44">
        <f>SUM(gdp!O36:O39)/SUM(gdp!$E$36:$E$39)*100</f>
        <v>22.453252874326338</v>
      </c>
      <c r="L11" s="44">
        <f>SUM(gdp!P36:P39)/SUM(gdp!$E$36:$E$39)*100</f>
        <v>11.152899786589396</v>
      </c>
      <c r="M11" s="45">
        <f t="shared" si="0"/>
        <v>100</v>
      </c>
    </row>
    <row r="12" spans="1:13" x14ac:dyDescent="0.25">
      <c r="A12">
        <v>2020</v>
      </c>
      <c r="B12" s="44">
        <f>SUM(gdp!F40:F43)/SUM(gdp!$E$40:$E$43)*100</f>
        <v>4.1212936786212335</v>
      </c>
      <c r="C12" s="44">
        <f>SUM(gdp!G40:G43)/SUM(gdp!$E$40:$E$43)*100</f>
        <v>11.97114552727316</v>
      </c>
      <c r="D12" s="44">
        <f>SUM(gdp!H40:H43)/SUM(gdp!$E$40:$E$43)*100</f>
        <v>12.826874397219687</v>
      </c>
      <c r="E12" s="44">
        <f>SUM(gdp!I40:I43)/SUM(gdp!$E$40:$E$43)*100</f>
        <v>2.6231189284451855</v>
      </c>
      <c r="F12" s="44">
        <f>SUM(gdp!J40:J43)/SUM(gdp!$E$40:$E$43)*100</f>
        <v>4.4972548546919633</v>
      </c>
      <c r="G12" s="44">
        <f>SUM(gdp!K40:K43)/SUM(gdp!$E$40:$E$43)*100</f>
        <v>11.347255603726545</v>
      </c>
      <c r="H12" s="44">
        <f>SUM(gdp!L40:L43)/SUM(gdp!$E$40:$E$43)*100</f>
        <v>5.4372697125697131</v>
      </c>
      <c r="I12" s="44">
        <f>SUM(gdp!M40:M43)/SUM(gdp!$E$40:$E$43)*100</f>
        <v>4.461390048889986</v>
      </c>
      <c r="J12" s="44">
        <f>SUM(gdp!N40:N43)/SUM(gdp!$E$40:$E$43)*100</f>
        <v>9.3995592931187861</v>
      </c>
      <c r="K12" s="44">
        <f>SUM(gdp!O40:O43)/SUM(gdp!$E$40:$E$43)*100</f>
        <v>22.574051857151449</v>
      </c>
      <c r="L12" s="44">
        <f>SUM(gdp!P40:P43)/SUM(gdp!$E$40:$E$43)*100</f>
        <v>10.740786098292286</v>
      </c>
      <c r="M12" s="45">
        <f t="shared" si="0"/>
        <v>100</v>
      </c>
    </row>
    <row r="13" spans="1:13" x14ac:dyDescent="0.25">
      <c r="A13">
        <v>2021</v>
      </c>
      <c r="B13" s="44">
        <f>SUM(gdp!F44:F47)/SUM(gdp!$E$44:$E$47)*100</f>
        <v>3.8700019709271603</v>
      </c>
      <c r="C13" s="44">
        <f>SUM(gdp!G44:G47)/SUM(gdp!$E$44:$E$47)*100</f>
        <v>11.760795020061034</v>
      </c>
      <c r="D13" s="44">
        <f>SUM(gdp!H44:H47)/SUM(gdp!$E$44:$E$47)*100</f>
        <v>12.871055893981897</v>
      </c>
      <c r="E13" s="44">
        <f>SUM(gdp!I44:I47)/SUM(gdp!$E$44:$E$47)*100</f>
        <v>2.652620011691178</v>
      </c>
      <c r="F13" s="44">
        <f>SUM(gdp!J44:J47)/SUM(gdp!$E$44:$E$47)*100</f>
        <v>4.4876697147778444</v>
      </c>
      <c r="G13" s="44">
        <f>SUM(gdp!K44:K47)/SUM(gdp!$E$44:$E$47)*100</f>
        <v>11.374782596015667</v>
      </c>
      <c r="H13" s="44">
        <f>SUM(gdp!L44:L47)/SUM(gdp!$E$44:$E$47)*100</f>
        <v>5.5390644841300718</v>
      </c>
      <c r="I13" s="44">
        <f>SUM(gdp!M44:M47)/SUM(gdp!$E$44:$E$47)*100</f>
        <v>4.8350506009513436</v>
      </c>
      <c r="J13" s="44">
        <f>SUM(gdp!N44:N47)/SUM(gdp!$E$44:$E$47)*100</f>
        <v>9.3692865829593899</v>
      </c>
      <c r="K13" s="44">
        <f>SUM(gdp!O44:O47)/SUM(gdp!$E$44:$E$47)*100</f>
        <v>22.981467370904923</v>
      </c>
      <c r="L13" s="44">
        <f>SUM(gdp!P44:P47)/SUM(gdp!$E$44:$E$47)*100</f>
        <v>10.258205753599491</v>
      </c>
      <c r="M13" s="45">
        <f t="shared" si="0"/>
        <v>100</v>
      </c>
    </row>
    <row r="14" spans="1:13" x14ac:dyDescent="0.25">
      <c r="A14">
        <v>2022</v>
      </c>
      <c r="B14" s="44">
        <f>SUM(gdp!F48:F51)/SUM(gdp!$E$48:$E$51)*100</f>
        <v>4.2146054210899226</v>
      </c>
      <c r="C14" s="44">
        <f>SUM(gdp!G48:G51)/SUM(gdp!$E$48:$E$51)*100</f>
        <v>12.05206343982603</v>
      </c>
      <c r="D14" s="44">
        <f>SUM(gdp!H48:H51)/SUM(gdp!$E$48:$E$51)*100</f>
        <v>12.817176437934275</v>
      </c>
      <c r="E14" s="44">
        <f>SUM(gdp!I48:I51)/SUM(gdp!$E$48:$E$51)*100</f>
        <v>2.6796633150789941</v>
      </c>
      <c r="F14" s="44">
        <f>SUM(gdp!J48:J51)/SUM(gdp!$E$48:$E$51)*100</f>
        <v>4.8126962010131651</v>
      </c>
      <c r="G14" s="44">
        <f>SUM(gdp!K48:K51)/SUM(gdp!$E$48:$E$51)*100</f>
        <v>10.140400737975918</v>
      </c>
      <c r="H14" s="44">
        <f>SUM(gdp!L48:L51)/SUM(gdp!$E$48:$E$51)*100</f>
        <v>5.5550839867344148</v>
      </c>
      <c r="I14" s="44">
        <f>SUM(gdp!M48:M51)/SUM(gdp!$E$48:$E$51)*100</f>
        <v>5.1026714827208162</v>
      </c>
      <c r="J14" s="44">
        <f>SUM(gdp!N48:N51)/SUM(gdp!$E$48:$E$51)*100</f>
        <v>9.6020375369118582</v>
      </c>
      <c r="K14" s="44">
        <f>SUM(gdp!O48:O51)/SUM(gdp!$E$48:$E$51)*100</f>
        <v>23.498099898362625</v>
      </c>
      <c r="L14" s="44">
        <f>SUM(gdp!P48:P51)/SUM(gdp!$E$48:$E$51)*100</f>
        <v>9.5255015423519538</v>
      </c>
      <c r="M14" s="45">
        <f t="shared" si="0"/>
        <v>99.999999999999972</v>
      </c>
    </row>
    <row r="15" spans="1:13" x14ac:dyDescent="0.25">
      <c r="A15">
        <v>2023</v>
      </c>
      <c r="B15" s="44">
        <f>SUM(gdp!F52:F54)/SUM(gdp!$E$52:$E$54)*100</f>
        <v>4.1801866306398745</v>
      </c>
      <c r="C15" s="44">
        <f>SUM(gdp!G52:G54)/SUM(gdp!$E$52:$E$54)*100</f>
        <v>11.781695995286242</v>
      </c>
      <c r="D15" s="44">
        <f>SUM(gdp!H52:H54)/SUM(gdp!$E$52:$E$54)*100</f>
        <v>13.199535301028661</v>
      </c>
      <c r="E15" s="44">
        <f>SUM(gdp!I52:I54)/SUM(gdp!$E$52:$E$54)*100</f>
        <v>2.5892996030240796</v>
      </c>
      <c r="F15" s="44">
        <f>SUM(gdp!J52:J54)/SUM(gdp!$E$52:$E$54)*100</f>
        <v>4.2188074160216642</v>
      </c>
      <c r="G15" s="44">
        <f>SUM(gdp!K52:K54)/SUM(gdp!$E$52:$E$54)*100</f>
        <v>10.624048363680204</v>
      </c>
      <c r="H15" s="44">
        <f>SUM(gdp!L52:L54)/SUM(gdp!$E$52:$E$54)*100</f>
        <v>5.6512116621717894</v>
      </c>
      <c r="I15" s="44">
        <f>SUM(gdp!M52:M54)/SUM(gdp!$E$52:$E$54)*100</f>
        <v>5.302407801921559</v>
      </c>
      <c r="J15" s="44">
        <f>SUM(gdp!N52:N54)/SUM(gdp!$E$52:$E$54)*100</f>
        <v>9.8086850381896191</v>
      </c>
      <c r="K15" s="44">
        <f>SUM(gdp!O52:O54)/SUM(gdp!$E$52:$E$54)*100</f>
        <v>23.148428538446929</v>
      </c>
      <c r="L15" s="44">
        <f>SUM(gdp!P52:P54)/SUM(gdp!$E$52:$E$54)*100</f>
        <v>9.4956936495893931</v>
      </c>
      <c r="M15" s="45">
        <f t="shared" si="0"/>
        <v>100.00000000000001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BA08-4966-414E-9679-4396C903E1EF}">
  <dimension ref="A1:M66"/>
  <sheetViews>
    <sheetView tabSelected="1" workbookViewId="0">
      <selection activeCell="D18" sqref="D18"/>
    </sheetView>
  </sheetViews>
  <sheetFormatPr defaultRowHeight="15" x14ac:dyDescent="0.25"/>
  <cols>
    <col min="1" max="1" width="10.140625" bestFit="1" customWidth="1"/>
  </cols>
  <sheetData>
    <row r="1" spans="1:13" x14ac:dyDescent="0.25">
      <c r="A1" t="s">
        <v>63</v>
      </c>
      <c r="B1" t="s">
        <v>35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45</v>
      </c>
      <c r="M1" t="s">
        <v>46</v>
      </c>
    </row>
    <row r="2" spans="1:13" x14ac:dyDescent="0.25">
      <c r="A2" s="46">
        <v>40695</v>
      </c>
      <c r="B2">
        <v>1.3576691255935032</v>
      </c>
      <c r="C2">
        <v>-1.0015022806182117</v>
      </c>
      <c r="D2">
        <v>-0.4766727843651779</v>
      </c>
      <c r="E2">
        <v>3.8291542351442303</v>
      </c>
      <c r="F2">
        <v>-0.4459179790807184</v>
      </c>
      <c r="G2">
        <v>4.4647568180010921</v>
      </c>
      <c r="H2">
        <v>0.5559418915778167</v>
      </c>
      <c r="I2">
        <v>0.59957322892883269</v>
      </c>
      <c r="J2">
        <v>1.9824194810213527</v>
      </c>
      <c r="K2">
        <v>0.43735712713323949</v>
      </c>
      <c r="L2">
        <v>4.4547464725652333</v>
      </c>
      <c r="M2">
        <v>1.4457279993619068</v>
      </c>
    </row>
    <row r="3" spans="1:13" x14ac:dyDescent="0.25">
      <c r="A3" s="46">
        <v>40787</v>
      </c>
      <c r="B3">
        <v>1.5075570975756136</v>
      </c>
      <c r="C3">
        <v>0.75273334858006535</v>
      </c>
      <c r="D3">
        <v>0.84709675387091465</v>
      </c>
      <c r="E3">
        <v>-4.8400630608693689</v>
      </c>
      <c r="F3">
        <v>-0.95900140440443238</v>
      </c>
      <c r="G3">
        <v>0.95786028692104708</v>
      </c>
      <c r="H3">
        <v>2.0682402892717704</v>
      </c>
      <c r="I3">
        <v>0.40320987834654431</v>
      </c>
      <c r="J3">
        <v>3.744805253963861</v>
      </c>
      <c r="K3">
        <v>2.0433385839453422E-2</v>
      </c>
      <c r="L3">
        <v>3.2431877339178783</v>
      </c>
      <c r="M3">
        <v>1.2372164186971446</v>
      </c>
    </row>
    <row r="4" spans="1:13" x14ac:dyDescent="0.25">
      <c r="A4" s="46">
        <v>40878</v>
      </c>
      <c r="B4">
        <v>1.228870910654777</v>
      </c>
      <c r="C4">
        <v>0.80241020194505097</v>
      </c>
      <c r="D4">
        <v>0.55795764393427305</v>
      </c>
      <c r="E4">
        <v>-0.52128745897789486</v>
      </c>
      <c r="F4">
        <v>-0.81753139527866381</v>
      </c>
      <c r="G4">
        <v>-8.1067666015361368</v>
      </c>
      <c r="H4">
        <v>3.6053043092156116</v>
      </c>
      <c r="I4">
        <v>1.1466620151221036</v>
      </c>
      <c r="J4">
        <v>3.012767797378217</v>
      </c>
      <c r="K4">
        <v>5.5449661577653444</v>
      </c>
      <c r="L4">
        <v>-0.22335582710830693</v>
      </c>
      <c r="M4">
        <v>1.0525111307895685</v>
      </c>
    </row>
    <row r="5" spans="1:13" x14ac:dyDescent="0.25">
      <c r="A5" s="46">
        <v>40969</v>
      </c>
      <c r="B5">
        <v>1.4641556982320765</v>
      </c>
      <c r="C5">
        <v>1.067913866807487</v>
      </c>
      <c r="D5">
        <v>2.5623869881158186</v>
      </c>
      <c r="E5">
        <v>6.5548467648329165</v>
      </c>
      <c r="F5">
        <v>2.0654822832807582</v>
      </c>
      <c r="G5">
        <v>7.3164877460228013</v>
      </c>
      <c r="H5">
        <v>1.6185786955891643</v>
      </c>
      <c r="I5">
        <v>1.8712903157904037</v>
      </c>
      <c r="J5">
        <v>5.8895917687507051</v>
      </c>
      <c r="K5">
        <v>-8.7433831883899416E-2</v>
      </c>
      <c r="L5">
        <v>-5.8202503336545419E-2</v>
      </c>
      <c r="M5">
        <v>0.98304497393262125</v>
      </c>
    </row>
    <row r="6" spans="1:13" x14ac:dyDescent="0.25">
      <c r="A6" s="46">
        <v>41061</v>
      </c>
      <c r="B6">
        <v>0.37212951382299764</v>
      </c>
      <c r="C6">
        <v>-0.68856073218377389</v>
      </c>
      <c r="D6">
        <v>-1.3593259607782073</v>
      </c>
      <c r="E6">
        <v>2.2227265866425796</v>
      </c>
      <c r="F6">
        <v>-0.82384145557237787</v>
      </c>
      <c r="G6">
        <v>4.7770065574780176</v>
      </c>
      <c r="H6">
        <v>-1.6575200942652373</v>
      </c>
      <c r="I6">
        <v>0.17451247294597749</v>
      </c>
      <c r="J6">
        <v>4.9857624254003241</v>
      </c>
      <c r="K6">
        <v>0.33085168967868128</v>
      </c>
      <c r="L6">
        <v>1.9347703850197746</v>
      </c>
      <c r="M6">
        <v>0.42726437435990761</v>
      </c>
    </row>
    <row r="7" spans="1:13" x14ac:dyDescent="0.25">
      <c r="A7" s="46">
        <v>41153</v>
      </c>
      <c r="B7">
        <v>0.41167198316315989</v>
      </c>
      <c r="C7">
        <v>0.20557994746440045</v>
      </c>
      <c r="D7">
        <v>0.56407066549964213</v>
      </c>
      <c r="E7">
        <v>-4.2523220435365232</v>
      </c>
      <c r="F7">
        <v>0.69070457527986662</v>
      </c>
      <c r="G7">
        <v>-3.5620393634040255</v>
      </c>
      <c r="H7">
        <v>0.13345358719713829</v>
      </c>
      <c r="I7">
        <v>0.7686853561879019</v>
      </c>
      <c r="J7">
        <v>1.5266962226033058</v>
      </c>
      <c r="K7">
        <v>-2.1142649784337664E-2</v>
      </c>
      <c r="L7">
        <v>0.75809442421143558</v>
      </c>
      <c r="M7">
        <v>0.34493874109382716</v>
      </c>
    </row>
    <row r="8" spans="1:13" x14ac:dyDescent="0.25">
      <c r="A8" s="46">
        <v>41244</v>
      </c>
      <c r="B8">
        <v>2.9497340059663202E-3</v>
      </c>
      <c r="C8">
        <v>2.3973251872334345E-2</v>
      </c>
      <c r="D8">
        <v>-0.91441384301799644</v>
      </c>
      <c r="E8">
        <v>-0.5214889950203343</v>
      </c>
      <c r="F8">
        <v>0.98666894817007744</v>
      </c>
      <c r="G8">
        <v>-4.8419297823460568</v>
      </c>
      <c r="H8">
        <v>-2.1089369098948083</v>
      </c>
      <c r="I8">
        <v>-0.22022984903090048</v>
      </c>
      <c r="J8">
        <v>1.4353213796434403</v>
      </c>
      <c r="K8">
        <v>0.30951902072149551</v>
      </c>
      <c r="L8">
        <v>-0.10436672822719117</v>
      </c>
      <c r="M8">
        <v>0.39725222346518763</v>
      </c>
    </row>
    <row r="9" spans="1:13" x14ac:dyDescent="0.25">
      <c r="A9" s="46">
        <v>41334</v>
      </c>
      <c r="B9">
        <v>0.93291499110246434</v>
      </c>
      <c r="C9">
        <v>1.0823538520458271</v>
      </c>
      <c r="D9">
        <v>1.360316358903674</v>
      </c>
      <c r="E9">
        <v>4.8134924963182186</v>
      </c>
      <c r="F9">
        <v>-1.5468098390154239</v>
      </c>
      <c r="G9">
        <v>4.5439073391776503</v>
      </c>
      <c r="H9">
        <v>1.8863178423366094</v>
      </c>
      <c r="I9">
        <v>-0.74541623493571763</v>
      </c>
      <c r="J9">
        <v>0.46278199542442167</v>
      </c>
      <c r="K9">
        <v>4.2125784340514514</v>
      </c>
      <c r="L9">
        <v>0.73001885250216958</v>
      </c>
      <c r="M9">
        <v>1.4862476094607189</v>
      </c>
    </row>
    <row r="10" spans="1:13" x14ac:dyDescent="0.25">
      <c r="A10" s="46">
        <v>41426</v>
      </c>
      <c r="B10">
        <v>0.39323457262079842</v>
      </c>
      <c r="C10">
        <v>0.65123128115509132</v>
      </c>
      <c r="D10">
        <v>1.8727443527883025</v>
      </c>
      <c r="E10">
        <v>3.3724458922216485</v>
      </c>
      <c r="F10">
        <v>0.62293267298989008</v>
      </c>
      <c r="G10">
        <v>3.0116622846938697</v>
      </c>
      <c r="H10">
        <v>-6.3188340554390265E-2</v>
      </c>
      <c r="I10">
        <v>0.24938463934776678</v>
      </c>
      <c r="J10">
        <v>2.9498266855219129</v>
      </c>
      <c r="K10">
        <v>0.21559413815452899</v>
      </c>
      <c r="L10">
        <v>6.8084646260516024E-2</v>
      </c>
      <c r="M10">
        <v>-0.74944665831712598</v>
      </c>
    </row>
    <row r="11" spans="1:13" x14ac:dyDescent="0.25">
      <c r="A11" s="46">
        <v>41518</v>
      </c>
      <c r="B11">
        <v>-0.12763535550472227</v>
      </c>
      <c r="C11">
        <v>-9.5389516211014325E-2</v>
      </c>
      <c r="D11">
        <v>-2.0899796973045142</v>
      </c>
      <c r="E11">
        <v>-4.6431960726436472</v>
      </c>
      <c r="F11">
        <v>-1.629963594292434</v>
      </c>
      <c r="G11">
        <v>-3.8145407095579174</v>
      </c>
      <c r="H11">
        <v>-0.96077119276543499</v>
      </c>
      <c r="I11">
        <v>0.71318071690163265</v>
      </c>
      <c r="J11">
        <v>2.0600870782691487</v>
      </c>
      <c r="K11">
        <v>0.15349030394141039</v>
      </c>
      <c r="L11">
        <v>1.3755956041955386</v>
      </c>
      <c r="M11">
        <v>-0.68373252540288831</v>
      </c>
    </row>
    <row r="12" spans="1:13" x14ac:dyDescent="0.25">
      <c r="A12" s="46">
        <v>41609</v>
      </c>
      <c r="B12">
        <v>0.61912185135766151</v>
      </c>
      <c r="C12">
        <v>1.9659375048584309</v>
      </c>
      <c r="D12">
        <v>-4.7603433439178389E-2</v>
      </c>
      <c r="E12">
        <v>-1.8993307071040704</v>
      </c>
      <c r="F12">
        <v>-1.8668000412421435</v>
      </c>
      <c r="G12">
        <v>-4.5200458326090711</v>
      </c>
      <c r="H12">
        <v>3.0751396710191585</v>
      </c>
      <c r="I12">
        <v>-0.37582129854072832</v>
      </c>
      <c r="J12">
        <v>0.55182587886713463</v>
      </c>
      <c r="K12">
        <v>0.22974066346053235</v>
      </c>
      <c r="L12">
        <v>2.0586673430193798</v>
      </c>
      <c r="M12">
        <v>2.4262258912415291E-2</v>
      </c>
    </row>
    <row r="13" spans="1:13" x14ac:dyDescent="0.25">
      <c r="A13" s="46">
        <v>41699</v>
      </c>
      <c r="B13">
        <v>-0.10808958685862535</v>
      </c>
      <c r="C13">
        <v>-1.3581959462642033</v>
      </c>
      <c r="D13">
        <v>0.66746133687487941</v>
      </c>
      <c r="E13">
        <v>3.7895526361890575</v>
      </c>
      <c r="F13">
        <v>0.58372229923986652</v>
      </c>
      <c r="G13">
        <v>1.8389305616173743</v>
      </c>
      <c r="H13">
        <v>-1.3313774129770479</v>
      </c>
      <c r="I13">
        <v>0.49080398170697492</v>
      </c>
      <c r="J13">
        <v>2.9800930881254573</v>
      </c>
      <c r="K13">
        <v>0.30994342045731571</v>
      </c>
      <c r="L13">
        <v>-1.1933288911115625</v>
      </c>
      <c r="M13">
        <v>-1.339783291960515</v>
      </c>
    </row>
    <row r="14" spans="1:13" x14ac:dyDescent="0.25">
      <c r="A14" s="46">
        <v>41791</v>
      </c>
      <c r="B14">
        <v>0.64934444491120757</v>
      </c>
      <c r="C14">
        <v>2.3632750172979371</v>
      </c>
      <c r="D14">
        <v>3.6475045138604827</v>
      </c>
      <c r="E14">
        <v>0.49095553597713604</v>
      </c>
      <c r="F14">
        <v>-0.41231351889116752</v>
      </c>
      <c r="G14">
        <v>4.8461611898851658</v>
      </c>
      <c r="H14">
        <v>1.1394738020838417</v>
      </c>
      <c r="I14">
        <v>0.26057520773599663</v>
      </c>
      <c r="J14">
        <v>-0.32414992235779039</v>
      </c>
      <c r="K14">
        <v>-9.8264743119642617E-2</v>
      </c>
      <c r="L14">
        <v>0.25409717818438082</v>
      </c>
      <c r="M14">
        <v>0.85850008354984197</v>
      </c>
    </row>
    <row r="15" spans="1:13" x14ac:dyDescent="0.25">
      <c r="A15" s="46">
        <v>41883</v>
      </c>
      <c r="B15">
        <v>-0.29071009489254607</v>
      </c>
      <c r="C15">
        <v>0.17140653727464894</v>
      </c>
      <c r="D15">
        <v>-2.2715972674197928</v>
      </c>
      <c r="E15">
        <v>-2.0652500231449977</v>
      </c>
      <c r="F15">
        <v>-0.59488753750831336</v>
      </c>
      <c r="G15">
        <v>-3.6065943125207838</v>
      </c>
      <c r="H15">
        <v>-2.4785247107061679</v>
      </c>
      <c r="I15">
        <v>-0.93800689671965642</v>
      </c>
      <c r="J15">
        <v>-0.53819861061465701</v>
      </c>
      <c r="K15">
        <v>0.2778299357590015</v>
      </c>
      <c r="L15">
        <v>2.1002468169568402</v>
      </c>
      <c r="M15">
        <v>0.51925545209951451</v>
      </c>
    </row>
    <row r="16" spans="1:13" x14ac:dyDescent="0.25">
      <c r="A16" s="46">
        <v>41974</v>
      </c>
      <c r="B16">
        <v>-0.1573734840885237</v>
      </c>
      <c r="C16">
        <v>0.19794556803857688</v>
      </c>
      <c r="D16">
        <v>0.9280620514325193</v>
      </c>
      <c r="E16">
        <v>2.6072332095668855</v>
      </c>
      <c r="F16">
        <v>-0.12792366993915039</v>
      </c>
      <c r="G16">
        <v>-3.3531545500251809</v>
      </c>
      <c r="H16">
        <v>2.0402354492411661</v>
      </c>
      <c r="I16">
        <v>0.75656061458279567</v>
      </c>
      <c r="J16">
        <v>-1.3299952375573838</v>
      </c>
      <c r="K16">
        <v>0.42527808164571468</v>
      </c>
      <c r="L16">
        <v>-1.6632893719656181</v>
      </c>
      <c r="M16">
        <v>-1.6563014147361486</v>
      </c>
    </row>
    <row r="17" spans="1:13" x14ac:dyDescent="0.25">
      <c r="A17" s="46">
        <v>42064</v>
      </c>
      <c r="B17">
        <v>-1.3112674589401365</v>
      </c>
      <c r="C17">
        <v>-0.10038542540033291</v>
      </c>
      <c r="D17">
        <v>-0.8344960831746846</v>
      </c>
      <c r="E17">
        <v>-5.1531839242888111</v>
      </c>
      <c r="F17">
        <v>-1.5475469495190595</v>
      </c>
      <c r="G17">
        <v>-2.4531478339921478</v>
      </c>
      <c r="H17">
        <v>-3.6473259318929365</v>
      </c>
      <c r="I17">
        <v>-1.348582493107287</v>
      </c>
      <c r="J17">
        <v>-3.3727143923528331</v>
      </c>
      <c r="K17">
        <v>3.450558252113467E-2</v>
      </c>
      <c r="L17">
        <v>-0.11891195777621988</v>
      </c>
      <c r="M17">
        <v>-1.8943133853731524</v>
      </c>
    </row>
    <row r="18" spans="1:13" x14ac:dyDescent="0.25">
      <c r="A18" s="46">
        <v>42156</v>
      </c>
      <c r="B18">
        <v>-0.6927835977779182</v>
      </c>
      <c r="C18">
        <v>1.8760089004974674</v>
      </c>
      <c r="D18">
        <v>0.65494133813683675</v>
      </c>
      <c r="E18">
        <v>0.48946186096956978</v>
      </c>
      <c r="F18">
        <v>-0.60264667499180291</v>
      </c>
      <c r="G18">
        <v>0.52544720923589239</v>
      </c>
      <c r="H18">
        <v>-4.617493927273415</v>
      </c>
      <c r="I18">
        <v>0.61431906794295799</v>
      </c>
      <c r="J18">
        <v>-1.6218005133075906</v>
      </c>
      <c r="K18">
        <v>0.19584861050516622</v>
      </c>
      <c r="L18">
        <v>-0.25335858185654558</v>
      </c>
      <c r="M18">
        <v>-1.7416159127443649</v>
      </c>
    </row>
    <row r="19" spans="1:13" x14ac:dyDescent="0.25">
      <c r="A19" s="46">
        <v>42248</v>
      </c>
      <c r="B19">
        <v>0.37440873957734766</v>
      </c>
      <c r="C19">
        <v>1.0276014239644695</v>
      </c>
      <c r="D19">
        <v>1.0051511050015023</v>
      </c>
      <c r="E19">
        <v>2.9575952337643088</v>
      </c>
      <c r="F19">
        <v>9.5548125411212936E-2</v>
      </c>
      <c r="G19">
        <v>1.3391938964082044</v>
      </c>
      <c r="H19">
        <v>1.4040186895930731</v>
      </c>
      <c r="I19">
        <v>0.26992751074385524</v>
      </c>
      <c r="J19">
        <v>1.2328436218161727</v>
      </c>
      <c r="K19">
        <v>0.53688011051831097</v>
      </c>
      <c r="L19">
        <v>-0.33687334368534039</v>
      </c>
      <c r="M19">
        <v>-1.4899400710949209</v>
      </c>
    </row>
    <row r="20" spans="1:13" x14ac:dyDescent="0.25">
      <c r="A20" s="46">
        <v>42339</v>
      </c>
      <c r="B20">
        <v>-0.13024285587006545</v>
      </c>
      <c r="C20">
        <v>0.58328541534132228</v>
      </c>
      <c r="D20">
        <v>1.5856526794042765</v>
      </c>
      <c r="E20">
        <v>1.8203610834237338</v>
      </c>
      <c r="F20">
        <v>0.25297554200527372</v>
      </c>
      <c r="G20">
        <v>1.4121614447593771</v>
      </c>
      <c r="H20">
        <v>-3.9231597139294507</v>
      </c>
      <c r="I20">
        <v>0.64608079178800892</v>
      </c>
      <c r="J20">
        <v>-4.8056620556120038</v>
      </c>
      <c r="K20">
        <v>0.36429510409554666</v>
      </c>
      <c r="L20">
        <v>0.27647027175422068</v>
      </c>
      <c r="M20">
        <v>-0.34838743113550663</v>
      </c>
    </row>
    <row r="21" spans="1:13" x14ac:dyDescent="0.25">
      <c r="A21" s="46">
        <v>42430</v>
      </c>
      <c r="B21">
        <v>6.1034586527512147E-2</v>
      </c>
      <c r="C21">
        <v>8.5614058975778562E-2</v>
      </c>
      <c r="D21">
        <v>-0.38344066107204355</v>
      </c>
      <c r="E21">
        <v>-4.0128403374516495</v>
      </c>
      <c r="F21">
        <v>1.1098606156058111</v>
      </c>
      <c r="G21">
        <v>-2.5385624171525194</v>
      </c>
      <c r="H21">
        <v>1.8725062742158514</v>
      </c>
      <c r="I21">
        <v>1.3308308909551556</v>
      </c>
      <c r="J21">
        <v>12.109848670962037</v>
      </c>
      <c r="K21">
        <v>0.14863154210348739</v>
      </c>
      <c r="L21">
        <v>-1.7506695235768888</v>
      </c>
      <c r="M21">
        <v>0.10435739392760013</v>
      </c>
    </row>
    <row r="22" spans="1:13" x14ac:dyDescent="0.25">
      <c r="A22" s="46">
        <v>42522</v>
      </c>
      <c r="B22">
        <v>-3.8827644253274229E-2</v>
      </c>
      <c r="C22">
        <v>0.4388255722087564</v>
      </c>
      <c r="D22">
        <v>-0.25614815459954343</v>
      </c>
      <c r="E22">
        <v>1.3616754080129283</v>
      </c>
      <c r="F22">
        <v>0.76936758932744453</v>
      </c>
      <c r="G22">
        <v>1.783966962569508</v>
      </c>
      <c r="H22">
        <v>-1.8671770620554611</v>
      </c>
      <c r="I22">
        <v>-0.24279456170516767</v>
      </c>
      <c r="J22">
        <v>0.14104186961425569</v>
      </c>
      <c r="K22">
        <v>0.49226717446933321</v>
      </c>
      <c r="L22">
        <v>0.30503956474386484</v>
      </c>
      <c r="M22">
        <v>7.9614576333170817E-2</v>
      </c>
    </row>
    <row r="23" spans="1:13" x14ac:dyDescent="0.25">
      <c r="A23" s="46">
        <v>42614</v>
      </c>
      <c r="B23">
        <v>0.1350101125830605</v>
      </c>
      <c r="C23">
        <v>1.0505781038312421</v>
      </c>
      <c r="D23">
        <v>0.49806011703307718</v>
      </c>
      <c r="E23">
        <v>2.8682265276875967</v>
      </c>
      <c r="F23">
        <v>1.8355674949664689</v>
      </c>
      <c r="G23">
        <v>0.8115526608715129</v>
      </c>
      <c r="H23">
        <v>-0.37169140871482398</v>
      </c>
      <c r="I23">
        <v>0.48034258324507562</v>
      </c>
      <c r="J23">
        <v>-0.92181390269718122</v>
      </c>
      <c r="K23">
        <v>0.49994849600622615</v>
      </c>
      <c r="L23">
        <v>-0.9360693336383008</v>
      </c>
      <c r="M23">
        <v>-0.14717130888240604</v>
      </c>
    </row>
    <row r="24" spans="1:13" x14ac:dyDescent="0.25">
      <c r="A24" s="46">
        <v>42705</v>
      </c>
      <c r="B24">
        <v>0.84740827729309842</v>
      </c>
      <c r="C24">
        <v>-1.477102683649008</v>
      </c>
      <c r="D24">
        <v>1.5972597567482865</v>
      </c>
      <c r="E24">
        <v>3.4511799122779934</v>
      </c>
      <c r="F24">
        <v>0.80469124748910303</v>
      </c>
      <c r="G24">
        <v>2.7420251434223246</v>
      </c>
      <c r="H24">
        <v>-2.8624863552472988</v>
      </c>
      <c r="I24">
        <v>0.60045504243826997</v>
      </c>
      <c r="J24">
        <v>-0.3979999100409799</v>
      </c>
      <c r="K24">
        <v>0.52718615535387414</v>
      </c>
      <c r="L24">
        <v>2.5155098424069422</v>
      </c>
      <c r="M24">
        <v>0.87070128410201164</v>
      </c>
    </row>
    <row r="25" spans="1:13" x14ac:dyDescent="0.25">
      <c r="A25" s="46">
        <v>42795</v>
      </c>
      <c r="B25">
        <v>0.27922290224755386</v>
      </c>
      <c r="C25">
        <v>1.8658373941588167</v>
      </c>
      <c r="D25">
        <v>0.23464265039916654</v>
      </c>
      <c r="E25">
        <v>-2.993009622817226</v>
      </c>
      <c r="F25">
        <v>-1.3543693511106767</v>
      </c>
      <c r="G25">
        <v>-4.84823590828627</v>
      </c>
      <c r="H25">
        <v>2.8805402299566794</v>
      </c>
      <c r="I25">
        <v>-0.78235940453778596</v>
      </c>
      <c r="J25">
        <v>0.3322457600445432</v>
      </c>
      <c r="K25">
        <v>0.83284109305128595</v>
      </c>
      <c r="L25">
        <v>-0.79935896607324253</v>
      </c>
      <c r="M25">
        <v>0.24045034699267376</v>
      </c>
    </row>
    <row r="26" spans="1:13" x14ac:dyDescent="0.25">
      <c r="A26" s="46">
        <v>42887</v>
      </c>
      <c r="B26">
        <v>0.69651989867800523</v>
      </c>
      <c r="C26">
        <v>0.12025334562184753</v>
      </c>
      <c r="D26">
        <v>1.1556180969719065</v>
      </c>
      <c r="E26">
        <v>3.1260505249828441</v>
      </c>
      <c r="F26">
        <v>-0.18332388240381192</v>
      </c>
      <c r="G26">
        <v>1.2851925058465099</v>
      </c>
      <c r="H26">
        <v>1.4603227649860884</v>
      </c>
      <c r="I26">
        <v>0.12049838007490621</v>
      </c>
      <c r="J26">
        <v>1.2071378035446259</v>
      </c>
      <c r="K26">
        <v>0.45098061280282309</v>
      </c>
      <c r="L26">
        <v>0.35659114443926399</v>
      </c>
      <c r="M26">
        <v>0.41578968999735366</v>
      </c>
    </row>
    <row r="27" spans="1:13" x14ac:dyDescent="0.25">
      <c r="A27" s="46">
        <v>42979</v>
      </c>
      <c r="B27">
        <v>0.59733678530574252</v>
      </c>
      <c r="C27">
        <v>1.0232543798154694</v>
      </c>
      <c r="D27">
        <v>-0.52203665905813068</v>
      </c>
      <c r="E27">
        <v>1.6631582632810904</v>
      </c>
      <c r="F27">
        <v>-1.6155443976475539</v>
      </c>
      <c r="G27">
        <v>-0.60102878626044287</v>
      </c>
      <c r="H27">
        <v>0.64931025515650731</v>
      </c>
      <c r="I27">
        <v>0.51398684109207693</v>
      </c>
      <c r="J27">
        <v>0.54375959908389859</v>
      </c>
      <c r="K27">
        <v>0.88980678343024522</v>
      </c>
      <c r="L27">
        <v>1.1142637730411735</v>
      </c>
      <c r="M27">
        <v>1.0052427502936325</v>
      </c>
    </row>
    <row r="28" spans="1:13" x14ac:dyDescent="0.25">
      <c r="A28" s="46">
        <v>43070</v>
      </c>
      <c r="B28">
        <v>-0.13012144157059424</v>
      </c>
      <c r="C28">
        <v>-3.4817374971950699E-2</v>
      </c>
      <c r="D28">
        <v>-2.1992746654007789</v>
      </c>
      <c r="E28">
        <v>-0.76361411517579825</v>
      </c>
      <c r="F28">
        <v>2.1093513305729061E-2</v>
      </c>
      <c r="G28">
        <v>4.4740143861816222</v>
      </c>
      <c r="H28">
        <v>-1.2565309309458712</v>
      </c>
      <c r="I28">
        <v>-0.26694916389031675</v>
      </c>
      <c r="J28">
        <v>1.6704503896206404</v>
      </c>
      <c r="K28">
        <v>0.19763748594540687</v>
      </c>
      <c r="L28">
        <v>1.3754873956891771</v>
      </c>
      <c r="M28">
        <v>-3.1597693624675571E-2</v>
      </c>
    </row>
    <row r="29" spans="1:13" x14ac:dyDescent="0.25">
      <c r="A29" s="46">
        <v>43160</v>
      </c>
      <c r="B29">
        <v>1.5531240770803976</v>
      </c>
      <c r="C29">
        <v>1.06696536195075</v>
      </c>
      <c r="D29">
        <v>1.581104731916966</v>
      </c>
      <c r="E29">
        <v>2.0093622300936715</v>
      </c>
      <c r="F29">
        <v>1.6488821340001607</v>
      </c>
      <c r="G29">
        <v>-5.5925544423854632</v>
      </c>
      <c r="H29">
        <v>1.3297317597894818</v>
      </c>
      <c r="I29">
        <v>1.5416723550333558</v>
      </c>
      <c r="J29">
        <v>3.0352211682003372</v>
      </c>
      <c r="K29">
        <v>1.1431847766841088</v>
      </c>
      <c r="L29">
        <v>0.96187732619981148</v>
      </c>
      <c r="M29">
        <v>1.2861359983556326</v>
      </c>
    </row>
    <row r="30" spans="1:13" x14ac:dyDescent="0.25">
      <c r="A30" s="46">
        <v>43252</v>
      </c>
      <c r="B30">
        <v>0.6312227474856229</v>
      </c>
      <c r="C30">
        <v>0.27933105583993267</v>
      </c>
      <c r="D30">
        <v>1.2814900325508063</v>
      </c>
      <c r="E30">
        <v>-0.26486206774083598</v>
      </c>
      <c r="F30">
        <v>4.8190338366623564E-2</v>
      </c>
      <c r="G30">
        <v>0.9022407824671177</v>
      </c>
      <c r="H30">
        <v>1.5214790260455402</v>
      </c>
      <c r="I30">
        <v>0.90857188532500288</v>
      </c>
      <c r="J30">
        <v>3.6442948082707716</v>
      </c>
      <c r="K30">
        <v>0.5420277616115925</v>
      </c>
      <c r="L30">
        <v>-0.60918690608811232</v>
      </c>
      <c r="M30">
        <v>1.0652101892347332</v>
      </c>
    </row>
    <row r="31" spans="1:13" x14ac:dyDescent="0.25">
      <c r="A31" s="46">
        <v>43344</v>
      </c>
      <c r="B31">
        <v>0.28044755952336686</v>
      </c>
      <c r="C31">
        <v>0.55335814243279913</v>
      </c>
      <c r="D31">
        <v>2.8975035876522384</v>
      </c>
      <c r="E31">
        <v>0.745591243125304</v>
      </c>
      <c r="F31">
        <v>1.0727650887421021</v>
      </c>
      <c r="G31">
        <v>6.2623580661154961</v>
      </c>
      <c r="H31">
        <v>-0.26039494836132349</v>
      </c>
      <c r="I31">
        <v>0.76038752754917027</v>
      </c>
      <c r="J31">
        <v>1.2927218399658074</v>
      </c>
      <c r="K31">
        <v>0.65151673042045388</v>
      </c>
      <c r="L31">
        <v>-0.52931063529717903</v>
      </c>
      <c r="M31">
        <v>-0.36630954528203574</v>
      </c>
    </row>
    <row r="32" spans="1:13" x14ac:dyDescent="0.25">
      <c r="A32" s="46">
        <v>43435</v>
      </c>
      <c r="B32">
        <v>0.42318583052511372</v>
      </c>
      <c r="C32">
        <v>1.7710198165048041E-2</v>
      </c>
      <c r="D32">
        <v>-0.23923380212127654</v>
      </c>
      <c r="E32">
        <v>-1.0267157925434134</v>
      </c>
      <c r="F32">
        <v>8.4634486732355185E-2</v>
      </c>
      <c r="G32">
        <v>-2.5852390575291508</v>
      </c>
      <c r="H32">
        <v>-2.2593750807413926</v>
      </c>
      <c r="I32">
        <v>0.5663118451257958</v>
      </c>
      <c r="J32">
        <v>2.3635311811346753</v>
      </c>
      <c r="K32">
        <v>0.46157603452125784</v>
      </c>
      <c r="L32">
        <v>1.7937386572792917</v>
      </c>
      <c r="M32">
        <v>0.34658804740456617</v>
      </c>
    </row>
    <row r="33" spans="1:13" x14ac:dyDescent="0.25">
      <c r="A33" s="46">
        <v>43525</v>
      </c>
      <c r="B33">
        <v>0.38571886716034953</v>
      </c>
      <c r="C33">
        <v>0.74095054802482707</v>
      </c>
      <c r="D33">
        <v>0.89096531747452445</v>
      </c>
      <c r="E33">
        <v>1.2731992687793507</v>
      </c>
      <c r="F33">
        <v>-0.32062179786660749</v>
      </c>
      <c r="G33">
        <v>-4.5546871485260851</v>
      </c>
      <c r="H33">
        <v>-2.7702238981622003</v>
      </c>
      <c r="I33">
        <v>6.3855049943157383E-2</v>
      </c>
      <c r="J33">
        <v>3.4317727633071229</v>
      </c>
      <c r="K33">
        <v>1.0871965702051085</v>
      </c>
      <c r="L33">
        <v>1.4834700024290584</v>
      </c>
      <c r="M33">
        <v>1.1411759628681608</v>
      </c>
    </row>
    <row r="34" spans="1:13" x14ac:dyDescent="0.25">
      <c r="A34" s="46">
        <v>43617</v>
      </c>
      <c r="B34">
        <v>0.71199124322474461</v>
      </c>
      <c r="C34">
        <v>0.11341172455684045</v>
      </c>
      <c r="D34">
        <v>-0.99732552740393032</v>
      </c>
      <c r="E34">
        <v>3.7630966720189747</v>
      </c>
      <c r="F34">
        <v>0.2831850260322426</v>
      </c>
      <c r="G34">
        <v>-5.7979846843934979E-2</v>
      </c>
      <c r="H34">
        <v>3.5318695953421013</v>
      </c>
      <c r="I34">
        <v>0.92629287606951038</v>
      </c>
      <c r="J34">
        <v>2.8209892932016487</v>
      </c>
      <c r="K34">
        <v>0.44524349600261814</v>
      </c>
      <c r="L34">
        <v>-1.323371160111904</v>
      </c>
      <c r="M34">
        <v>-0.13269266698019067</v>
      </c>
    </row>
    <row r="35" spans="1:13" x14ac:dyDescent="0.25">
      <c r="A35" s="46">
        <v>43709</v>
      </c>
      <c r="B35">
        <v>1.3820959487208455</v>
      </c>
      <c r="C35">
        <v>0.48365500156964458</v>
      </c>
      <c r="D35">
        <v>2.3622604606875655</v>
      </c>
      <c r="E35">
        <v>1.7722038901039099</v>
      </c>
      <c r="F35">
        <v>-0.32335563121891653</v>
      </c>
      <c r="G35">
        <v>5.9350540710278068</v>
      </c>
      <c r="H35">
        <v>3.1765153858348754</v>
      </c>
      <c r="I35">
        <v>7.2449737359846722E-2</v>
      </c>
      <c r="J35">
        <v>3.4134702760404707</v>
      </c>
      <c r="K35">
        <v>0.85163356405242041</v>
      </c>
      <c r="L35">
        <v>2.2006317449034611</v>
      </c>
      <c r="M35">
        <v>1.0514211352474803</v>
      </c>
    </row>
    <row r="36" spans="1:13" x14ac:dyDescent="0.25">
      <c r="A36" s="46">
        <v>43800</v>
      </c>
      <c r="B36">
        <v>-0.30367353155273236</v>
      </c>
      <c r="C36">
        <v>0.59256607033285036</v>
      </c>
      <c r="D36">
        <v>-1.3026451551375686</v>
      </c>
      <c r="E36">
        <v>-1.0510622898543716</v>
      </c>
      <c r="F36">
        <v>-2.3554212961383456</v>
      </c>
      <c r="G36">
        <v>-3.0964783586136519</v>
      </c>
      <c r="H36">
        <v>1.3180566646332466</v>
      </c>
      <c r="I36">
        <v>-0.48528211542890176</v>
      </c>
      <c r="J36">
        <v>3.5146996070043883</v>
      </c>
      <c r="K36">
        <v>0.4632970403402652</v>
      </c>
      <c r="L36">
        <v>-0.90309690111749319</v>
      </c>
      <c r="M36">
        <v>-0.18491516829806187</v>
      </c>
    </row>
    <row r="37" spans="1:13" x14ac:dyDescent="0.25">
      <c r="A37" s="46">
        <v>43891</v>
      </c>
      <c r="B37">
        <v>-0.53552654767000263</v>
      </c>
      <c r="C37">
        <v>0.43694972575775637</v>
      </c>
      <c r="D37">
        <v>1.4299577634439515</v>
      </c>
      <c r="E37">
        <v>-0.2762601967922933</v>
      </c>
      <c r="F37">
        <v>-1.8540495002284274</v>
      </c>
      <c r="G37">
        <v>-1.0788468908183688</v>
      </c>
      <c r="H37">
        <v>-2.0297680736310042</v>
      </c>
      <c r="I37">
        <v>-6.5865825687258024</v>
      </c>
      <c r="J37">
        <v>2.1535208477513947</v>
      </c>
      <c r="K37">
        <v>-1.6453529330555767</v>
      </c>
      <c r="L37">
        <v>-0.38000849143031701</v>
      </c>
      <c r="M37">
        <v>-0.79386000330144668</v>
      </c>
    </row>
    <row r="38" spans="1:13" x14ac:dyDescent="0.25">
      <c r="A38" s="46">
        <v>43983</v>
      </c>
      <c r="B38">
        <v>-7.7342912842295419</v>
      </c>
      <c r="C38">
        <v>7.5879307505871907E-2</v>
      </c>
      <c r="D38">
        <v>-10.884565147371291</v>
      </c>
      <c r="E38">
        <v>-6.8980412059459866</v>
      </c>
      <c r="F38">
        <v>-0.46356385121008259</v>
      </c>
      <c r="G38">
        <v>-8.2903309348618563</v>
      </c>
      <c r="H38">
        <v>-13.608325193685545</v>
      </c>
      <c r="I38">
        <v>-13.054692625735925</v>
      </c>
      <c r="J38">
        <v>1.7648663535618141</v>
      </c>
      <c r="K38">
        <v>-2.0179980544616285</v>
      </c>
      <c r="L38">
        <v>-10.146440100859195</v>
      </c>
      <c r="M38">
        <v>-7.6469929754309618</v>
      </c>
    </row>
    <row r="39" spans="1:13" x14ac:dyDescent="0.25">
      <c r="A39" s="46">
        <v>44075</v>
      </c>
      <c r="B39">
        <v>6.6044258208526117</v>
      </c>
      <c r="C39">
        <v>-1.7867895347805529E-2</v>
      </c>
      <c r="D39">
        <v>-0.46167553362946023</v>
      </c>
      <c r="E39">
        <v>7.6452164983392947</v>
      </c>
      <c r="F39">
        <v>0.7892011725184318</v>
      </c>
      <c r="G39">
        <v>6.6004785556299055</v>
      </c>
      <c r="H39">
        <v>16.737196805774417</v>
      </c>
      <c r="I39">
        <v>12.132879026209338</v>
      </c>
      <c r="J39">
        <v>6.5911109511284707</v>
      </c>
      <c r="K39">
        <v>3.2370016325546942</v>
      </c>
      <c r="L39">
        <v>12.814701711731004</v>
      </c>
      <c r="M39">
        <v>0.44092239179440185</v>
      </c>
    </row>
    <row r="40" spans="1:13" x14ac:dyDescent="0.25">
      <c r="A40" s="46">
        <v>44166</v>
      </c>
      <c r="B40">
        <v>0.78222653198669434</v>
      </c>
      <c r="C40">
        <v>1.1352559197567871</v>
      </c>
      <c r="D40">
        <v>3.0068051426359546</v>
      </c>
      <c r="E40">
        <v>2.6526518114160353</v>
      </c>
      <c r="F40">
        <v>3.4812926727956892</v>
      </c>
      <c r="G40">
        <v>4.8360254213310157</v>
      </c>
      <c r="H40">
        <v>1.5977790867379298</v>
      </c>
      <c r="I40">
        <v>5.8387036501542866E-2</v>
      </c>
      <c r="J40">
        <v>0.348764691137049</v>
      </c>
      <c r="K40">
        <v>0.90770583283179462</v>
      </c>
      <c r="L40">
        <v>-1.1586472920278794</v>
      </c>
      <c r="M40">
        <v>1.1824018835879428</v>
      </c>
    </row>
    <row r="41" spans="1:13" x14ac:dyDescent="0.25">
      <c r="A41" s="46">
        <v>44256</v>
      </c>
      <c r="B41">
        <v>1.5899704412459386</v>
      </c>
      <c r="C41">
        <v>0.3460874024799665</v>
      </c>
      <c r="D41">
        <v>0.98785746644922767</v>
      </c>
      <c r="E41">
        <v>-1.055922185980549</v>
      </c>
      <c r="F41">
        <v>3.1397646404073782</v>
      </c>
      <c r="G41">
        <v>-1.298848403180088</v>
      </c>
      <c r="H41">
        <v>-1.6348672417382772</v>
      </c>
      <c r="I41">
        <v>-0.15572325213025806</v>
      </c>
      <c r="J41">
        <v>5.90876905300901</v>
      </c>
      <c r="K41">
        <v>0.45550775703321733</v>
      </c>
      <c r="L41">
        <v>5.0327640498746717</v>
      </c>
      <c r="M41">
        <v>8.4032721315367098E-2</v>
      </c>
    </row>
    <row r="42" spans="1:13" x14ac:dyDescent="0.25">
      <c r="A42" s="46">
        <v>44348</v>
      </c>
      <c r="B42">
        <v>1.6590804902057954</v>
      </c>
      <c r="C42">
        <v>0.92365016218562346</v>
      </c>
      <c r="D42">
        <v>3.4844250052675534</v>
      </c>
      <c r="E42">
        <v>-0.40987071110913575</v>
      </c>
      <c r="F42">
        <v>1.0229106427818095</v>
      </c>
      <c r="G42">
        <v>-1.8936561144126927</v>
      </c>
      <c r="H42">
        <v>1.2190855271700229</v>
      </c>
      <c r="I42">
        <v>7.2921277406304625</v>
      </c>
      <c r="J42">
        <v>5.0991098793620182</v>
      </c>
      <c r="K42">
        <v>0.54014815697365748</v>
      </c>
      <c r="L42">
        <v>-5.1933668747478237</v>
      </c>
      <c r="M42">
        <v>7.1296768207573393</v>
      </c>
    </row>
    <row r="43" spans="1:13" x14ac:dyDescent="0.25">
      <c r="A43" s="46">
        <v>44440</v>
      </c>
      <c r="B43">
        <v>0.68189106536775057</v>
      </c>
      <c r="C43">
        <v>0.58970012842532071</v>
      </c>
      <c r="D43">
        <v>0.55083707160925144</v>
      </c>
      <c r="E43">
        <v>2.7617131479903634</v>
      </c>
      <c r="F43">
        <v>1.0653717511285095</v>
      </c>
      <c r="G43">
        <v>1.6862063125538498</v>
      </c>
      <c r="H43">
        <v>2.1806233469710889</v>
      </c>
      <c r="I43">
        <v>-5.1262818894997508E-2</v>
      </c>
      <c r="J43">
        <v>1.8664030838399128</v>
      </c>
      <c r="K43">
        <v>0.5095046350362793</v>
      </c>
      <c r="L43">
        <v>5.178764326769894</v>
      </c>
      <c r="M43">
        <v>-6.3145202191920902</v>
      </c>
    </row>
    <row r="44" spans="1:13" x14ac:dyDescent="0.25">
      <c r="A44" s="46">
        <v>44531</v>
      </c>
      <c r="B44">
        <v>1.0157644588409909</v>
      </c>
      <c r="C44">
        <v>1.7543195657629269</v>
      </c>
      <c r="D44">
        <v>2.8083290772504625</v>
      </c>
      <c r="E44">
        <v>1.8276461883223902</v>
      </c>
      <c r="F44">
        <v>-0.5795452420440057</v>
      </c>
      <c r="G44">
        <v>5.6460513171010973</v>
      </c>
      <c r="H44">
        <v>1.3252586868696312</v>
      </c>
      <c r="I44">
        <v>-0.52087687076229372</v>
      </c>
      <c r="J44">
        <v>-1.4511317545859583</v>
      </c>
      <c r="K44">
        <v>0.60762267686773441</v>
      </c>
      <c r="L44">
        <v>1.177959410423199</v>
      </c>
      <c r="M44">
        <v>-0.44047136481208327</v>
      </c>
    </row>
    <row r="45" spans="1:13" x14ac:dyDescent="0.25">
      <c r="A45" s="46">
        <v>44621</v>
      </c>
      <c r="B45">
        <v>2.6264933142812197E-2</v>
      </c>
      <c r="C45">
        <v>-5.7986038445633881E-2</v>
      </c>
      <c r="D45">
        <v>-0.40339735991821613</v>
      </c>
      <c r="E45">
        <v>0.47766260261761317</v>
      </c>
      <c r="F45">
        <v>-1.1882557084191774</v>
      </c>
      <c r="G45">
        <v>-4.5830320418644988E-3</v>
      </c>
      <c r="H45">
        <v>-1.8680370106530546</v>
      </c>
      <c r="I45">
        <v>-2.1258629862321072</v>
      </c>
      <c r="J45">
        <v>-0.79119742798343395</v>
      </c>
      <c r="K45">
        <v>-2.1402714268369039</v>
      </c>
      <c r="L45">
        <v>3.0988487696904627</v>
      </c>
      <c r="M45">
        <v>0.86985832984215961</v>
      </c>
    </row>
    <row r="46" spans="1:13" x14ac:dyDescent="0.25">
      <c r="A46" s="46">
        <v>44713</v>
      </c>
      <c r="B46">
        <v>-5.5181914727493506</v>
      </c>
      <c r="C46">
        <v>0.64460052941291224</v>
      </c>
      <c r="D46">
        <v>-4.4666056404507231</v>
      </c>
      <c r="E46">
        <v>-5.802080887293144</v>
      </c>
      <c r="F46">
        <v>-0.24107875308224891</v>
      </c>
      <c r="G46">
        <v>-2.0045444284398712</v>
      </c>
      <c r="H46">
        <v>-15.981200833679921</v>
      </c>
      <c r="I46">
        <v>-0.49568357208671898</v>
      </c>
      <c r="J46">
        <v>2.2337883751334005</v>
      </c>
      <c r="K46">
        <v>1.6280723063048583</v>
      </c>
      <c r="L46">
        <v>-7.0679183470743681</v>
      </c>
      <c r="M46">
        <v>-12.217500466341818</v>
      </c>
    </row>
    <row r="47" spans="1:13" x14ac:dyDescent="0.25">
      <c r="A47" s="46">
        <v>44805</v>
      </c>
      <c r="B47">
        <v>1.1196254119864903</v>
      </c>
      <c r="C47">
        <v>0.41138059932796978</v>
      </c>
      <c r="D47">
        <v>2.303889475990502</v>
      </c>
      <c r="E47">
        <v>2.5943544982859379</v>
      </c>
      <c r="F47">
        <v>-0.63188332712584838</v>
      </c>
      <c r="G47">
        <v>3.8851970250015597</v>
      </c>
      <c r="H47">
        <v>-4.1237689943857276</v>
      </c>
      <c r="I47">
        <v>-0.23568489276915727</v>
      </c>
      <c r="J47">
        <v>2.097550166545787</v>
      </c>
      <c r="K47">
        <v>1.3429651571298677</v>
      </c>
      <c r="L47">
        <v>3.076292294289189</v>
      </c>
      <c r="M47">
        <v>0.81867516628931014</v>
      </c>
    </row>
    <row r="48" spans="1:13" x14ac:dyDescent="0.25">
      <c r="A48" s="46">
        <v>44896</v>
      </c>
      <c r="B48">
        <v>1.3904308148298554</v>
      </c>
      <c r="C48">
        <v>0.79657563307368662</v>
      </c>
      <c r="D48">
        <v>-0.19871543775774114</v>
      </c>
      <c r="E48">
        <v>2.0181899374219512</v>
      </c>
      <c r="F48">
        <v>-0.31121713503871717</v>
      </c>
      <c r="G48">
        <v>7.2225206135643703</v>
      </c>
      <c r="H48">
        <v>3.1156955202104655</v>
      </c>
      <c r="I48">
        <v>-3.9454125474762236E-2</v>
      </c>
      <c r="J48">
        <v>1.4942437927762313</v>
      </c>
      <c r="K48">
        <v>1.6955011531210715</v>
      </c>
      <c r="L48">
        <v>1.6169038576576469</v>
      </c>
      <c r="M48">
        <v>2.7102786214364727</v>
      </c>
    </row>
    <row r="49" spans="1:13" x14ac:dyDescent="0.25">
      <c r="A49" s="46">
        <v>44986</v>
      </c>
      <c r="B49">
        <v>1.3056927286224891</v>
      </c>
      <c r="C49">
        <v>0.28121677996276162</v>
      </c>
      <c r="D49">
        <v>-2.5495486105495502</v>
      </c>
      <c r="E49">
        <v>1.6033499720751365</v>
      </c>
      <c r="F49">
        <v>0.33975697729708543</v>
      </c>
      <c r="G49">
        <v>-1.281119393246982</v>
      </c>
      <c r="H49">
        <v>9.0957711274141957</v>
      </c>
      <c r="I49">
        <v>1.6889629722985404</v>
      </c>
      <c r="J49">
        <v>0.19416992435317582</v>
      </c>
      <c r="K49">
        <v>-1.2286986004092171</v>
      </c>
      <c r="L49">
        <v>0.22168104126623689</v>
      </c>
      <c r="M49">
        <v>1.7144902117267833</v>
      </c>
    </row>
    <row r="50" spans="1:13" x14ac:dyDescent="0.25">
      <c r="A50" s="46">
        <v>45078</v>
      </c>
      <c r="B50">
        <v>1.1756557978253852</v>
      </c>
      <c r="C50">
        <v>0.80221663028223134</v>
      </c>
      <c r="D50">
        <v>1.1731825008807704</v>
      </c>
      <c r="E50">
        <v>2.7236670783566694</v>
      </c>
      <c r="F50">
        <v>-1.1656126755752894E-2</v>
      </c>
      <c r="G50">
        <v>3.3034484359331344</v>
      </c>
      <c r="H50">
        <v>2.7650342430029866</v>
      </c>
      <c r="I50">
        <v>0.48044509620339682</v>
      </c>
      <c r="J50">
        <v>-1.3532987678801902</v>
      </c>
      <c r="K50">
        <v>1.7290392577252476</v>
      </c>
      <c r="L50">
        <v>-1.3415489365157356</v>
      </c>
      <c r="M50">
        <v>1.7747347731431802</v>
      </c>
    </row>
    <row r="51" spans="1:13" x14ac:dyDescent="0.25">
      <c r="A51" s="46">
        <v>45170</v>
      </c>
      <c r="B51">
        <v>1.5300640864171839</v>
      </c>
      <c r="C51">
        <v>0.40355524567803513</v>
      </c>
      <c r="D51">
        <v>0.35846522679716486</v>
      </c>
      <c r="E51">
        <v>0.91203838244855717</v>
      </c>
      <c r="F51">
        <v>-0.39865204830238099</v>
      </c>
      <c r="G51">
        <v>0.96031444712991743</v>
      </c>
      <c r="H51">
        <v>1.2650021077455875</v>
      </c>
      <c r="I51">
        <v>0.50384608363313532</v>
      </c>
      <c r="J51">
        <v>2.8432260871566797</v>
      </c>
      <c r="K51">
        <v>1.5858549111952129</v>
      </c>
      <c r="L51">
        <v>3.0258953412301253</v>
      </c>
      <c r="M51">
        <v>2.0468692466881038</v>
      </c>
    </row>
    <row r="54" spans="1:13" x14ac:dyDescent="0.25">
      <c r="A54" s="42"/>
      <c r="B54" s="42" t="s">
        <v>64</v>
      </c>
      <c r="C54" s="42" t="s">
        <v>65</v>
      </c>
      <c r="D54" s="42" t="s">
        <v>66</v>
      </c>
      <c r="E54" s="42" t="s">
        <v>67</v>
      </c>
    </row>
    <row r="55" spans="1:13" x14ac:dyDescent="0.25">
      <c r="A55" s="42" t="s">
        <v>18</v>
      </c>
      <c r="B55" s="43">
        <v>0.38201411448677902</v>
      </c>
      <c r="C55" s="43">
        <v>1.8221396106000201</v>
      </c>
      <c r="D55" s="43">
        <v>1</v>
      </c>
      <c r="E55" s="43">
        <v>-0.19500000000000001</v>
      </c>
      <c r="F55" s="51"/>
      <c r="G55" s="51"/>
    </row>
    <row r="56" spans="1:13" x14ac:dyDescent="0.25">
      <c r="A56" s="42" t="s">
        <v>53</v>
      </c>
      <c r="B56" s="43">
        <v>0.49947093622295202</v>
      </c>
      <c r="C56" s="43">
        <v>0.75569324879956801</v>
      </c>
      <c r="D56" s="43">
        <v>4.3760116900671601E-2</v>
      </c>
      <c r="E56" s="43">
        <v>-0.52300000000000002</v>
      </c>
      <c r="F56" s="51"/>
      <c r="G56" s="51"/>
    </row>
    <row r="57" spans="1:13" x14ac:dyDescent="0.25">
      <c r="A57" s="42" t="s">
        <v>54</v>
      </c>
      <c r="B57" s="43">
        <v>0.23994595691225301</v>
      </c>
      <c r="C57" s="43">
        <v>2.2937903960437702</v>
      </c>
      <c r="D57" s="43">
        <v>0.65641337350684403</v>
      </c>
      <c r="E57" s="43">
        <v>-0.13800000000000001</v>
      </c>
      <c r="F57" s="51"/>
      <c r="G57" s="51"/>
    </row>
    <row r="58" spans="1:13" x14ac:dyDescent="0.25">
      <c r="A58" s="42" t="s">
        <v>55</v>
      </c>
      <c r="B58" s="43">
        <v>0.63495315788795603</v>
      </c>
      <c r="C58" s="43">
        <v>3.1152186930433099</v>
      </c>
      <c r="D58" s="43">
        <v>0.61990436326717901</v>
      </c>
      <c r="E58" s="43">
        <v>-0.17499999999999999</v>
      </c>
      <c r="F58" s="51"/>
      <c r="G58" s="51"/>
    </row>
    <row r="59" spans="1:13" x14ac:dyDescent="0.25">
      <c r="A59" s="42" t="s">
        <v>56</v>
      </c>
      <c r="B59" s="43">
        <v>-7.8630454090870706E-3</v>
      </c>
      <c r="C59" s="43">
        <v>1.21098859087726</v>
      </c>
      <c r="D59" s="43">
        <v>0.20673725610757901</v>
      </c>
      <c r="E59" s="43">
        <v>0.35199999999999998</v>
      </c>
      <c r="F59" s="51"/>
      <c r="G59" s="51"/>
    </row>
    <row r="60" spans="1:13" x14ac:dyDescent="0.25">
      <c r="A60" s="42" t="s">
        <v>57</v>
      </c>
      <c r="B60" s="43">
        <v>0.38770615784713303</v>
      </c>
      <c r="C60" s="43">
        <v>4.00490620966952</v>
      </c>
      <c r="D60" s="43">
        <v>0.43497895004754</v>
      </c>
      <c r="E60" s="43">
        <v>-0.13200000000000001</v>
      </c>
      <c r="F60" s="51"/>
      <c r="G60" s="51"/>
    </row>
    <row r="61" spans="1:13" x14ac:dyDescent="0.25">
      <c r="A61" s="42" t="s">
        <v>58</v>
      </c>
      <c r="B61" s="43">
        <v>5.7726747374425097E-2</v>
      </c>
      <c r="C61" s="43">
        <v>4.5976615529262101</v>
      </c>
      <c r="D61" s="43">
        <v>0.86694177282671403</v>
      </c>
      <c r="E61" s="43">
        <v>-4.8000000000000001E-2</v>
      </c>
      <c r="F61" s="51"/>
      <c r="G61" s="51"/>
    </row>
    <row r="62" spans="1:13" x14ac:dyDescent="0.25">
      <c r="A62" s="42" t="s">
        <v>59</v>
      </c>
      <c r="B62" s="43">
        <v>0.20671606074102</v>
      </c>
      <c r="C62" s="43">
        <v>2.9994056576329502</v>
      </c>
      <c r="D62" s="43">
        <v>0.783402656192969</v>
      </c>
      <c r="E62" s="43">
        <v>-0.14899999999999999</v>
      </c>
      <c r="F62" s="51"/>
      <c r="G62" s="51"/>
    </row>
    <row r="63" spans="1:13" x14ac:dyDescent="0.25">
      <c r="A63" s="42" t="s">
        <v>60</v>
      </c>
      <c r="B63" s="43">
        <v>1.7604713683509099</v>
      </c>
      <c r="C63" s="43">
        <v>2.7291869106284801</v>
      </c>
      <c r="D63" s="43">
        <v>0.230139907224087</v>
      </c>
      <c r="E63" s="43">
        <v>4.2000000000000003E-2</v>
      </c>
      <c r="F63" s="51"/>
      <c r="G63" s="51"/>
    </row>
    <row r="64" spans="1:13" x14ac:dyDescent="0.25">
      <c r="A64" s="42" t="s">
        <v>61</v>
      </c>
      <c r="B64" s="43">
        <v>0.60567696640942503</v>
      </c>
      <c r="C64" s="43">
        <v>1.25123928406082</v>
      </c>
      <c r="D64" s="43">
        <v>0.39730390283747902</v>
      </c>
      <c r="E64" s="43">
        <v>-0.14899999999999999</v>
      </c>
      <c r="F64" s="51"/>
      <c r="G64" s="51"/>
    </row>
    <row r="65" spans="1:7" x14ac:dyDescent="0.25">
      <c r="A65" s="42" t="s">
        <v>51</v>
      </c>
      <c r="B65" s="43">
        <v>0.57027438618052095</v>
      </c>
      <c r="C65" s="43">
        <v>3.1769410637599802</v>
      </c>
      <c r="D65" s="43">
        <v>0.79089795366703297</v>
      </c>
      <c r="E65" s="43">
        <v>-0.48599999999999999</v>
      </c>
      <c r="F65" s="51"/>
      <c r="G65" s="51"/>
    </row>
    <row r="66" spans="1:7" x14ac:dyDescent="0.25">
      <c r="A66" s="42" t="s">
        <v>62</v>
      </c>
      <c r="B66" s="43">
        <v>-6.04940659169933E-2</v>
      </c>
      <c r="C66" s="43">
        <v>2.6771302083344199</v>
      </c>
      <c r="D66" s="43">
        <v>0.70976265520956905</v>
      </c>
      <c r="E66" s="43">
        <v>-9.0999999999999998E-2</v>
      </c>
      <c r="F66" s="51"/>
      <c r="G66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FCEF-192D-4985-AD55-99D8CCCF2D3C}">
  <dimension ref="A1:AY16"/>
  <sheetViews>
    <sheetView workbookViewId="0">
      <selection activeCell="H18" sqref="H18"/>
    </sheetView>
  </sheetViews>
  <sheetFormatPr defaultRowHeight="15" x14ac:dyDescent="0.25"/>
  <cols>
    <col min="2" max="51" width="13" bestFit="1" customWidth="1"/>
  </cols>
  <sheetData>
    <row r="1" spans="1:51" x14ac:dyDescent="0.25">
      <c r="A1" t="s">
        <v>63</v>
      </c>
      <c r="B1" s="46" t="s">
        <v>68</v>
      </c>
      <c r="C1" s="46" t="s">
        <v>69</v>
      </c>
      <c r="D1" s="46" t="s">
        <v>70</v>
      </c>
      <c r="E1" s="46" t="s">
        <v>71</v>
      </c>
      <c r="F1" s="46" t="s">
        <v>72</v>
      </c>
      <c r="G1" s="46" t="s">
        <v>73</v>
      </c>
      <c r="H1" s="46" t="s">
        <v>74</v>
      </c>
      <c r="I1" s="46" t="s">
        <v>75</v>
      </c>
      <c r="J1" s="46" t="s">
        <v>76</v>
      </c>
      <c r="K1" s="46" t="s">
        <v>77</v>
      </c>
      <c r="L1" s="46" t="s">
        <v>78</v>
      </c>
      <c r="M1" s="46" t="s">
        <v>79</v>
      </c>
      <c r="N1" s="46" t="s">
        <v>80</v>
      </c>
      <c r="O1" s="46" t="s">
        <v>81</v>
      </c>
      <c r="P1" s="46" t="s">
        <v>82</v>
      </c>
      <c r="Q1" s="46" t="s">
        <v>83</v>
      </c>
      <c r="R1" s="46" t="s">
        <v>84</v>
      </c>
      <c r="S1" s="46" t="s">
        <v>85</v>
      </c>
      <c r="T1" s="46" t="s">
        <v>86</v>
      </c>
      <c r="U1" s="46" t="s">
        <v>87</v>
      </c>
      <c r="V1" s="46" t="s">
        <v>88</v>
      </c>
      <c r="W1" s="46" t="s">
        <v>89</v>
      </c>
      <c r="X1" s="46" t="s">
        <v>90</v>
      </c>
      <c r="Y1" s="46" t="s">
        <v>91</v>
      </c>
      <c r="Z1" s="46" t="s">
        <v>92</v>
      </c>
      <c r="AA1" s="46" t="s">
        <v>93</v>
      </c>
      <c r="AB1" s="46" t="s">
        <v>94</v>
      </c>
      <c r="AC1" s="46" t="s">
        <v>95</v>
      </c>
      <c r="AD1" s="46" t="s">
        <v>96</v>
      </c>
      <c r="AE1" s="46" t="s">
        <v>97</v>
      </c>
      <c r="AF1" s="46" t="s">
        <v>98</v>
      </c>
      <c r="AG1" s="46" t="s">
        <v>99</v>
      </c>
      <c r="AH1" s="46" t="s">
        <v>100</v>
      </c>
      <c r="AI1" s="46" t="s">
        <v>101</v>
      </c>
      <c r="AJ1" s="46" t="s">
        <v>102</v>
      </c>
      <c r="AK1" s="46" t="s">
        <v>103</v>
      </c>
      <c r="AL1" s="46" t="s">
        <v>104</v>
      </c>
      <c r="AM1" s="46" t="s">
        <v>105</v>
      </c>
      <c r="AN1" s="46" t="s">
        <v>106</v>
      </c>
      <c r="AO1" s="46" t="s">
        <v>107</v>
      </c>
      <c r="AP1" s="46" t="s">
        <v>108</v>
      </c>
      <c r="AQ1" s="46" t="s">
        <v>109</v>
      </c>
      <c r="AR1" s="46" t="s">
        <v>110</v>
      </c>
      <c r="AS1" s="46" t="s">
        <v>111</v>
      </c>
      <c r="AT1" s="46" t="s">
        <v>112</v>
      </c>
      <c r="AU1" s="46" t="s">
        <v>113</v>
      </c>
      <c r="AV1" s="46" t="s">
        <v>114</v>
      </c>
      <c r="AW1" s="46" t="s">
        <v>115</v>
      </c>
      <c r="AX1" s="46" t="s">
        <v>116</v>
      </c>
      <c r="AY1" s="46" t="s">
        <v>117</v>
      </c>
    </row>
    <row r="2" spans="1:51" x14ac:dyDescent="0.25">
      <c r="A2" t="s">
        <v>53</v>
      </c>
      <c r="B2">
        <v>-1.0015022806182117</v>
      </c>
      <c r="C2">
        <v>0.75273334858006535</v>
      </c>
      <c r="D2">
        <v>0.80241020194505097</v>
      </c>
      <c r="E2">
        <v>1.067913866807487</v>
      </c>
      <c r="F2">
        <v>-0.68856073218377389</v>
      </c>
      <c r="G2">
        <v>0.20557994746440045</v>
      </c>
      <c r="H2">
        <v>2.3973251872334345E-2</v>
      </c>
      <c r="I2">
        <v>1.0823538520458271</v>
      </c>
      <c r="J2">
        <v>0.65123128115509132</v>
      </c>
      <c r="K2">
        <v>-9.5389516211014325E-2</v>
      </c>
      <c r="L2">
        <v>1.9659375048584309</v>
      </c>
      <c r="M2">
        <v>-1.3581959462642033</v>
      </c>
      <c r="N2">
        <v>2.3632750172979371</v>
      </c>
      <c r="O2">
        <v>0.17140653727464894</v>
      </c>
      <c r="P2">
        <v>0.19794556803857688</v>
      </c>
      <c r="Q2">
        <v>-0.10038542540033291</v>
      </c>
      <c r="R2">
        <v>1.8760089004974674</v>
      </c>
      <c r="S2">
        <v>1.0276014239644695</v>
      </c>
      <c r="T2">
        <v>0.58328541534132228</v>
      </c>
      <c r="U2">
        <v>8.5614058975778562E-2</v>
      </c>
      <c r="V2">
        <v>0.4388255722087564</v>
      </c>
      <c r="W2">
        <v>1.0505781038312421</v>
      </c>
      <c r="X2">
        <v>-1.477102683649008</v>
      </c>
      <c r="Y2">
        <v>1.8658373941588167</v>
      </c>
      <c r="Z2">
        <v>0.12025334562184753</v>
      </c>
      <c r="AA2">
        <v>1.0232543798154694</v>
      </c>
      <c r="AB2">
        <v>-3.4817374971950699E-2</v>
      </c>
      <c r="AC2">
        <v>1.06696536195075</v>
      </c>
      <c r="AD2">
        <v>0.27933105583993267</v>
      </c>
      <c r="AE2">
        <v>0.55335814243279913</v>
      </c>
      <c r="AF2">
        <v>1.7710198165048041E-2</v>
      </c>
      <c r="AG2">
        <v>0.74095054802482707</v>
      </c>
      <c r="AH2">
        <v>0.11341172455684045</v>
      </c>
      <c r="AI2">
        <v>0.48365500156964458</v>
      </c>
      <c r="AJ2">
        <v>0.59256607033285036</v>
      </c>
      <c r="AK2">
        <v>0.43694972575775637</v>
      </c>
      <c r="AL2">
        <v>7.5879307505871907E-2</v>
      </c>
      <c r="AM2">
        <v>-1.7867895347805529E-2</v>
      </c>
      <c r="AN2">
        <v>1.1352559197567871</v>
      </c>
      <c r="AO2">
        <v>0.3460874024799665</v>
      </c>
      <c r="AP2">
        <v>0.92365016218562346</v>
      </c>
      <c r="AQ2">
        <v>0.58970012842532071</v>
      </c>
      <c r="AR2">
        <v>1.7543195657629269</v>
      </c>
      <c r="AS2">
        <v>-5.7986038445633881E-2</v>
      </c>
      <c r="AT2">
        <v>0.64460052941291224</v>
      </c>
      <c r="AU2">
        <v>0.41138059932796978</v>
      </c>
      <c r="AV2">
        <v>0.79657563307368662</v>
      </c>
      <c r="AW2">
        <v>0.28121677996276162</v>
      </c>
      <c r="AX2">
        <v>0.80221663028223134</v>
      </c>
      <c r="AY2">
        <v>0.40355524567803513</v>
      </c>
    </row>
    <row r="3" spans="1:51" x14ac:dyDescent="0.25">
      <c r="A3" t="s">
        <v>54</v>
      </c>
      <c r="B3">
        <v>-0.4766727843651779</v>
      </c>
      <c r="C3">
        <v>0.84709675387091465</v>
      </c>
      <c r="D3">
        <v>0.55795764393427305</v>
      </c>
      <c r="E3">
        <v>2.5623869881158186</v>
      </c>
      <c r="F3">
        <v>-1.3593259607782073</v>
      </c>
      <c r="G3">
        <v>0.56407066549964213</v>
      </c>
      <c r="H3">
        <v>-0.91441384301799644</v>
      </c>
      <c r="I3">
        <v>1.360316358903674</v>
      </c>
      <c r="J3">
        <v>1.8727443527883025</v>
      </c>
      <c r="K3">
        <v>-2.0899796973045142</v>
      </c>
      <c r="L3">
        <v>-4.7603433439178389E-2</v>
      </c>
      <c r="M3">
        <v>0.66746133687487941</v>
      </c>
      <c r="N3">
        <v>3.6475045138604827</v>
      </c>
      <c r="O3">
        <v>-2.2715972674197928</v>
      </c>
      <c r="P3">
        <v>0.9280620514325193</v>
      </c>
      <c r="Q3">
        <v>-0.8344960831746846</v>
      </c>
      <c r="R3">
        <v>0.65494133813683675</v>
      </c>
      <c r="S3">
        <v>1.0051511050015023</v>
      </c>
      <c r="T3">
        <v>1.5856526794042765</v>
      </c>
      <c r="U3">
        <v>-0.38344066107204355</v>
      </c>
      <c r="V3">
        <v>-0.25614815459954343</v>
      </c>
      <c r="W3">
        <v>0.49806011703307718</v>
      </c>
      <c r="X3">
        <v>1.5972597567482865</v>
      </c>
      <c r="Y3">
        <v>0.23464265039916654</v>
      </c>
      <c r="Z3">
        <v>1.1556180969719065</v>
      </c>
      <c r="AA3">
        <v>-0.52203665905813068</v>
      </c>
      <c r="AB3">
        <v>-2.1992746654007789</v>
      </c>
      <c r="AC3">
        <v>1.581104731916966</v>
      </c>
      <c r="AD3">
        <v>1.2814900325508063</v>
      </c>
      <c r="AE3">
        <v>2.8975035876522384</v>
      </c>
      <c r="AF3">
        <v>-0.23923380212127654</v>
      </c>
      <c r="AG3">
        <v>0.89096531747452445</v>
      </c>
      <c r="AH3">
        <v>-0.99732552740393032</v>
      </c>
      <c r="AI3">
        <v>2.3622604606875655</v>
      </c>
      <c r="AJ3">
        <v>-1.3026451551375686</v>
      </c>
      <c r="AK3">
        <v>1.4299577634439515</v>
      </c>
      <c r="AL3">
        <v>-10.884565147371291</v>
      </c>
      <c r="AM3">
        <v>-0.46167553362946023</v>
      </c>
      <c r="AN3">
        <v>3.0068051426359546</v>
      </c>
      <c r="AO3">
        <v>0.98785746644922767</v>
      </c>
      <c r="AP3">
        <v>3.4844250052675534</v>
      </c>
      <c r="AQ3">
        <v>0.55083707160925144</v>
      </c>
      <c r="AR3">
        <v>2.8083290772504625</v>
      </c>
      <c r="AS3">
        <v>-0.40339735991821613</v>
      </c>
      <c r="AT3">
        <v>-4.4666056404507231</v>
      </c>
      <c r="AU3">
        <v>2.303889475990502</v>
      </c>
      <c r="AV3">
        <v>-0.19871543775774114</v>
      </c>
      <c r="AW3">
        <v>-2.5495486105495502</v>
      </c>
      <c r="AX3">
        <v>1.1731825008807704</v>
      </c>
      <c r="AY3">
        <v>0.35846522679716486</v>
      </c>
    </row>
    <row r="4" spans="1:51" x14ac:dyDescent="0.25">
      <c r="A4" t="s">
        <v>55</v>
      </c>
      <c r="B4">
        <v>3.8291542351442303</v>
      </c>
      <c r="C4">
        <v>-4.8400630608693689</v>
      </c>
      <c r="D4">
        <v>-0.52128745897789486</v>
      </c>
      <c r="E4">
        <v>6.5548467648329165</v>
      </c>
      <c r="F4">
        <v>2.2227265866425796</v>
      </c>
      <c r="G4">
        <v>-4.2523220435365232</v>
      </c>
      <c r="H4">
        <v>-0.5214889950203343</v>
      </c>
      <c r="I4">
        <v>4.8134924963182186</v>
      </c>
      <c r="J4">
        <v>3.3724458922216485</v>
      </c>
      <c r="K4">
        <v>-4.6431960726436472</v>
      </c>
      <c r="L4">
        <v>-1.8993307071040704</v>
      </c>
      <c r="M4">
        <v>3.7895526361890575</v>
      </c>
      <c r="N4">
        <v>0.49095553597713604</v>
      </c>
      <c r="O4">
        <v>-2.0652500231449977</v>
      </c>
      <c r="P4">
        <v>2.6072332095668855</v>
      </c>
      <c r="Q4">
        <v>-5.1531839242888111</v>
      </c>
      <c r="R4">
        <v>0.48946186096956978</v>
      </c>
      <c r="S4">
        <v>2.9575952337643088</v>
      </c>
      <c r="T4">
        <v>1.8203610834237338</v>
      </c>
      <c r="U4">
        <v>-4.0128403374516495</v>
      </c>
      <c r="V4">
        <v>1.3616754080129283</v>
      </c>
      <c r="W4">
        <v>2.8682265276875967</v>
      </c>
      <c r="X4">
        <v>3.4511799122779934</v>
      </c>
      <c r="Y4">
        <v>-2.993009622817226</v>
      </c>
      <c r="Z4">
        <v>3.1260505249828441</v>
      </c>
      <c r="AA4">
        <v>1.6631582632810904</v>
      </c>
      <c r="AB4">
        <v>-0.76361411517579825</v>
      </c>
      <c r="AC4">
        <v>2.0093622300936715</v>
      </c>
      <c r="AD4">
        <v>-0.26486206774083598</v>
      </c>
      <c r="AE4">
        <v>0.745591243125304</v>
      </c>
      <c r="AF4">
        <v>-1.0267157925434134</v>
      </c>
      <c r="AG4">
        <v>1.2731992687793507</v>
      </c>
      <c r="AH4">
        <v>3.7630966720189747</v>
      </c>
      <c r="AI4">
        <v>1.7722038901039099</v>
      </c>
      <c r="AJ4">
        <v>-1.0510622898543716</v>
      </c>
      <c r="AK4">
        <v>-0.2762601967922933</v>
      </c>
      <c r="AL4">
        <v>-6.8980412059459866</v>
      </c>
      <c r="AM4">
        <v>7.6452164983392947</v>
      </c>
      <c r="AN4">
        <v>2.6526518114160353</v>
      </c>
      <c r="AO4">
        <v>-1.055922185980549</v>
      </c>
      <c r="AP4">
        <v>-0.40987071110913575</v>
      </c>
      <c r="AQ4">
        <v>2.7617131479903634</v>
      </c>
      <c r="AR4">
        <v>1.8276461883223902</v>
      </c>
      <c r="AS4">
        <v>0.47766260261761317</v>
      </c>
      <c r="AT4">
        <v>-5.802080887293144</v>
      </c>
      <c r="AU4">
        <v>2.5943544982859379</v>
      </c>
      <c r="AV4">
        <v>2.0181899374219512</v>
      </c>
      <c r="AW4">
        <v>1.6033499720751365</v>
      </c>
      <c r="AX4">
        <v>2.7236670783566694</v>
      </c>
      <c r="AY4">
        <v>0.91203838244855717</v>
      </c>
    </row>
    <row r="5" spans="1:51" x14ac:dyDescent="0.25">
      <c r="A5" t="s">
        <v>56</v>
      </c>
      <c r="B5">
        <v>-0.4459179790807184</v>
      </c>
      <c r="C5">
        <v>-0.95900140440443238</v>
      </c>
      <c r="D5">
        <v>-0.81753139527866381</v>
      </c>
      <c r="E5">
        <v>2.0654822832807582</v>
      </c>
      <c r="F5">
        <v>-0.82384145557237787</v>
      </c>
      <c r="G5">
        <v>0.69070457527986662</v>
      </c>
      <c r="H5">
        <v>0.98666894817007744</v>
      </c>
      <c r="I5">
        <v>-1.5468098390154239</v>
      </c>
      <c r="J5">
        <v>0.62293267298989008</v>
      </c>
      <c r="K5">
        <v>-1.629963594292434</v>
      </c>
      <c r="L5">
        <v>-1.8668000412421435</v>
      </c>
      <c r="M5">
        <v>0.58372229923986652</v>
      </c>
      <c r="N5">
        <v>-0.41231351889116752</v>
      </c>
      <c r="O5">
        <v>-0.59488753750831336</v>
      </c>
      <c r="P5">
        <v>-0.12792366993915039</v>
      </c>
      <c r="Q5">
        <v>-1.5475469495190595</v>
      </c>
      <c r="R5">
        <v>-0.60264667499180291</v>
      </c>
      <c r="S5">
        <v>9.5548125411212936E-2</v>
      </c>
      <c r="T5">
        <v>0.25297554200527372</v>
      </c>
      <c r="U5">
        <v>1.1098606156058111</v>
      </c>
      <c r="V5">
        <v>0.76936758932744453</v>
      </c>
      <c r="W5">
        <v>1.8355674949664689</v>
      </c>
      <c r="X5">
        <v>0.80469124748910303</v>
      </c>
      <c r="Y5">
        <v>-1.3543693511106767</v>
      </c>
      <c r="Z5">
        <v>-0.18332388240381192</v>
      </c>
      <c r="AA5">
        <v>-1.6155443976475539</v>
      </c>
      <c r="AB5">
        <v>2.1093513305729061E-2</v>
      </c>
      <c r="AC5">
        <v>1.6488821340001607</v>
      </c>
      <c r="AD5">
        <v>4.8190338366623564E-2</v>
      </c>
      <c r="AE5">
        <v>1.0727650887421021</v>
      </c>
      <c r="AF5">
        <v>8.4634486732355185E-2</v>
      </c>
      <c r="AG5">
        <v>-0.32062179786660749</v>
      </c>
      <c r="AH5">
        <v>0.2831850260322426</v>
      </c>
      <c r="AI5">
        <v>-0.32335563121891653</v>
      </c>
      <c r="AJ5">
        <v>-2.3554212961383456</v>
      </c>
      <c r="AK5">
        <v>-1.8540495002284274</v>
      </c>
      <c r="AL5">
        <v>-0.46356385121008259</v>
      </c>
      <c r="AM5">
        <v>0.7892011725184318</v>
      </c>
      <c r="AN5">
        <v>3.4812926727956892</v>
      </c>
      <c r="AO5">
        <v>3.1397646404073782</v>
      </c>
      <c r="AP5">
        <v>1.0229106427818095</v>
      </c>
      <c r="AQ5">
        <v>1.0653717511285095</v>
      </c>
      <c r="AR5">
        <v>-0.5795452420440057</v>
      </c>
      <c r="AS5">
        <v>-1.1882557084191774</v>
      </c>
      <c r="AT5">
        <v>-0.24107875308224891</v>
      </c>
      <c r="AU5">
        <v>-0.63188332712584838</v>
      </c>
      <c r="AV5">
        <v>-0.31121713503871717</v>
      </c>
      <c r="AW5">
        <v>0.33975697729708543</v>
      </c>
      <c r="AX5">
        <v>-1.1656126755752894E-2</v>
      </c>
      <c r="AY5">
        <v>-0.39865204830238099</v>
      </c>
    </row>
    <row r="6" spans="1:51" x14ac:dyDescent="0.25">
      <c r="A6" t="s">
        <v>57</v>
      </c>
      <c r="B6">
        <v>4.4647568180010921</v>
      </c>
      <c r="C6">
        <v>0.95786028692104708</v>
      </c>
      <c r="D6">
        <v>-8.1067666015361368</v>
      </c>
      <c r="E6">
        <v>7.3164877460228013</v>
      </c>
      <c r="F6">
        <v>4.7770065574780176</v>
      </c>
      <c r="G6">
        <v>-3.5620393634040255</v>
      </c>
      <c r="H6">
        <v>-4.8419297823460568</v>
      </c>
      <c r="I6">
        <v>4.5439073391776503</v>
      </c>
      <c r="J6">
        <v>3.0116622846938697</v>
      </c>
      <c r="K6">
        <v>-3.8145407095579174</v>
      </c>
      <c r="L6">
        <v>-4.5200458326090711</v>
      </c>
      <c r="M6">
        <v>1.8389305616173743</v>
      </c>
      <c r="N6">
        <v>4.8461611898851658</v>
      </c>
      <c r="O6">
        <v>-3.6065943125207838</v>
      </c>
      <c r="P6">
        <v>-3.3531545500251809</v>
      </c>
      <c r="Q6">
        <v>-2.4531478339921478</v>
      </c>
      <c r="R6">
        <v>0.52544720923589239</v>
      </c>
      <c r="S6">
        <v>1.3391938964082044</v>
      </c>
      <c r="T6">
        <v>1.4121614447593771</v>
      </c>
      <c r="U6">
        <v>-2.5385624171525194</v>
      </c>
      <c r="V6">
        <v>1.783966962569508</v>
      </c>
      <c r="W6">
        <v>0.8115526608715129</v>
      </c>
      <c r="X6">
        <v>2.7420251434223246</v>
      </c>
      <c r="Y6">
        <v>-4.84823590828627</v>
      </c>
      <c r="Z6">
        <v>1.2851925058465099</v>
      </c>
      <c r="AA6">
        <v>-0.60102878626044287</v>
      </c>
      <c r="AB6">
        <v>4.4740143861816222</v>
      </c>
      <c r="AC6">
        <v>-5.5925544423854632</v>
      </c>
      <c r="AD6">
        <v>0.9022407824671177</v>
      </c>
      <c r="AE6">
        <v>6.2623580661154961</v>
      </c>
      <c r="AF6">
        <v>-2.5852390575291508</v>
      </c>
      <c r="AG6">
        <v>-4.5546871485260851</v>
      </c>
      <c r="AH6">
        <v>-5.7979846843934979E-2</v>
      </c>
      <c r="AI6">
        <v>5.9350540710278068</v>
      </c>
      <c r="AJ6">
        <v>-3.0964783586136519</v>
      </c>
      <c r="AK6">
        <v>-1.0788468908183688</v>
      </c>
      <c r="AL6">
        <v>-8.2903309348618563</v>
      </c>
      <c r="AM6">
        <v>6.6004785556299055</v>
      </c>
      <c r="AN6">
        <v>4.8360254213310157</v>
      </c>
      <c r="AO6">
        <v>-1.298848403180088</v>
      </c>
      <c r="AP6">
        <v>-1.8936561144126927</v>
      </c>
      <c r="AQ6">
        <v>1.6862063125538498</v>
      </c>
      <c r="AR6">
        <v>5.6460513171010973</v>
      </c>
      <c r="AS6">
        <v>-4.5830320418644988E-3</v>
      </c>
      <c r="AT6">
        <v>-2.0045444284398712</v>
      </c>
      <c r="AU6">
        <v>3.8851970250015597</v>
      </c>
      <c r="AV6">
        <v>7.2225206135643703</v>
      </c>
      <c r="AW6">
        <v>-1.281119393246982</v>
      </c>
      <c r="AX6">
        <v>3.3034484359331344</v>
      </c>
      <c r="AY6">
        <v>0.96031444712991743</v>
      </c>
    </row>
    <row r="7" spans="1:51" x14ac:dyDescent="0.25">
      <c r="A7" t="s">
        <v>58</v>
      </c>
      <c r="B7">
        <v>0.5559418915778167</v>
      </c>
      <c r="C7">
        <v>2.0682402892717704</v>
      </c>
      <c r="D7">
        <v>3.6053043092156116</v>
      </c>
      <c r="E7">
        <v>1.6185786955891643</v>
      </c>
      <c r="F7">
        <v>-1.6575200942652373</v>
      </c>
      <c r="G7">
        <v>0.13345358719713829</v>
      </c>
      <c r="H7">
        <v>-2.1089369098948083</v>
      </c>
      <c r="I7">
        <v>1.8863178423366094</v>
      </c>
      <c r="J7">
        <v>-6.3188340554390265E-2</v>
      </c>
      <c r="K7">
        <v>-0.96077119276543499</v>
      </c>
      <c r="L7">
        <v>3.0751396710191585</v>
      </c>
      <c r="M7">
        <v>-1.3313774129770479</v>
      </c>
      <c r="N7">
        <v>1.1394738020838417</v>
      </c>
      <c r="O7">
        <v>-2.4785247107061679</v>
      </c>
      <c r="P7">
        <v>2.0402354492411661</v>
      </c>
      <c r="Q7">
        <v>-3.6473259318929365</v>
      </c>
      <c r="R7">
        <v>-4.617493927273415</v>
      </c>
      <c r="S7">
        <v>1.4040186895930731</v>
      </c>
      <c r="T7">
        <v>-3.9231597139294507</v>
      </c>
      <c r="U7">
        <v>1.8725062742158514</v>
      </c>
      <c r="V7">
        <v>-1.8671770620554611</v>
      </c>
      <c r="W7">
        <v>-0.37169140871482398</v>
      </c>
      <c r="X7">
        <v>-2.8624863552472988</v>
      </c>
      <c r="Y7">
        <v>2.8805402299566794</v>
      </c>
      <c r="Z7">
        <v>1.4603227649860884</v>
      </c>
      <c r="AA7">
        <v>0.64931025515650731</v>
      </c>
      <c r="AB7">
        <v>-1.2565309309458712</v>
      </c>
      <c r="AC7">
        <v>1.3297317597894818</v>
      </c>
      <c r="AD7">
        <v>1.5214790260455402</v>
      </c>
      <c r="AE7">
        <v>-0.26039494836132349</v>
      </c>
      <c r="AF7">
        <v>-2.2593750807413926</v>
      </c>
      <c r="AG7">
        <v>-2.7702238981622003</v>
      </c>
      <c r="AH7">
        <v>3.5318695953421013</v>
      </c>
      <c r="AI7">
        <v>3.1765153858348754</v>
      </c>
      <c r="AJ7">
        <v>1.3180566646332466</v>
      </c>
      <c r="AK7">
        <v>-2.0297680736310042</v>
      </c>
      <c r="AL7">
        <v>-13.608325193685545</v>
      </c>
      <c r="AM7">
        <v>16.737196805774417</v>
      </c>
      <c r="AN7">
        <v>1.5977790867379298</v>
      </c>
      <c r="AO7">
        <v>-1.6348672417382772</v>
      </c>
      <c r="AP7">
        <v>1.2190855271700229</v>
      </c>
      <c r="AQ7">
        <v>2.1806233469710889</v>
      </c>
      <c r="AR7">
        <v>1.3252586868696312</v>
      </c>
      <c r="AS7">
        <v>-1.8680370106530546</v>
      </c>
      <c r="AT7">
        <v>-15.981200833679921</v>
      </c>
      <c r="AU7">
        <v>-4.1237689943857276</v>
      </c>
      <c r="AV7">
        <v>3.1156955202104655</v>
      </c>
      <c r="AW7">
        <v>9.0957711274141957</v>
      </c>
      <c r="AX7">
        <v>2.7650342430029866</v>
      </c>
      <c r="AY7">
        <v>1.2650021077455875</v>
      </c>
    </row>
    <row r="8" spans="1:51" x14ac:dyDescent="0.25">
      <c r="A8" t="s">
        <v>59</v>
      </c>
      <c r="B8">
        <v>0.59957322892883269</v>
      </c>
      <c r="C8">
        <v>0.40320987834654431</v>
      </c>
      <c r="D8">
        <v>1.1466620151221036</v>
      </c>
      <c r="E8">
        <v>1.8712903157904037</v>
      </c>
      <c r="F8">
        <v>0.17451247294597749</v>
      </c>
      <c r="G8">
        <v>0.7686853561879019</v>
      </c>
      <c r="H8">
        <v>-0.22022984903090048</v>
      </c>
      <c r="I8">
        <v>-0.74541623493571763</v>
      </c>
      <c r="J8">
        <v>0.24938463934776678</v>
      </c>
      <c r="K8">
        <v>0.71318071690163265</v>
      </c>
      <c r="L8">
        <v>-0.37582129854072832</v>
      </c>
      <c r="M8">
        <v>0.49080398170697492</v>
      </c>
      <c r="N8">
        <v>0.26057520773599663</v>
      </c>
      <c r="O8">
        <v>-0.93800689671965642</v>
      </c>
      <c r="P8">
        <v>0.75656061458279567</v>
      </c>
      <c r="Q8">
        <v>-1.348582493107287</v>
      </c>
      <c r="R8">
        <v>0.61431906794295799</v>
      </c>
      <c r="S8">
        <v>0.26992751074385524</v>
      </c>
      <c r="T8">
        <v>0.64608079178800892</v>
      </c>
      <c r="U8">
        <v>1.3308308909551556</v>
      </c>
      <c r="V8">
        <v>-0.24279456170516767</v>
      </c>
      <c r="W8">
        <v>0.48034258324507562</v>
      </c>
      <c r="X8">
        <v>0.60045504243826997</v>
      </c>
      <c r="Y8">
        <v>-0.78235940453778596</v>
      </c>
      <c r="Z8">
        <v>0.12049838007490621</v>
      </c>
      <c r="AA8">
        <v>0.51398684109207693</v>
      </c>
      <c r="AB8">
        <v>-0.26694916389031675</v>
      </c>
      <c r="AC8">
        <v>1.5416723550333558</v>
      </c>
      <c r="AD8">
        <v>0.90857188532500288</v>
      </c>
      <c r="AE8">
        <v>0.76038752754917027</v>
      </c>
      <c r="AF8">
        <v>0.5663118451257958</v>
      </c>
      <c r="AG8">
        <v>6.3855049943157383E-2</v>
      </c>
      <c r="AH8">
        <v>0.92629287606951038</v>
      </c>
      <c r="AI8">
        <v>7.2449737359846722E-2</v>
      </c>
      <c r="AJ8">
        <v>-0.48528211542890176</v>
      </c>
      <c r="AK8">
        <v>-6.5865825687258024</v>
      </c>
      <c r="AL8">
        <v>-13.054692625735925</v>
      </c>
      <c r="AM8">
        <v>12.132879026209338</v>
      </c>
      <c r="AN8">
        <v>5.8387036501542866E-2</v>
      </c>
      <c r="AO8">
        <v>-0.15572325213025806</v>
      </c>
      <c r="AP8">
        <v>7.2921277406304625</v>
      </c>
      <c r="AQ8">
        <v>-5.1262818894997508E-2</v>
      </c>
      <c r="AR8">
        <v>-0.52087687076229372</v>
      </c>
      <c r="AS8">
        <v>-2.1258629862321072</v>
      </c>
      <c r="AT8">
        <v>-0.49568357208671898</v>
      </c>
      <c r="AU8">
        <v>-0.23568489276915727</v>
      </c>
      <c r="AV8">
        <v>-3.9454125474762236E-2</v>
      </c>
      <c r="AW8">
        <v>1.6889629722985404</v>
      </c>
      <c r="AX8">
        <v>0.48044509620339682</v>
      </c>
      <c r="AY8">
        <v>0.50384608363313532</v>
      </c>
    </row>
    <row r="9" spans="1:51" x14ac:dyDescent="0.25">
      <c r="A9" t="s">
        <v>60</v>
      </c>
      <c r="B9">
        <v>1.9824194810213527</v>
      </c>
      <c r="C9">
        <v>3.744805253963861</v>
      </c>
      <c r="D9">
        <v>3.012767797378217</v>
      </c>
      <c r="E9">
        <v>5.8895917687507051</v>
      </c>
      <c r="F9">
        <v>4.9857624254003241</v>
      </c>
      <c r="G9">
        <v>1.5266962226033058</v>
      </c>
      <c r="H9">
        <v>1.4353213796434403</v>
      </c>
      <c r="I9">
        <v>0.46278199542442167</v>
      </c>
      <c r="J9">
        <v>2.9498266855219129</v>
      </c>
      <c r="K9">
        <v>2.0600870782691487</v>
      </c>
      <c r="L9">
        <v>0.55182587886713463</v>
      </c>
      <c r="M9">
        <v>2.9800930881254573</v>
      </c>
      <c r="N9">
        <v>-0.32414992235779039</v>
      </c>
      <c r="O9">
        <v>-0.53819861061465701</v>
      </c>
      <c r="P9">
        <v>-1.3299952375573838</v>
      </c>
      <c r="Q9">
        <v>-3.3727143923528331</v>
      </c>
      <c r="R9">
        <v>-1.6218005133075906</v>
      </c>
      <c r="S9">
        <v>1.2328436218161727</v>
      </c>
      <c r="T9">
        <v>-4.8056620556120038</v>
      </c>
      <c r="U9">
        <v>12.109848670962037</v>
      </c>
      <c r="V9">
        <v>0.14104186961425569</v>
      </c>
      <c r="W9">
        <v>-0.92181390269718122</v>
      </c>
      <c r="X9">
        <v>-0.3979999100409799</v>
      </c>
      <c r="Y9">
        <v>0.3322457600445432</v>
      </c>
      <c r="Z9">
        <v>1.2071378035446259</v>
      </c>
      <c r="AA9">
        <v>0.54375959908389859</v>
      </c>
      <c r="AB9">
        <v>1.6704503896206404</v>
      </c>
      <c r="AC9">
        <v>3.0352211682003372</v>
      </c>
      <c r="AD9">
        <v>3.6442948082707716</v>
      </c>
      <c r="AE9">
        <v>1.2927218399658074</v>
      </c>
      <c r="AF9">
        <v>2.3635311811346753</v>
      </c>
      <c r="AG9">
        <v>3.4317727633071229</v>
      </c>
      <c r="AH9">
        <v>2.8209892932016487</v>
      </c>
      <c r="AI9">
        <v>3.4134702760404707</v>
      </c>
      <c r="AJ9">
        <v>3.5146996070043883</v>
      </c>
      <c r="AK9">
        <v>2.1535208477513947</v>
      </c>
      <c r="AL9">
        <v>1.7648663535618141</v>
      </c>
      <c r="AM9">
        <v>6.5911109511284707</v>
      </c>
      <c r="AN9">
        <v>0.348764691137049</v>
      </c>
      <c r="AO9">
        <v>5.90876905300901</v>
      </c>
      <c r="AP9">
        <v>5.0991098793620182</v>
      </c>
      <c r="AQ9">
        <v>1.8664030838399128</v>
      </c>
      <c r="AR9">
        <v>-1.4511317545859583</v>
      </c>
      <c r="AS9">
        <v>-0.79119742798343395</v>
      </c>
      <c r="AT9">
        <v>2.2337883751334005</v>
      </c>
      <c r="AU9">
        <v>2.097550166545787</v>
      </c>
      <c r="AV9">
        <v>1.4942437927762313</v>
      </c>
      <c r="AW9">
        <v>0.19416992435317582</v>
      </c>
      <c r="AX9">
        <v>-1.3532987678801902</v>
      </c>
      <c r="AY9">
        <v>2.8432260871566797</v>
      </c>
    </row>
    <row r="10" spans="1:51" x14ac:dyDescent="0.25">
      <c r="A10" t="s">
        <v>61</v>
      </c>
      <c r="B10">
        <v>0.43735712713323949</v>
      </c>
      <c r="C10">
        <v>2.0433385839453422E-2</v>
      </c>
      <c r="D10">
        <v>5.5449661577653444</v>
      </c>
      <c r="E10">
        <v>-8.7433831883899416E-2</v>
      </c>
      <c r="F10">
        <v>0.33085168967868128</v>
      </c>
      <c r="G10">
        <v>-2.1142649784337664E-2</v>
      </c>
      <c r="H10">
        <v>0.30951902072149551</v>
      </c>
      <c r="I10">
        <v>4.2125784340514514</v>
      </c>
      <c r="J10">
        <v>0.21559413815452899</v>
      </c>
      <c r="K10">
        <v>0.15349030394141039</v>
      </c>
      <c r="L10">
        <v>0.22974066346053235</v>
      </c>
      <c r="M10">
        <v>0.30994342045731571</v>
      </c>
      <c r="N10">
        <v>-9.8264743119642617E-2</v>
      </c>
      <c r="O10">
        <v>0.2778299357590015</v>
      </c>
      <c r="P10">
        <v>0.42527808164571468</v>
      </c>
      <c r="Q10">
        <v>3.450558252113467E-2</v>
      </c>
      <c r="R10">
        <v>0.19584861050516622</v>
      </c>
      <c r="S10">
        <v>0.53688011051831097</v>
      </c>
      <c r="T10">
        <v>0.36429510409554666</v>
      </c>
      <c r="U10">
        <v>0.14863154210348739</v>
      </c>
      <c r="V10">
        <v>0.49226717446933321</v>
      </c>
      <c r="W10">
        <v>0.49994849600622615</v>
      </c>
      <c r="X10">
        <v>0.52718615535387414</v>
      </c>
      <c r="Y10">
        <v>0.83284109305128595</v>
      </c>
      <c r="Z10">
        <v>0.45098061280282309</v>
      </c>
      <c r="AA10">
        <v>0.88980678343024522</v>
      </c>
      <c r="AB10">
        <v>0.19763748594540687</v>
      </c>
      <c r="AC10">
        <v>1.1431847766841088</v>
      </c>
      <c r="AD10">
        <v>0.5420277616115925</v>
      </c>
      <c r="AE10">
        <v>0.65151673042045388</v>
      </c>
      <c r="AF10">
        <v>0.46157603452125784</v>
      </c>
      <c r="AG10">
        <v>1.0871965702051085</v>
      </c>
      <c r="AH10">
        <v>0.44524349600261814</v>
      </c>
      <c r="AI10">
        <v>0.85163356405242041</v>
      </c>
      <c r="AJ10">
        <v>0.4632970403402652</v>
      </c>
      <c r="AK10">
        <v>-1.6453529330555767</v>
      </c>
      <c r="AL10">
        <v>-2.0179980544616285</v>
      </c>
      <c r="AM10">
        <v>3.2370016325546942</v>
      </c>
      <c r="AN10">
        <v>0.90770583283179462</v>
      </c>
      <c r="AO10">
        <v>0.45550775703321733</v>
      </c>
      <c r="AP10">
        <v>0.54014815697365748</v>
      </c>
      <c r="AQ10">
        <v>0.5095046350362793</v>
      </c>
      <c r="AR10">
        <v>0.60762267686773441</v>
      </c>
      <c r="AS10">
        <v>-2.1402714268369039</v>
      </c>
      <c r="AT10">
        <v>1.6280723063048583</v>
      </c>
      <c r="AU10">
        <v>1.3429651571298677</v>
      </c>
      <c r="AV10">
        <v>1.6955011531210715</v>
      </c>
      <c r="AW10">
        <v>-1.2286986004092171</v>
      </c>
      <c r="AX10">
        <v>1.7290392577252476</v>
      </c>
      <c r="AY10">
        <v>1.5858549111952129</v>
      </c>
    </row>
    <row r="11" spans="1:51" x14ac:dyDescent="0.25">
      <c r="A11" t="s">
        <v>45</v>
      </c>
      <c r="B11">
        <v>4.4547464725652333</v>
      </c>
      <c r="C11">
        <v>3.2431877339178783</v>
      </c>
      <c r="D11">
        <v>-0.22335582710830693</v>
      </c>
      <c r="E11">
        <v>-5.8202503336545419E-2</v>
      </c>
      <c r="F11">
        <v>1.9347703850197746</v>
      </c>
      <c r="G11">
        <v>0.75809442421143558</v>
      </c>
      <c r="H11">
        <v>-0.10436672822719117</v>
      </c>
      <c r="I11">
        <v>0.73001885250216958</v>
      </c>
      <c r="J11">
        <v>6.8084646260516024E-2</v>
      </c>
      <c r="K11">
        <v>1.3755956041955386</v>
      </c>
      <c r="L11">
        <v>2.0586673430193798</v>
      </c>
      <c r="M11">
        <v>-1.1933288911115625</v>
      </c>
      <c r="N11">
        <v>0.25409717818438082</v>
      </c>
      <c r="O11">
        <v>2.1002468169568402</v>
      </c>
      <c r="P11">
        <v>-1.6632893719656181</v>
      </c>
      <c r="Q11">
        <v>-0.11891195777621988</v>
      </c>
      <c r="R11">
        <v>-0.25335858185654558</v>
      </c>
      <c r="S11">
        <v>-0.33687334368534039</v>
      </c>
      <c r="T11">
        <v>0.27647027175422068</v>
      </c>
      <c r="U11">
        <v>-1.7506695235768888</v>
      </c>
      <c r="V11">
        <v>0.30503956474386484</v>
      </c>
      <c r="W11">
        <v>-0.9360693336383008</v>
      </c>
      <c r="X11">
        <v>2.5155098424069422</v>
      </c>
      <c r="Y11">
        <v>-0.79935896607324253</v>
      </c>
      <c r="Z11">
        <v>0.35659114443926399</v>
      </c>
      <c r="AA11">
        <v>1.1142637730411735</v>
      </c>
      <c r="AB11">
        <v>1.3754873956891771</v>
      </c>
      <c r="AC11">
        <v>0.96187732619981148</v>
      </c>
      <c r="AD11">
        <v>-0.60918690608811232</v>
      </c>
      <c r="AE11">
        <v>-0.52931063529717903</v>
      </c>
      <c r="AF11">
        <v>1.7937386572792917</v>
      </c>
      <c r="AG11">
        <v>1.4834700024290584</v>
      </c>
      <c r="AH11">
        <v>-1.323371160111904</v>
      </c>
      <c r="AI11">
        <v>2.2006317449034611</v>
      </c>
      <c r="AJ11">
        <v>-0.90309690111749319</v>
      </c>
      <c r="AK11">
        <v>-0.38000849143031701</v>
      </c>
      <c r="AL11">
        <v>-10.146440100859195</v>
      </c>
      <c r="AM11">
        <v>12.814701711731004</v>
      </c>
      <c r="AN11">
        <v>-1.1586472920278794</v>
      </c>
      <c r="AO11">
        <v>5.0327640498746717</v>
      </c>
      <c r="AP11">
        <v>-5.1933668747478237</v>
      </c>
      <c r="AQ11">
        <v>5.178764326769894</v>
      </c>
      <c r="AR11">
        <v>1.177959410423199</v>
      </c>
      <c r="AS11">
        <v>3.0988487696904627</v>
      </c>
      <c r="AT11">
        <v>-7.0679183470743681</v>
      </c>
      <c r="AU11">
        <v>3.076292294289189</v>
      </c>
      <c r="AV11">
        <v>1.6169038576576469</v>
      </c>
      <c r="AW11">
        <v>0.22168104126623689</v>
      </c>
      <c r="AX11">
        <v>-1.3415489365157356</v>
      </c>
      <c r="AY11">
        <v>3.0258953412301253</v>
      </c>
    </row>
    <row r="12" spans="1:51" x14ac:dyDescent="0.25">
      <c r="A12" t="s">
        <v>46</v>
      </c>
      <c r="B12">
        <v>1.4457279993619068</v>
      </c>
      <c r="C12">
        <v>1.2372164186971446</v>
      </c>
      <c r="D12">
        <v>1.0525111307895685</v>
      </c>
      <c r="E12">
        <v>0.98304497393262125</v>
      </c>
      <c r="F12">
        <v>0.42726437435990761</v>
      </c>
      <c r="G12">
        <v>0.34493874109382716</v>
      </c>
      <c r="H12">
        <v>0.39725222346518763</v>
      </c>
      <c r="I12">
        <v>1.4862476094607189</v>
      </c>
      <c r="J12">
        <v>-0.74944665831712598</v>
      </c>
      <c r="K12">
        <v>-0.68373252540288831</v>
      </c>
      <c r="L12">
        <v>2.4262258912415291E-2</v>
      </c>
      <c r="M12">
        <v>-1.339783291960515</v>
      </c>
      <c r="N12">
        <v>0.85850008354984197</v>
      </c>
      <c r="O12">
        <v>0.51925545209951451</v>
      </c>
      <c r="P12">
        <v>-1.6563014147361486</v>
      </c>
      <c r="Q12">
        <v>-1.8943133853731524</v>
      </c>
      <c r="R12">
        <v>-1.7416159127443649</v>
      </c>
      <c r="S12">
        <v>-1.4899400710949209</v>
      </c>
      <c r="T12">
        <v>-0.34838743113550663</v>
      </c>
      <c r="U12">
        <v>0.10435739392760013</v>
      </c>
      <c r="V12">
        <v>7.9614576333170817E-2</v>
      </c>
      <c r="W12">
        <v>-0.14717130888240604</v>
      </c>
      <c r="X12">
        <v>0.87070128410201164</v>
      </c>
      <c r="Y12">
        <v>0.24045034699267376</v>
      </c>
      <c r="Z12">
        <v>0.41578968999735366</v>
      </c>
      <c r="AA12">
        <v>1.0052427502936325</v>
      </c>
      <c r="AB12">
        <v>-3.1597693624675571E-2</v>
      </c>
      <c r="AC12">
        <v>1.2861359983556326</v>
      </c>
      <c r="AD12">
        <v>1.0652101892347332</v>
      </c>
      <c r="AE12">
        <v>-0.36630954528203574</v>
      </c>
      <c r="AF12">
        <v>0.34658804740456617</v>
      </c>
      <c r="AG12">
        <v>1.1411759628681608</v>
      </c>
      <c r="AH12">
        <v>-0.13269266698019067</v>
      </c>
      <c r="AI12">
        <v>1.0514211352474803</v>
      </c>
      <c r="AJ12">
        <v>-0.18491516829806187</v>
      </c>
      <c r="AK12">
        <v>-0.79386000330144668</v>
      </c>
      <c r="AL12">
        <v>-7.6469929754309618</v>
      </c>
      <c r="AM12">
        <v>0.44092239179440185</v>
      </c>
      <c r="AN12">
        <v>1.1824018835879428</v>
      </c>
      <c r="AO12">
        <v>8.4032721315367098E-2</v>
      </c>
      <c r="AP12">
        <v>7.1296768207573393</v>
      </c>
      <c r="AQ12">
        <v>-6.3145202191920902</v>
      </c>
      <c r="AR12">
        <v>-0.44047136481208327</v>
      </c>
      <c r="AS12">
        <v>0.86985832984215961</v>
      </c>
      <c r="AT12">
        <v>-12.217500466341818</v>
      </c>
      <c r="AU12">
        <v>0.81867516628931014</v>
      </c>
      <c r="AV12">
        <v>2.7102786214364727</v>
      </c>
      <c r="AW12">
        <v>1.7144902117267833</v>
      </c>
      <c r="AX12">
        <v>1.7747347731431802</v>
      </c>
      <c r="AY12">
        <v>2.0468692466881038</v>
      </c>
    </row>
    <row r="14" spans="1:51" x14ac:dyDescent="0.25">
      <c r="B14" s="47">
        <f>LARGE(Таблица1[01.06.2011],2)</f>
        <v>4.4547464725652333</v>
      </c>
      <c r="C14" s="47">
        <f>LARGE(Таблица1[01.09.2011],2)</f>
        <v>3.2431877339178783</v>
      </c>
      <c r="D14" s="47">
        <f>LARGE(Таблица1[01.12.2011],2)</f>
        <v>3.6053043092156116</v>
      </c>
      <c r="E14" s="47">
        <f>LARGE(Таблица1[01.03.2012],2)</f>
        <v>6.5548467648329165</v>
      </c>
      <c r="F14" s="47">
        <f>LARGE(Таблица1[01.06.2012],2)</f>
        <v>4.7770065574780176</v>
      </c>
      <c r="G14" s="47">
        <f>LARGE(Таблица1[01.09.2012],2)</f>
        <v>0.7686853561879019</v>
      </c>
      <c r="H14" s="47">
        <f>LARGE(Таблица1[01.12.2012],2)</f>
        <v>0.98666894817007744</v>
      </c>
      <c r="I14" s="47">
        <f>LARGE(Таблица1[01.03.2013],2)</f>
        <v>4.5439073391776503</v>
      </c>
      <c r="J14" s="47">
        <f>LARGE(Таблица1[01.06.2013],2)</f>
        <v>3.0116622846938697</v>
      </c>
      <c r="K14" s="47">
        <f>LARGE(Таблица1[01.09.2013],2)</f>
        <v>1.3755956041955386</v>
      </c>
      <c r="L14" s="47">
        <f>LARGE(Таблица1[01.12.2013],2)</f>
        <v>2.0586673430193798</v>
      </c>
      <c r="M14" s="47">
        <f>LARGE(Таблица1[01.03.2014],2)</f>
        <v>2.9800930881254573</v>
      </c>
      <c r="N14" s="47">
        <f>LARGE(Таблица1[01.06.2014],2)</f>
        <v>3.6475045138604827</v>
      </c>
      <c r="O14" s="47">
        <f>LARGE(Таблица1[01.09.2014],2)</f>
        <v>0.51925545209951451</v>
      </c>
      <c r="P14" s="47">
        <f>LARGE(Таблица1[01.12.2014],2)</f>
        <v>2.0402354492411661</v>
      </c>
      <c r="Q14" s="47">
        <f>LARGE(Таблица1[01.03.2015],2)</f>
        <v>-0.10038542540033291</v>
      </c>
      <c r="R14" s="47">
        <f>LARGE(Таблица1[01.06.2015],2)</f>
        <v>0.65494133813683675</v>
      </c>
      <c r="S14" s="47">
        <f>LARGE(Таблица1[01.09.2015],2)</f>
        <v>1.4040186895930731</v>
      </c>
      <c r="T14" s="47">
        <f>LARGE(Таблица1[01.12.2015],2)</f>
        <v>1.5856526794042765</v>
      </c>
      <c r="U14" s="47">
        <f>LARGE(Таблица1[01.03.2016],2)</f>
        <v>1.8725062742158514</v>
      </c>
      <c r="V14" s="47">
        <f>LARGE(Таблица1[01.06.2016],2)</f>
        <v>1.3616754080129283</v>
      </c>
      <c r="W14" s="47">
        <f>LARGE(Таблица1[01.09.2016],2)</f>
        <v>1.8355674949664689</v>
      </c>
      <c r="X14" s="47">
        <f>LARGE(Таблица1[01.12.2016],2)</f>
        <v>2.7420251434223246</v>
      </c>
      <c r="Y14" s="47">
        <f>LARGE(Таблица1[01.03.2017],2)</f>
        <v>1.8658373941588167</v>
      </c>
      <c r="Z14" s="47">
        <f>LARGE(Таблица1[01.06.2017],2)</f>
        <v>1.4603227649860884</v>
      </c>
      <c r="AA14" s="47">
        <f>LARGE(Таблица1[01.09.2017],2)</f>
        <v>1.1142637730411735</v>
      </c>
      <c r="AB14" s="47">
        <f>LARGE(Таблица1[01.12.2017],2)</f>
        <v>1.6704503896206404</v>
      </c>
      <c r="AC14" s="47">
        <f>LARGE(Таблица1[01.03.2018],2)</f>
        <v>2.0093622300936715</v>
      </c>
      <c r="AD14" s="47">
        <f>LARGE(Таблица1[01.06.2018],2)</f>
        <v>1.5214790260455402</v>
      </c>
      <c r="AE14" s="47">
        <f>LARGE(Таблица1[01.09.2018],2)</f>
        <v>2.8975035876522384</v>
      </c>
      <c r="AF14" s="47">
        <f>LARGE(Таблица1[01.12.2018],2)</f>
        <v>1.7937386572792917</v>
      </c>
      <c r="AG14" s="47">
        <f>LARGE(Таблица1[01.03.2019],2)</f>
        <v>1.4834700024290584</v>
      </c>
      <c r="AH14" s="47">
        <f>LARGE(Таблица1[01.06.2019],2)</f>
        <v>3.5318695953421013</v>
      </c>
      <c r="AI14" s="47">
        <f>LARGE(Таблица1[01.09.2019],2)</f>
        <v>3.4134702760404707</v>
      </c>
      <c r="AJ14" s="47">
        <f>LARGE(Таблица1[01.12.2019],2)</f>
        <v>1.3180566646332466</v>
      </c>
      <c r="AK14" s="47">
        <f>LARGE(Таблица1[01.03.2020],2)</f>
        <v>1.4299577634439515</v>
      </c>
      <c r="AL14" s="47">
        <f>LARGE(Таблица1[01.06.2020],2)</f>
        <v>7.5879307505871907E-2</v>
      </c>
      <c r="AM14" s="47">
        <f>LARGE(Таблица1[01.09.2020],2)</f>
        <v>12.814701711731004</v>
      </c>
      <c r="AN14" s="47">
        <f>LARGE(Таблица1[01.12.2020],2)</f>
        <v>3.4812926727956892</v>
      </c>
      <c r="AO14" s="47">
        <f>LARGE(Таблица1[01.03.2021],2)</f>
        <v>5.0327640498746717</v>
      </c>
      <c r="AP14" s="47">
        <f>LARGE(Таблица1[01.06.2021],2)</f>
        <v>7.1296768207573393</v>
      </c>
      <c r="AQ14" s="47">
        <f>LARGE(Таблица1[01.09.2021],2)</f>
        <v>2.7617131479903634</v>
      </c>
      <c r="AR14" s="47">
        <f>LARGE(Таблица1[01.12.2021],2)</f>
        <v>2.8083290772504625</v>
      </c>
      <c r="AS14" s="47">
        <f>LARGE(Таблица1[01.03.2022],2)</f>
        <v>0.86985832984215961</v>
      </c>
      <c r="AT14" s="47">
        <f>LARGE(Таблица1[01.06.2022],2)</f>
        <v>1.6280723063048583</v>
      </c>
      <c r="AU14" s="47">
        <f>LARGE(Таблица1[01.09.2022],2)</f>
        <v>3.076292294289189</v>
      </c>
      <c r="AV14" s="47">
        <f>LARGE(Таблица1[01.12.2022],2)</f>
        <v>3.1156955202104655</v>
      </c>
      <c r="AW14" s="47">
        <f>LARGE(Таблица1[01.03.2023],2)</f>
        <v>1.7144902117267833</v>
      </c>
      <c r="AX14" s="47">
        <f>LARGE(Таблица1[01.06.2023],2)</f>
        <v>2.7650342430029866</v>
      </c>
      <c r="AY14" s="47">
        <f>LARGE(Таблица1[01.09.2023],2)</f>
        <v>2.8432260871566797</v>
      </c>
    </row>
    <row r="15" spans="1:51" x14ac:dyDescent="0.25">
      <c r="B15" s="47">
        <f>SMALL(Таблица1[01.06.2011],2)</f>
        <v>-0.4766727843651779</v>
      </c>
      <c r="C15" s="47">
        <f>SMALL(Таблица1[01.09.2011],2)</f>
        <v>-0.95900140440443238</v>
      </c>
      <c r="D15" s="47">
        <f>SMALL(Таблица1[01.12.2011],2)</f>
        <v>-0.81753139527866381</v>
      </c>
      <c r="E15" s="47">
        <f>SMALL(Таблица1[01.03.2012],2)</f>
        <v>-5.8202503336545419E-2</v>
      </c>
      <c r="F15" s="47">
        <f>SMALL(Таблица1[01.06.2012],2)</f>
        <v>-1.3593259607782073</v>
      </c>
      <c r="G15" s="47">
        <f>SMALL(Таблица1[01.09.2012],2)</f>
        <v>-3.5620393634040255</v>
      </c>
      <c r="H15" s="47">
        <f>SMALL(Таблица1[01.12.2012],2)</f>
        <v>-2.1089369098948083</v>
      </c>
      <c r="I15" s="47">
        <f>SMALL(Таблица1[01.03.2013],2)</f>
        <v>-0.74541623493571763</v>
      </c>
      <c r="J15" s="47">
        <f>SMALL(Таблица1[01.06.2013],2)</f>
        <v>-6.3188340554390265E-2</v>
      </c>
      <c r="K15" s="47">
        <f>SMALL(Таблица1[01.09.2013],2)</f>
        <v>-3.8145407095579174</v>
      </c>
      <c r="L15" s="47">
        <f>SMALL(Таблица1[01.12.2013],2)</f>
        <v>-1.8993307071040704</v>
      </c>
      <c r="M15" s="47">
        <f>SMALL(Таблица1[01.03.2014],2)</f>
        <v>-1.339783291960515</v>
      </c>
      <c r="N15" s="47">
        <f>SMALL(Таблица1[01.06.2014],2)</f>
        <v>-0.32414992235779039</v>
      </c>
      <c r="O15" s="47">
        <f>SMALL(Таблица1[01.09.2014],2)</f>
        <v>-2.4785247107061679</v>
      </c>
      <c r="P15" s="47">
        <f>SMALL(Таблица1[01.12.2014],2)</f>
        <v>-1.6632893719656181</v>
      </c>
      <c r="Q15" s="47">
        <f>SMALL(Таблица1[01.03.2015],2)</f>
        <v>-3.6473259318929365</v>
      </c>
      <c r="R15" s="47">
        <f>SMALL(Таблица1[01.06.2015],2)</f>
        <v>-1.7416159127443649</v>
      </c>
      <c r="S15" s="47">
        <f>SMALL(Таблица1[01.09.2015],2)</f>
        <v>-0.33687334368534039</v>
      </c>
      <c r="T15" s="47">
        <f>SMALL(Таблица1[01.12.2015],2)</f>
        <v>-3.9231597139294507</v>
      </c>
      <c r="U15" s="47">
        <f>SMALL(Таблица1[01.03.2016],2)</f>
        <v>-2.5385624171525194</v>
      </c>
      <c r="V15" s="47">
        <f>SMALL(Таблица1[01.06.2016],2)</f>
        <v>-0.25614815459954343</v>
      </c>
      <c r="W15" s="47">
        <f>SMALL(Таблица1[01.09.2016],2)</f>
        <v>-0.92181390269718122</v>
      </c>
      <c r="X15" s="47">
        <f>SMALL(Таблица1[01.12.2016],2)</f>
        <v>-1.477102683649008</v>
      </c>
      <c r="Y15" s="47">
        <f>SMALL(Таблица1[01.03.2017],2)</f>
        <v>-2.993009622817226</v>
      </c>
      <c r="Z15" s="47">
        <f>SMALL(Таблица1[01.06.2017],2)</f>
        <v>0.12025334562184753</v>
      </c>
      <c r="AA15" s="47">
        <f>SMALL(Таблица1[01.09.2017],2)</f>
        <v>-0.60102878626044287</v>
      </c>
      <c r="AB15" s="47">
        <f>SMALL(Таблица1[01.12.2017],2)</f>
        <v>-1.2565309309458712</v>
      </c>
      <c r="AC15" s="47">
        <f>SMALL(Таблица1[01.03.2018],2)</f>
        <v>0.96187732619981148</v>
      </c>
      <c r="AD15" s="47">
        <f>SMALL(Таблица1[01.06.2018],2)</f>
        <v>-0.26486206774083598</v>
      </c>
      <c r="AE15" s="47">
        <f>SMALL(Таблица1[01.09.2018],2)</f>
        <v>-0.36630954528203574</v>
      </c>
      <c r="AF15" s="47">
        <f>SMALL(Таблица1[01.12.2018],2)</f>
        <v>-2.2593750807413926</v>
      </c>
      <c r="AG15" s="47">
        <f>SMALL(Таблица1[01.03.2019],2)</f>
        <v>-2.7702238981622003</v>
      </c>
      <c r="AH15" s="47">
        <f>SMALL(Таблица1[01.06.2019],2)</f>
        <v>-0.99732552740393032</v>
      </c>
      <c r="AI15" s="47">
        <f>SMALL(Таблица1[01.09.2019],2)</f>
        <v>7.2449737359846722E-2</v>
      </c>
      <c r="AJ15" s="47">
        <f>SMALL(Таблица1[01.12.2019],2)</f>
        <v>-2.3554212961383456</v>
      </c>
      <c r="AK15" s="47">
        <f>SMALL(Таблица1[01.03.2020],2)</f>
        <v>-2.0297680736310042</v>
      </c>
      <c r="AL15" s="47">
        <f>SMALL(Таблица1[01.06.2020],2)</f>
        <v>-13.054692625735925</v>
      </c>
      <c r="AM15" s="47">
        <f>SMALL(Таблица1[01.09.2020],2)</f>
        <v>-1.7867895347805529E-2</v>
      </c>
      <c r="AN15" s="47">
        <f>SMALL(Таблица1[01.12.2020],2)</f>
        <v>5.8387036501542866E-2</v>
      </c>
      <c r="AO15" s="47">
        <f>SMALL(Таблица1[01.03.2021],2)</f>
        <v>-1.298848403180088</v>
      </c>
      <c r="AP15" s="47">
        <f>SMALL(Таблица1[01.06.2021],2)</f>
        <v>-1.8936561144126927</v>
      </c>
      <c r="AQ15" s="47">
        <f>SMALL(Таблица1[01.09.2021],2)</f>
        <v>-5.1262818894997508E-2</v>
      </c>
      <c r="AR15" s="47">
        <f>SMALL(Таблица1[01.12.2021],2)</f>
        <v>-0.5795452420440057</v>
      </c>
      <c r="AS15" s="47">
        <f>SMALL(Таблица1[01.03.2022],2)</f>
        <v>-2.1258629862321072</v>
      </c>
      <c r="AT15" s="47">
        <f>SMALL(Таблица1[01.06.2022],2)</f>
        <v>-12.217500466341818</v>
      </c>
      <c r="AU15" s="47">
        <f>SMALL(Таблица1[01.09.2022],2)</f>
        <v>-0.63188332712584838</v>
      </c>
      <c r="AV15" s="47">
        <f>SMALL(Таблица1[01.12.2022],2)</f>
        <v>-0.19871543775774114</v>
      </c>
      <c r="AW15" s="47">
        <f>SMALL(Таблица1[01.03.2023],2)</f>
        <v>-1.281119393246982</v>
      </c>
      <c r="AX15" s="47">
        <f>SMALL(Таблица1[01.06.2023],2)</f>
        <v>-1.3415489365157356</v>
      </c>
      <c r="AY15" s="47">
        <f>SMALL(Таблица1[01.09.2023],2)</f>
        <v>0.35846522679716486</v>
      </c>
    </row>
    <row r="16" spans="1:51" x14ac:dyDescent="0.25">
      <c r="B16" s="47">
        <f>B14-B15</f>
        <v>4.9314192569304112</v>
      </c>
      <c r="C16" s="47">
        <f t="shared" ref="C16:AY16" si="0">C14-C15</f>
        <v>4.2021891383223107</v>
      </c>
      <c r="D16" s="47">
        <f t="shared" si="0"/>
        <v>4.4228357044942754</v>
      </c>
      <c r="E16" s="47">
        <f t="shared" si="0"/>
        <v>6.6130492681694619</v>
      </c>
      <c r="F16" s="47">
        <f t="shared" si="0"/>
        <v>6.1363325182562249</v>
      </c>
      <c r="G16" s="47">
        <f t="shared" si="0"/>
        <v>4.3307247195919274</v>
      </c>
      <c r="H16" s="47">
        <f t="shared" si="0"/>
        <v>3.0956058580648858</v>
      </c>
      <c r="I16" s="47">
        <f t="shared" si="0"/>
        <v>5.289323574113368</v>
      </c>
      <c r="J16" s="47">
        <f t="shared" si="0"/>
        <v>3.0748506252482599</v>
      </c>
      <c r="K16" s="47">
        <f t="shared" si="0"/>
        <v>5.190136313753456</v>
      </c>
      <c r="L16" s="47">
        <f t="shared" si="0"/>
        <v>3.9579980501234502</v>
      </c>
      <c r="M16" s="47">
        <f t="shared" si="0"/>
        <v>4.3198763800859723</v>
      </c>
      <c r="N16" s="47">
        <f t="shared" si="0"/>
        <v>3.9716544362182731</v>
      </c>
      <c r="O16" s="47">
        <f t="shared" si="0"/>
        <v>2.9977801628056824</v>
      </c>
      <c r="P16" s="47">
        <f t="shared" si="0"/>
        <v>3.7035248212067842</v>
      </c>
      <c r="Q16" s="47">
        <f t="shared" si="0"/>
        <v>3.5469405064926036</v>
      </c>
      <c r="R16" s="47">
        <f t="shared" si="0"/>
        <v>2.3965572508812016</v>
      </c>
      <c r="S16" s="47">
        <f t="shared" si="0"/>
        <v>1.7408920332784135</v>
      </c>
      <c r="T16" s="47">
        <f t="shared" si="0"/>
        <v>5.5088123933337272</v>
      </c>
      <c r="U16" s="47">
        <f t="shared" si="0"/>
        <v>4.4110686913683708</v>
      </c>
      <c r="V16" s="47">
        <f t="shared" si="0"/>
        <v>1.6178235626124717</v>
      </c>
      <c r="W16" s="47">
        <f t="shared" si="0"/>
        <v>2.7573813976636501</v>
      </c>
      <c r="X16" s="47">
        <f t="shared" si="0"/>
        <v>4.2191278270713326</v>
      </c>
      <c r="Y16" s="47">
        <f t="shared" si="0"/>
        <v>4.8588470169760427</v>
      </c>
      <c r="Z16" s="47">
        <f t="shared" si="0"/>
        <v>1.3400694193642408</v>
      </c>
      <c r="AA16" s="47">
        <f t="shared" si="0"/>
        <v>1.7152925593016164</v>
      </c>
      <c r="AB16" s="47">
        <f t="shared" si="0"/>
        <v>2.9269813205665116</v>
      </c>
      <c r="AC16" s="47">
        <f t="shared" si="0"/>
        <v>1.0474849038938601</v>
      </c>
      <c r="AD16" s="47">
        <f t="shared" si="0"/>
        <v>1.7863410937863762</v>
      </c>
      <c r="AE16" s="47">
        <f t="shared" si="0"/>
        <v>3.2638131329342741</v>
      </c>
      <c r="AF16" s="47">
        <f t="shared" si="0"/>
        <v>4.0531137380206843</v>
      </c>
      <c r="AG16" s="47">
        <f t="shared" si="0"/>
        <v>4.2536939005912586</v>
      </c>
      <c r="AH16" s="47">
        <f t="shared" si="0"/>
        <v>4.5291951227460316</v>
      </c>
      <c r="AI16" s="47">
        <f t="shared" si="0"/>
        <v>3.341020538680624</v>
      </c>
      <c r="AJ16" s="47">
        <f t="shared" si="0"/>
        <v>3.6734779607715922</v>
      </c>
      <c r="AK16" s="47">
        <f t="shared" si="0"/>
        <v>3.4597258370749557</v>
      </c>
      <c r="AL16" s="47">
        <f t="shared" si="0"/>
        <v>13.130571933241797</v>
      </c>
      <c r="AM16" s="47">
        <f t="shared" si="0"/>
        <v>12.83256960707881</v>
      </c>
      <c r="AN16" s="47">
        <f t="shared" si="0"/>
        <v>3.4229056362941463</v>
      </c>
      <c r="AO16" s="47">
        <f t="shared" si="0"/>
        <v>6.3316124530547597</v>
      </c>
      <c r="AP16" s="47">
        <f t="shared" si="0"/>
        <v>9.023332935170032</v>
      </c>
      <c r="AQ16" s="47">
        <f t="shared" si="0"/>
        <v>2.8129759668853609</v>
      </c>
      <c r="AR16" s="47">
        <f t="shared" si="0"/>
        <v>3.3878743192944683</v>
      </c>
      <c r="AS16" s="47">
        <f t="shared" si="0"/>
        <v>2.9957213160742668</v>
      </c>
      <c r="AT16" s="47">
        <f t="shared" si="0"/>
        <v>13.845572772646676</v>
      </c>
      <c r="AU16" s="47">
        <f t="shared" si="0"/>
        <v>3.7081756214150374</v>
      </c>
      <c r="AV16" s="47">
        <f t="shared" si="0"/>
        <v>3.3144109579682066</v>
      </c>
      <c r="AW16" s="47">
        <f t="shared" si="0"/>
        <v>2.9956096049737653</v>
      </c>
      <c r="AX16" s="47">
        <f t="shared" si="0"/>
        <v>4.1065831795187222</v>
      </c>
      <c r="AY16" s="47">
        <f t="shared" si="0"/>
        <v>2.4847608603595148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2F13-2F19-4574-A852-6E830E67078C}">
  <dimension ref="A1:AO52"/>
  <sheetViews>
    <sheetView workbookViewId="0">
      <selection activeCell="I26" sqref="I26"/>
    </sheetView>
  </sheetViews>
  <sheetFormatPr defaultRowHeight="14.25" x14ac:dyDescent="0.2"/>
  <cols>
    <col min="1" max="1" width="11.28515625" style="1" bestFit="1" customWidth="1"/>
    <col min="2" max="3" width="5.7109375" style="1" bestFit="1" customWidth="1"/>
    <col min="4" max="4" width="6.85546875" style="1" bestFit="1" customWidth="1"/>
    <col min="5" max="7" width="5.7109375" style="1" bestFit="1" customWidth="1"/>
    <col min="8" max="9" width="6.85546875" style="1" bestFit="1" customWidth="1"/>
    <col min="10" max="10" width="6.140625" style="1" bestFit="1" customWidth="1"/>
    <col min="11" max="11" width="5.7109375" style="1" bestFit="1" customWidth="1"/>
    <col min="12" max="13" width="6.85546875" style="1" bestFit="1" customWidth="1"/>
    <col min="14" max="14" width="9.140625" style="1"/>
    <col min="15" max="15" width="11.28515625" style="1" bestFit="1" customWidth="1"/>
    <col min="16" max="16" width="7" style="1" customWidth="1"/>
    <col min="17" max="17" width="5" style="1" bestFit="1" customWidth="1"/>
    <col min="18" max="18" width="5.7109375" style="1" bestFit="1" customWidth="1"/>
    <col min="19" max="20" width="5" style="1" bestFit="1" customWidth="1"/>
    <col min="21" max="26" width="5.7109375" style="1" bestFit="1" customWidth="1"/>
    <col min="27" max="27" width="6.85546875" style="1" bestFit="1" customWidth="1"/>
    <col min="28" max="28" width="6" style="1" bestFit="1" customWidth="1"/>
    <col min="29" max="29" width="9.140625" style="1"/>
    <col min="30" max="30" width="13.7109375" style="1" bestFit="1" customWidth="1"/>
    <col min="31" max="31" width="5" style="1" bestFit="1" customWidth="1"/>
    <col min="32" max="33" width="6.140625" style="1" bestFit="1" customWidth="1"/>
    <col min="34" max="35" width="5" style="1" bestFit="1" customWidth="1"/>
    <col min="36" max="36" width="6.140625" style="1" bestFit="1" customWidth="1"/>
    <col min="37" max="39" width="5" style="1" bestFit="1" customWidth="1"/>
    <col min="40" max="40" width="6.85546875" style="1" bestFit="1" customWidth="1"/>
    <col min="41" max="41" width="6.140625" style="1" bestFit="1" customWidth="1"/>
    <col min="42" max="16384" width="9.140625" style="1"/>
  </cols>
  <sheetData>
    <row r="1" spans="1:41" x14ac:dyDescent="0.2">
      <c r="B1" s="1" t="s">
        <v>35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45</v>
      </c>
      <c r="M1" s="1" t="s">
        <v>46</v>
      </c>
      <c r="Q1" s="1" t="s">
        <v>35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45</v>
      </c>
      <c r="AB1" s="1" t="s">
        <v>46</v>
      </c>
      <c r="AD1" s="1" t="s">
        <v>121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45</v>
      </c>
      <c r="AO1" s="1" t="s">
        <v>46</v>
      </c>
    </row>
    <row r="2" spans="1:41" ht="15" x14ac:dyDescent="0.25">
      <c r="A2" s="31">
        <v>40603</v>
      </c>
      <c r="B2" s="49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5"/>
      <c r="O2" s="31"/>
      <c r="P2" s="48"/>
    </row>
    <row r="3" spans="1:41" x14ac:dyDescent="0.2">
      <c r="A3" s="35">
        <f>EDATE(A2,3)</f>
        <v>40695</v>
      </c>
      <c r="B3" s="49">
        <f>QoQ!B2</f>
        <v>1.3576691255935032</v>
      </c>
      <c r="C3" s="49">
        <f>QoQ!C2</f>
        <v>-1.0015022806182117</v>
      </c>
      <c r="D3" s="49">
        <f>QoQ!D2</f>
        <v>-0.4766727843651779</v>
      </c>
      <c r="E3" s="49">
        <f>QoQ!E2</f>
        <v>3.8291542351442303</v>
      </c>
      <c r="F3" s="49">
        <f>QoQ!F2</f>
        <v>-0.4459179790807184</v>
      </c>
      <c r="G3" s="49">
        <f>QoQ!G2</f>
        <v>4.4647568180010921</v>
      </c>
      <c r="H3" s="49">
        <f>QoQ!H2</f>
        <v>0.5559418915778167</v>
      </c>
      <c r="I3" s="49">
        <f>QoQ!I2</f>
        <v>0.59957322892883269</v>
      </c>
      <c r="J3" s="49">
        <f>QoQ!J2</f>
        <v>1.9824194810213527</v>
      </c>
      <c r="K3" s="49">
        <f>QoQ!K2</f>
        <v>0.43735712713323949</v>
      </c>
      <c r="L3" s="49">
        <f>QoQ!L2</f>
        <v>4.4547464725652333</v>
      </c>
      <c r="M3" s="49">
        <f>QoQ!M2</f>
        <v>1.4457279993619068</v>
      </c>
      <c r="O3" s="35">
        <v>40695</v>
      </c>
      <c r="P3" s="48"/>
    </row>
    <row r="4" spans="1:41" x14ac:dyDescent="0.2">
      <c r="A4" s="35">
        <f t="shared" ref="A4:A52" si="0">EDATE(A3,3)</f>
        <v>40787</v>
      </c>
      <c r="B4" s="49">
        <f>QoQ!B3</f>
        <v>1.5075570975756136</v>
      </c>
      <c r="C4" s="49">
        <f>QoQ!C3</f>
        <v>0.75273334858006535</v>
      </c>
      <c r="D4" s="49">
        <f>QoQ!D3</f>
        <v>0.84709675387091465</v>
      </c>
      <c r="E4" s="49">
        <f>QoQ!E3</f>
        <v>-4.8400630608693689</v>
      </c>
      <c r="F4" s="49">
        <f>QoQ!F3</f>
        <v>-0.95900140440443238</v>
      </c>
      <c r="G4" s="49">
        <f>QoQ!G3</f>
        <v>0.95786028692104708</v>
      </c>
      <c r="H4" s="49">
        <f>QoQ!H3</f>
        <v>2.0682402892717704</v>
      </c>
      <c r="I4" s="49">
        <f>QoQ!I3</f>
        <v>0.40320987834654431</v>
      </c>
      <c r="J4" s="49">
        <f>QoQ!J3</f>
        <v>3.744805253963861</v>
      </c>
      <c r="K4" s="49">
        <f>QoQ!K3</f>
        <v>2.0433385839453422E-2</v>
      </c>
      <c r="L4" s="49">
        <f>QoQ!L3</f>
        <v>3.2431877339178783</v>
      </c>
      <c r="M4" s="49">
        <f>QoQ!M3</f>
        <v>1.2372164186971446</v>
      </c>
      <c r="O4" s="35">
        <v>40787</v>
      </c>
      <c r="P4" s="48"/>
    </row>
    <row r="5" spans="1:41" x14ac:dyDescent="0.2">
      <c r="A5" s="35">
        <f t="shared" si="0"/>
        <v>40878</v>
      </c>
      <c r="B5" s="49">
        <f>QoQ!B4</f>
        <v>1.228870910654777</v>
      </c>
      <c r="C5" s="49">
        <f>QoQ!C4</f>
        <v>0.80241020194505097</v>
      </c>
      <c r="D5" s="49">
        <f>QoQ!D4</f>
        <v>0.55795764393427305</v>
      </c>
      <c r="E5" s="49">
        <f>QoQ!E4</f>
        <v>-0.52128745897789486</v>
      </c>
      <c r="F5" s="49">
        <f>QoQ!F4</f>
        <v>-0.81753139527866381</v>
      </c>
      <c r="G5" s="49">
        <f>QoQ!G4</f>
        <v>-8.1067666015361368</v>
      </c>
      <c r="H5" s="49">
        <f>QoQ!H4</f>
        <v>3.6053043092156116</v>
      </c>
      <c r="I5" s="49">
        <f>QoQ!I4</f>
        <v>1.1466620151221036</v>
      </c>
      <c r="J5" s="49">
        <f>QoQ!J4</f>
        <v>3.012767797378217</v>
      </c>
      <c r="K5" s="49">
        <f>QoQ!K4</f>
        <v>5.5449661577653444</v>
      </c>
      <c r="L5" s="49">
        <f>QoQ!L4</f>
        <v>-0.22335582710830693</v>
      </c>
      <c r="M5" s="49">
        <f>QoQ!M4</f>
        <v>1.0525111307895685</v>
      </c>
      <c r="O5" s="35">
        <v>40878</v>
      </c>
      <c r="P5" s="48"/>
    </row>
    <row r="6" spans="1:41" x14ac:dyDescent="0.2">
      <c r="A6" s="35">
        <f t="shared" si="0"/>
        <v>40969</v>
      </c>
      <c r="B6" s="49">
        <f>QoQ!B5</f>
        <v>1.4641556982320765</v>
      </c>
      <c r="C6" s="49">
        <f>QoQ!C5</f>
        <v>1.067913866807487</v>
      </c>
      <c r="D6" s="49">
        <f>QoQ!D5</f>
        <v>2.5623869881158186</v>
      </c>
      <c r="E6" s="49">
        <f>QoQ!E5</f>
        <v>6.5548467648329165</v>
      </c>
      <c r="F6" s="49">
        <f>QoQ!F5</f>
        <v>2.0654822832807582</v>
      </c>
      <c r="G6" s="49">
        <f>QoQ!G5</f>
        <v>7.3164877460228013</v>
      </c>
      <c r="H6" s="49">
        <f>QoQ!H5</f>
        <v>1.6185786955891643</v>
      </c>
      <c r="I6" s="49">
        <f>QoQ!I5</f>
        <v>1.8712903157904037</v>
      </c>
      <c r="J6" s="49">
        <f>QoQ!J5</f>
        <v>5.8895917687507051</v>
      </c>
      <c r="K6" s="49">
        <f>QoQ!K5</f>
        <v>-8.7433831883899416E-2</v>
      </c>
      <c r="L6" s="49">
        <f>QoQ!L5</f>
        <v>-5.8202503336545419E-2</v>
      </c>
      <c r="M6" s="49">
        <f>QoQ!M5</f>
        <v>0.98304497393262125</v>
      </c>
      <c r="O6" s="35">
        <v>40969</v>
      </c>
      <c r="P6" s="48"/>
    </row>
    <row r="7" spans="1:41" x14ac:dyDescent="0.2">
      <c r="A7" s="35">
        <f t="shared" si="0"/>
        <v>41061</v>
      </c>
      <c r="B7" s="49">
        <f>QoQ!B6</f>
        <v>0.37212951382299764</v>
      </c>
      <c r="C7" s="49">
        <f>QoQ!C6</f>
        <v>-0.68856073218377389</v>
      </c>
      <c r="D7" s="49">
        <f>QoQ!D6</f>
        <v>-1.3593259607782073</v>
      </c>
      <c r="E7" s="49">
        <f>QoQ!E6</f>
        <v>2.2227265866425796</v>
      </c>
      <c r="F7" s="49">
        <f>QoQ!F6</f>
        <v>-0.82384145557237787</v>
      </c>
      <c r="G7" s="49">
        <f>QoQ!G6</f>
        <v>4.7770065574780176</v>
      </c>
      <c r="H7" s="49">
        <f>QoQ!H6</f>
        <v>-1.6575200942652373</v>
      </c>
      <c r="I7" s="49">
        <f>QoQ!I6</f>
        <v>0.17451247294597749</v>
      </c>
      <c r="J7" s="49">
        <f>QoQ!J6</f>
        <v>4.9857624254003241</v>
      </c>
      <c r="K7" s="49">
        <f>QoQ!K6</f>
        <v>0.33085168967868128</v>
      </c>
      <c r="L7" s="49">
        <f>QoQ!L6</f>
        <v>1.9347703850197746</v>
      </c>
      <c r="M7" s="49">
        <f>QoQ!M6</f>
        <v>0.42726437435990761</v>
      </c>
      <c r="O7" s="35">
        <v>41061</v>
      </c>
      <c r="P7" s="48"/>
    </row>
    <row r="8" spans="1:41" x14ac:dyDescent="0.2">
      <c r="A8" s="35">
        <f t="shared" si="0"/>
        <v>41153</v>
      </c>
      <c r="B8" s="49">
        <f>QoQ!B7</f>
        <v>0.41167198316315989</v>
      </c>
      <c r="C8" s="49">
        <f>QoQ!C7</f>
        <v>0.20557994746440045</v>
      </c>
      <c r="D8" s="49">
        <f>QoQ!D7</f>
        <v>0.56407066549964213</v>
      </c>
      <c r="E8" s="49">
        <f>QoQ!E7</f>
        <v>-4.2523220435365232</v>
      </c>
      <c r="F8" s="49">
        <f>QoQ!F7</f>
        <v>0.69070457527986662</v>
      </c>
      <c r="G8" s="49">
        <f>QoQ!G7</f>
        <v>-3.5620393634040255</v>
      </c>
      <c r="H8" s="49">
        <f>QoQ!H7</f>
        <v>0.13345358719713829</v>
      </c>
      <c r="I8" s="49">
        <f>QoQ!I7</f>
        <v>0.7686853561879019</v>
      </c>
      <c r="J8" s="49">
        <f>QoQ!J7</f>
        <v>1.5266962226033058</v>
      </c>
      <c r="K8" s="49">
        <f>QoQ!K7</f>
        <v>-2.1142649784337664E-2</v>
      </c>
      <c r="L8" s="49">
        <f>QoQ!L7</f>
        <v>0.75809442421143558</v>
      </c>
      <c r="M8" s="49">
        <f>QoQ!M7</f>
        <v>0.34493874109382716</v>
      </c>
      <c r="O8" s="35">
        <v>41153</v>
      </c>
      <c r="P8" s="48"/>
    </row>
    <row r="9" spans="1:41" x14ac:dyDescent="0.2">
      <c r="A9" s="35">
        <f t="shared" si="0"/>
        <v>41244</v>
      </c>
      <c r="B9" s="49">
        <f>QoQ!B8</f>
        <v>2.9497340059663202E-3</v>
      </c>
      <c r="C9" s="49">
        <f>QoQ!C8</f>
        <v>2.3973251872334345E-2</v>
      </c>
      <c r="D9" s="49">
        <f>QoQ!D8</f>
        <v>-0.91441384301799644</v>
      </c>
      <c r="E9" s="49">
        <f>QoQ!E8</f>
        <v>-0.5214889950203343</v>
      </c>
      <c r="F9" s="49">
        <f>QoQ!F8</f>
        <v>0.98666894817007744</v>
      </c>
      <c r="G9" s="49">
        <f>QoQ!G8</f>
        <v>-4.8419297823460568</v>
      </c>
      <c r="H9" s="49">
        <f>QoQ!H8</f>
        <v>-2.1089369098948083</v>
      </c>
      <c r="I9" s="49">
        <f>QoQ!I8</f>
        <v>-0.22022984903090048</v>
      </c>
      <c r="J9" s="49">
        <f>QoQ!J8</f>
        <v>1.4353213796434403</v>
      </c>
      <c r="K9" s="49">
        <f>QoQ!K8</f>
        <v>0.30951902072149551</v>
      </c>
      <c r="L9" s="49">
        <f>QoQ!L8</f>
        <v>-0.10436672822719117</v>
      </c>
      <c r="M9" s="49">
        <f>QoQ!M8</f>
        <v>0.39725222346518763</v>
      </c>
      <c r="O9" s="35">
        <v>41244</v>
      </c>
      <c r="P9" s="48"/>
    </row>
    <row r="10" spans="1:41" x14ac:dyDescent="0.2">
      <c r="A10" s="35">
        <f t="shared" si="0"/>
        <v>41334</v>
      </c>
      <c r="B10" s="49">
        <f>QoQ!B9</f>
        <v>0.93291499110246434</v>
      </c>
      <c r="C10" s="49">
        <f>QoQ!C9</f>
        <v>1.0823538520458271</v>
      </c>
      <c r="D10" s="49">
        <f>QoQ!D9</f>
        <v>1.360316358903674</v>
      </c>
      <c r="E10" s="49">
        <f>QoQ!E9</f>
        <v>4.8134924963182186</v>
      </c>
      <c r="F10" s="49">
        <f>QoQ!F9</f>
        <v>-1.5468098390154239</v>
      </c>
      <c r="G10" s="49">
        <f>QoQ!G9</f>
        <v>4.5439073391776503</v>
      </c>
      <c r="H10" s="49">
        <f>QoQ!H9</f>
        <v>1.8863178423366094</v>
      </c>
      <c r="I10" s="49">
        <f>QoQ!I9</f>
        <v>-0.74541623493571763</v>
      </c>
      <c r="J10" s="49">
        <f>QoQ!J9</f>
        <v>0.46278199542442167</v>
      </c>
      <c r="K10" s="49">
        <f>QoQ!K9</f>
        <v>4.2125784340514514</v>
      </c>
      <c r="L10" s="49">
        <f>QoQ!L9</f>
        <v>0.73001885250216958</v>
      </c>
      <c r="M10" s="49">
        <f>QoQ!M9</f>
        <v>1.4862476094607189</v>
      </c>
      <c r="O10" s="35">
        <v>41334</v>
      </c>
      <c r="P10" s="50">
        <f>YEAR(O10)</f>
        <v>2013</v>
      </c>
      <c r="Q10" s="49">
        <f>CORREL($B3:$B10,B3:B10)</f>
        <v>1.0000000000000002</v>
      </c>
      <c r="R10" s="49">
        <f t="shared" ref="R10:AB10" si="1">CORREL($B3:$B10,C3:C10)</f>
        <v>0.34972468149309854</v>
      </c>
      <c r="S10" s="49">
        <f t="shared" si="1"/>
        <v>0.62057811724040279</v>
      </c>
      <c r="T10" s="49">
        <f t="shared" si="1"/>
        <v>0.22612140807458248</v>
      </c>
      <c r="U10" s="49">
        <f t="shared" si="1"/>
        <v>-0.14585718553729288</v>
      </c>
      <c r="V10" s="49">
        <f t="shared" si="1"/>
        <v>0.34550648394953404</v>
      </c>
      <c r="W10" s="49">
        <f t="shared" si="1"/>
        <v>0.80674540085561741</v>
      </c>
      <c r="X10" s="49">
        <f t="shared" si="1"/>
        <v>0.49660813199161075</v>
      </c>
      <c r="Y10" s="49">
        <f t="shared" si="1"/>
        <v>0.34494762756243413</v>
      </c>
      <c r="Z10" s="49">
        <f t="shared" si="1"/>
        <v>0.17630624121765029</v>
      </c>
      <c r="AA10" s="49">
        <f t="shared" si="1"/>
        <v>0.36221753434206561</v>
      </c>
      <c r="AB10" s="49">
        <f t="shared" si="1"/>
        <v>0.80716047566565918</v>
      </c>
      <c r="AD10" s="52">
        <f>SUMPRODUCT(R10:AB10,AE10:AO10)/100</f>
        <v>0.46239998701400808</v>
      </c>
      <c r="AE10" s="53">
        <f>INDEX('доля годы'!$A$2:$L$15,MATCH('cross-sectoral correlation'!$P10,'доля годы'!$A$2:$A$15,0),MATCH('cross-sectoral correlation'!AE$1,'доля годы'!$A$2:$L$2,0))</f>
        <v>3.6863642651340305</v>
      </c>
      <c r="AF10" s="53">
        <f>INDEX('доля годы'!$A$2:$L$15,MATCH('cross-sectoral correlation'!$P10,'доля годы'!$A$2:$A$15,0),MATCH('cross-sectoral correlation'!AF$1,'доля годы'!$A$2:$L$2,0))</f>
        <v>11.804347491247217</v>
      </c>
      <c r="AG10" s="53">
        <f>INDEX('доля годы'!$A$2:$L$15,MATCH('cross-sectoral correlation'!$P10,'доля годы'!$A$2:$A$15,0),MATCH('cross-sectoral correlation'!AG$1,'доля годы'!$A$2:$L$2,0))</f>
        <v>11.714776643505711</v>
      </c>
      <c r="AH10" s="53">
        <f>INDEX('доля годы'!$A$2:$L$15,MATCH('cross-sectoral correlation'!$P10,'доля годы'!$A$2:$A$15,0),MATCH('cross-sectoral correlation'!AH$1,'доля годы'!$A$2:$L$2,0))</f>
        <v>2.8141071918365212</v>
      </c>
      <c r="AI10" s="53">
        <f>INDEX('доля годы'!$A$2:$L$15,MATCH('cross-sectoral correlation'!$P10,'доля годы'!$A$2:$A$15,0),MATCH('cross-sectoral correlation'!AI$1,'доля годы'!$A$2:$L$2,0))</f>
        <v>5.0144531627991595</v>
      </c>
      <c r="AJ10" s="53">
        <f>INDEX('доля годы'!$A$2:$L$15,MATCH('cross-sectoral correlation'!$P10,'доля годы'!$A$2:$A$15,0),MATCH('cross-sectoral correlation'!AJ$1,'доля годы'!$A$2:$L$2,0))</f>
        <v>12.783261798234502</v>
      </c>
      <c r="AK10" s="53">
        <f>INDEX('доля годы'!$A$2:$L$15,MATCH('cross-sectoral correlation'!$P10,'доля годы'!$A$2:$A$15,0),MATCH('cross-sectoral correlation'!AK$1,'доля годы'!$A$2:$L$2,0))</f>
        <v>5.8703316840860458</v>
      </c>
      <c r="AL10" s="53">
        <f>INDEX('доля годы'!$A$2:$L$15,MATCH('cross-sectoral correlation'!$P10,'доля годы'!$A$2:$A$15,0),MATCH('cross-sectoral correlation'!AL$1,'доля годы'!$A$2:$L$2,0))</f>
        <v>3.127380717534467</v>
      </c>
      <c r="AM10" s="53">
        <f>INDEX('доля годы'!$A$2:$L$15,MATCH('cross-sectoral correlation'!$P10,'доля годы'!$A$2:$A$15,0),MATCH('cross-sectoral correlation'!AM$1,'доля годы'!$A$2:$L$2,0))</f>
        <v>8.7113420032468536</v>
      </c>
      <c r="AN10" s="53">
        <f>INDEX('доля годы'!$A$2:$L$15,MATCH('cross-sectoral correlation'!$P10,'доля годы'!$A$2:$A$15,0),MATCH('cross-sectoral correlation'!AN$1,'доля годы'!$A$2:$L$2,0))</f>
        <v>22.506836478246512</v>
      </c>
      <c r="AO10" s="53">
        <f>INDEX('доля годы'!$A$2:$L$15,MATCH('cross-sectoral correlation'!$P10,'доля годы'!$A$2:$A$15,0),MATCH('cross-sectoral correlation'!AO$1,'доля годы'!$A$2:$L$2,0))</f>
        <v>11.966798564128982</v>
      </c>
    </row>
    <row r="11" spans="1:41" x14ac:dyDescent="0.2">
      <c r="A11" s="35">
        <f t="shared" si="0"/>
        <v>41426</v>
      </c>
      <c r="B11" s="49">
        <f>QoQ!B10</f>
        <v>0.39323457262079842</v>
      </c>
      <c r="C11" s="49">
        <f>QoQ!C10</f>
        <v>0.65123128115509132</v>
      </c>
      <c r="D11" s="49">
        <f>QoQ!D10</f>
        <v>1.8727443527883025</v>
      </c>
      <c r="E11" s="49">
        <f>QoQ!E10</f>
        <v>3.3724458922216485</v>
      </c>
      <c r="F11" s="49">
        <f>QoQ!F10</f>
        <v>0.62293267298989008</v>
      </c>
      <c r="G11" s="49">
        <f>QoQ!G10</f>
        <v>3.0116622846938697</v>
      </c>
      <c r="H11" s="49">
        <f>QoQ!H10</f>
        <v>-6.3188340554390265E-2</v>
      </c>
      <c r="I11" s="49">
        <f>QoQ!I10</f>
        <v>0.24938463934776678</v>
      </c>
      <c r="J11" s="49">
        <f>QoQ!J10</f>
        <v>2.9498266855219129</v>
      </c>
      <c r="K11" s="49">
        <f>QoQ!K10</f>
        <v>0.21559413815452899</v>
      </c>
      <c r="L11" s="49">
        <f>QoQ!L10</f>
        <v>6.8084646260516024E-2</v>
      </c>
      <c r="M11" s="49">
        <f>QoQ!M10</f>
        <v>-0.74944665831712598</v>
      </c>
      <c r="O11" s="35">
        <v>41426</v>
      </c>
      <c r="P11" s="50">
        <f t="shared" ref="P11:P52" si="2">YEAR(O11)</f>
        <v>2013</v>
      </c>
      <c r="Q11" s="49">
        <f t="shared" ref="Q11:Q29" si="3">CORREL($B4:$B11,B4:B11)</f>
        <v>1</v>
      </c>
      <c r="R11" s="49">
        <f t="shared" ref="R11:R29" si="4">CORREL($B4:$B11,C4:C11)</f>
        <v>0.70464955425807552</v>
      </c>
      <c r="S11" s="49">
        <f t="shared" ref="S11:S29" si="5">CORREL($B4:$B11,D4:D11)</f>
        <v>0.59046382240238737</v>
      </c>
      <c r="T11" s="49">
        <f t="shared" ref="T11:T29" si="6">CORREL($B4:$B11,E4:E11)</f>
        <v>7.0748749201878944E-2</v>
      </c>
      <c r="U11" s="49">
        <f t="shared" ref="U11:U29" si="7">CORREL($B4:$B11,F4:F11)</f>
        <v>-0.16489340318260537</v>
      </c>
      <c r="V11" s="49">
        <f t="shared" ref="V11:V29" si="8">CORREL($B4:$B11,G4:G11)</f>
        <v>0.21579410409347513</v>
      </c>
      <c r="W11" s="49">
        <f t="shared" ref="W11:W29" si="9">CORREL($B4:$B11,H4:H11)</f>
        <v>0.86335086303045827</v>
      </c>
      <c r="X11" s="49">
        <f t="shared" ref="X11:X29" si="10">CORREL($B4:$B11,I4:I11)</f>
        <v>0.51310276087942575</v>
      </c>
      <c r="Y11" s="49">
        <f t="shared" ref="Y11:Y29" si="11">CORREL($B4:$B11,J4:J11)</f>
        <v>0.42076883642561075</v>
      </c>
      <c r="Z11" s="49">
        <f t="shared" ref="Z11:Z29" si="12">CORREL($B4:$B11,K4:K11)</f>
        <v>0.28496089218526055</v>
      </c>
      <c r="AA11" s="49">
        <f t="shared" ref="AA11:AA29" si="13">CORREL($B4:$B11,L4:L11)</f>
        <v>0.25876164208436131</v>
      </c>
      <c r="AB11" s="49">
        <f t="shared" ref="AB11:AB29" si="14">CORREL($B4:$B11,M4:M11)</f>
        <v>0.67643612187219537</v>
      </c>
      <c r="AD11" s="52">
        <f t="shared" ref="AD11:AD52" si="15">SUMPRODUCT(R11:AB11,AE11:AO11)/100</f>
        <v>0.42780002999983269</v>
      </c>
      <c r="AE11" s="53">
        <f>INDEX('доля годы'!$A$2:$L$15,MATCH('cross-sectoral correlation'!$P11,'доля годы'!$A$2:$A$15,0),MATCH('cross-sectoral correlation'!AE$1,'доля годы'!$A$2:$L$2,0))</f>
        <v>3.6863642651340305</v>
      </c>
      <c r="AF11" s="53">
        <f>INDEX('доля годы'!$A$2:$L$15,MATCH('cross-sectoral correlation'!$P11,'доля годы'!$A$2:$A$15,0),MATCH('cross-sectoral correlation'!AF$1,'доля годы'!$A$2:$L$2,0))</f>
        <v>11.804347491247217</v>
      </c>
      <c r="AG11" s="53">
        <f>INDEX('доля годы'!$A$2:$L$15,MATCH('cross-sectoral correlation'!$P11,'доля годы'!$A$2:$A$15,0),MATCH('cross-sectoral correlation'!AG$1,'доля годы'!$A$2:$L$2,0))</f>
        <v>11.714776643505711</v>
      </c>
      <c r="AH11" s="53">
        <f>INDEX('доля годы'!$A$2:$L$15,MATCH('cross-sectoral correlation'!$P11,'доля годы'!$A$2:$A$15,0),MATCH('cross-sectoral correlation'!AH$1,'доля годы'!$A$2:$L$2,0))</f>
        <v>2.8141071918365212</v>
      </c>
      <c r="AI11" s="53">
        <f>INDEX('доля годы'!$A$2:$L$15,MATCH('cross-sectoral correlation'!$P11,'доля годы'!$A$2:$A$15,0),MATCH('cross-sectoral correlation'!AI$1,'доля годы'!$A$2:$L$2,0))</f>
        <v>5.0144531627991595</v>
      </c>
      <c r="AJ11" s="53">
        <f>INDEX('доля годы'!$A$2:$L$15,MATCH('cross-sectoral correlation'!$P11,'доля годы'!$A$2:$A$15,0),MATCH('cross-sectoral correlation'!AJ$1,'доля годы'!$A$2:$L$2,0))</f>
        <v>12.783261798234502</v>
      </c>
      <c r="AK11" s="53">
        <f>INDEX('доля годы'!$A$2:$L$15,MATCH('cross-sectoral correlation'!$P11,'доля годы'!$A$2:$A$15,0),MATCH('cross-sectoral correlation'!AK$1,'доля годы'!$A$2:$L$2,0))</f>
        <v>5.8703316840860458</v>
      </c>
      <c r="AL11" s="53">
        <f>INDEX('доля годы'!$A$2:$L$15,MATCH('cross-sectoral correlation'!$P11,'доля годы'!$A$2:$A$15,0),MATCH('cross-sectoral correlation'!AL$1,'доля годы'!$A$2:$L$2,0))</f>
        <v>3.127380717534467</v>
      </c>
      <c r="AM11" s="53">
        <f>INDEX('доля годы'!$A$2:$L$15,MATCH('cross-sectoral correlation'!$P11,'доля годы'!$A$2:$A$15,0),MATCH('cross-sectoral correlation'!AM$1,'доля годы'!$A$2:$L$2,0))</f>
        <v>8.7113420032468536</v>
      </c>
      <c r="AN11" s="53">
        <f>INDEX('доля годы'!$A$2:$L$15,MATCH('cross-sectoral correlation'!$P11,'доля годы'!$A$2:$A$15,0),MATCH('cross-sectoral correlation'!AN$1,'доля годы'!$A$2:$L$2,0))</f>
        <v>22.506836478246512</v>
      </c>
      <c r="AO11" s="53">
        <f>INDEX('доля годы'!$A$2:$L$15,MATCH('cross-sectoral correlation'!$P11,'доля годы'!$A$2:$A$15,0),MATCH('cross-sectoral correlation'!AO$1,'доля годы'!$A$2:$L$2,0))</f>
        <v>11.966798564128982</v>
      </c>
    </row>
    <row r="12" spans="1:41" x14ac:dyDescent="0.2">
      <c r="A12" s="35">
        <f t="shared" si="0"/>
        <v>41518</v>
      </c>
      <c r="B12" s="49">
        <f>QoQ!B11</f>
        <v>-0.12763535550472227</v>
      </c>
      <c r="C12" s="49">
        <f>QoQ!C11</f>
        <v>-9.5389516211014325E-2</v>
      </c>
      <c r="D12" s="49">
        <f>QoQ!D11</f>
        <v>-2.0899796973045142</v>
      </c>
      <c r="E12" s="49">
        <f>QoQ!E11</f>
        <v>-4.6431960726436472</v>
      </c>
      <c r="F12" s="49">
        <f>QoQ!F11</f>
        <v>-1.629963594292434</v>
      </c>
      <c r="G12" s="49">
        <f>QoQ!G11</f>
        <v>-3.8145407095579174</v>
      </c>
      <c r="H12" s="49">
        <f>QoQ!H11</f>
        <v>-0.96077119276543499</v>
      </c>
      <c r="I12" s="49">
        <f>QoQ!I11</f>
        <v>0.71318071690163265</v>
      </c>
      <c r="J12" s="49">
        <f>QoQ!J11</f>
        <v>2.0600870782691487</v>
      </c>
      <c r="K12" s="49">
        <f>QoQ!K11</f>
        <v>0.15349030394141039</v>
      </c>
      <c r="L12" s="49">
        <f>QoQ!L11</f>
        <v>1.3755956041955386</v>
      </c>
      <c r="M12" s="49">
        <f>QoQ!M11</f>
        <v>-0.68373252540288831</v>
      </c>
      <c r="O12" s="35">
        <v>41518</v>
      </c>
      <c r="P12" s="50">
        <f t="shared" si="2"/>
        <v>2013</v>
      </c>
      <c r="Q12" s="49">
        <f t="shared" si="3"/>
        <v>0.99999999999999978</v>
      </c>
      <c r="R12" s="49">
        <f t="shared" si="4"/>
        <v>0.75090920408791617</v>
      </c>
      <c r="S12" s="49">
        <f t="shared" si="5"/>
        <v>0.75684155141618781</v>
      </c>
      <c r="T12" s="49">
        <f t="shared" si="6"/>
        <v>0.63587131458429713</v>
      </c>
      <c r="U12" s="49">
        <f t="shared" si="7"/>
        <v>0.23967705893376215</v>
      </c>
      <c r="V12" s="49">
        <f t="shared" si="8"/>
        <v>0.32743787915608297</v>
      </c>
      <c r="W12" s="49">
        <f t="shared" si="9"/>
        <v>0.85754894660362724</v>
      </c>
      <c r="X12" s="49">
        <f t="shared" si="10"/>
        <v>0.46995991585447144</v>
      </c>
      <c r="Y12" s="49">
        <f t="shared" si="11"/>
        <v>0.41968134908567284</v>
      </c>
      <c r="Z12" s="49">
        <f t="shared" si="12"/>
        <v>0.51543180025413948</v>
      </c>
      <c r="AA12" s="49">
        <f t="shared" si="13"/>
        <v>-0.45333384712575192</v>
      </c>
      <c r="AB12" s="49">
        <f t="shared" si="14"/>
        <v>0.72727157083458605</v>
      </c>
      <c r="AD12" s="52">
        <f t="shared" si="15"/>
        <v>0.39491335739236022</v>
      </c>
      <c r="AE12" s="53">
        <f>INDEX('доля годы'!$A$2:$L$15,MATCH('cross-sectoral correlation'!$P12,'доля годы'!$A$2:$A$15,0),MATCH('cross-sectoral correlation'!AE$1,'доля годы'!$A$2:$L$2,0))</f>
        <v>3.6863642651340305</v>
      </c>
      <c r="AF12" s="53">
        <f>INDEX('доля годы'!$A$2:$L$15,MATCH('cross-sectoral correlation'!$P12,'доля годы'!$A$2:$A$15,0),MATCH('cross-sectoral correlation'!AF$1,'доля годы'!$A$2:$L$2,0))</f>
        <v>11.804347491247217</v>
      </c>
      <c r="AG12" s="53">
        <f>INDEX('доля годы'!$A$2:$L$15,MATCH('cross-sectoral correlation'!$P12,'доля годы'!$A$2:$A$15,0),MATCH('cross-sectoral correlation'!AG$1,'доля годы'!$A$2:$L$2,0))</f>
        <v>11.714776643505711</v>
      </c>
      <c r="AH12" s="53">
        <f>INDEX('доля годы'!$A$2:$L$15,MATCH('cross-sectoral correlation'!$P12,'доля годы'!$A$2:$A$15,0),MATCH('cross-sectoral correlation'!AH$1,'доля годы'!$A$2:$L$2,0))</f>
        <v>2.8141071918365212</v>
      </c>
      <c r="AI12" s="53">
        <f>INDEX('доля годы'!$A$2:$L$15,MATCH('cross-sectoral correlation'!$P12,'доля годы'!$A$2:$A$15,0),MATCH('cross-sectoral correlation'!AI$1,'доля годы'!$A$2:$L$2,0))</f>
        <v>5.0144531627991595</v>
      </c>
      <c r="AJ12" s="53">
        <f>INDEX('доля годы'!$A$2:$L$15,MATCH('cross-sectoral correlation'!$P12,'доля годы'!$A$2:$A$15,0),MATCH('cross-sectoral correlation'!AJ$1,'доля годы'!$A$2:$L$2,0))</f>
        <v>12.783261798234502</v>
      </c>
      <c r="AK12" s="53">
        <f>INDEX('доля годы'!$A$2:$L$15,MATCH('cross-sectoral correlation'!$P12,'доля годы'!$A$2:$A$15,0),MATCH('cross-sectoral correlation'!AK$1,'доля годы'!$A$2:$L$2,0))</f>
        <v>5.8703316840860458</v>
      </c>
      <c r="AL12" s="53">
        <f>INDEX('доля годы'!$A$2:$L$15,MATCH('cross-sectoral correlation'!$P12,'доля годы'!$A$2:$A$15,0),MATCH('cross-sectoral correlation'!AL$1,'доля годы'!$A$2:$L$2,0))</f>
        <v>3.127380717534467</v>
      </c>
      <c r="AM12" s="53">
        <f>INDEX('доля годы'!$A$2:$L$15,MATCH('cross-sectoral correlation'!$P12,'доля годы'!$A$2:$A$15,0),MATCH('cross-sectoral correlation'!AM$1,'доля годы'!$A$2:$L$2,0))</f>
        <v>8.7113420032468536</v>
      </c>
      <c r="AN12" s="53">
        <f>INDEX('доля годы'!$A$2:$L$15,MATCH('cross-sectoral correlation'!$P12,'доля годы'!$A$2:$A$15,0),MATCH('cross-sectoral correlation'!AN$1,'доля годы'!$A$2:$L$2,0))</f>
        <v>22.506836478246512</v>
      </c>
      <c r="AO12" s="53">
        <f>INDEX('доля годы'!$A$2:$L$15,MATCH('cross-sectoral correlation'!$P12,'доля годы'!$A$2:$A$15,0),MATCH('cross-sectoral correlation'!AO$1,'доля годы'!$A$2:$L$2,0))</f>
        <v>11.966798564128982</v>
      </c>
    </row>
    <row r="13" spans="1:41" x14ac:dyDescent="0.2">
      <c r="A13" s="35">
        <f t="shared" si="0"/>
        <v>41609</v>
      </c>
      <c r="B13" s="49">
        <f>QoQ!B12</f>
        <v>0.61912185135766151</v>
      </c>
      <c r="C13" s="49">
        <f>QoQ!C12</f>
        <v>1.9659375048584309</v>
      </c>
      <c r="D13" s="49">
        <f>QoQ!D12</f>
        <v>-4.7603433439178389E-2</v>
      </c>
      <c r="E13" s="49">
        <f>QoQ!E12</f>
        <v>-1.8993307071040704</v>
      </c>
      <c r="F13" s="49">
        <f>QoQ!F12</f>
        <v>-1.8668000412421435</v>
      </c>
      <c r="G13" s="49">
        <f>QoQ!G12</f>
        <v>-4.5200458326090711</v>
      </c>
      <c r="H13" s="49">
        <f>QoQ!H12</f>
        <v>3.0751396710191585</v>
      </c>
      <c r="I13" s="49">
        <f>QoQ!I12</f>
        <v>-0.37582129854072832</v>
      </c>
      <c r="J13" s="49">
        <f>QoQ!J12</f>
        <v>0.55182587886713463</v>
      </c>
      <c r="K13" s="49">
        <f>QoQ!K12</f>
        <v>0.22974066346053235</v>
      </c>
      <c r="L13" s="49">
        <f>QoQ!L12</f>
        <v>2.0586673430193798</v>
      </c>
      <c r="M13" s="49">
        <f>QoQ!M12</f>
        <v>2.4262258912415291E-2</v>
      </c>
      <c r="O13" s="35">
        <v>41609</v>
      </c>
      <c r="P13" s="50">
        <f t="shared" si="2"/>
        <v>2013</v>
      </c>
      <c r="Q13" s="49">
        <f t="shared" si="3"/>
        <v>0.99999999999999989</v>
      </c>
      <c r="R13" s="49">
        <f t="shared" si="4"/>
        <v>0.58578071876554216</v>
      </c>
      <c r="S13" s="49">
        <f t="shared" si="5"/>
        <v>0.81058328062751805</v>
      </c>
      <c r="T13" s="49">
        <f t="shared" si="6"/>
        <v>0.74315244712464468</v>
      </c>
      <c r="U13" s="49">
        <f t="shared" si="7"/>
        <v>0.31130139884317642</v>
      </c>
      <c r="V13" s="49">
        <f t="shared" si="8"/>
        <v>0.70856236018351482</v>
      </c>
      <c r="W13" s="49">
        <f t="shared" si="9"/>
        <v>0.70643011989910176</v>
      </c>
      <c r="X13" s="49">
        <f t="shared" si="10"/>
        <v>0.32978446131730765</v>
      </c>
      <c r="Y13" s="49">
        <f t="shared" si="11"/>
        <v>0.37625398116805236</v>
      </c>
      <c r="Z13" s="49">
        <f t="shared" si="12"/>
        <v>0.27480085933128395</v>
      </c>
      <c r="AA13" s="49">
        <f t="shared" si="13"/>
        <v>-0.2219783841525961</v>
      </c>
      <c r="AB13" s="49">
        <f t="shared" si="14"/>
        <v>0.66652540355319645</v>
      </c>
      <c r="AD13" s="52">
        <f t="shared" si="15"/>
        <v>0.42379904126908263</v>
      </c>
      <c r="AE13" s="53">
        <f>INDEX('доля годы'!$A$2:$L$15,MATCH('cross-sectoral correlation'!$P13,'доля годы'!$A$2:$A$15,0),MATCH('cross-sectoral correlation'!AE$1,'доля годы'!$A$2:$L$2,0))</f>
        <v>3.6863642651340305</v>
      </c>
      <c r="AF13" s="53">
        <f>INDEX('доля годы'!$A$2:$L$15,MATCH('cross-sectoral correlation'!$P13,'доля годы'!$A$2:$A$15,0),MATCH('cross-sectoral correlation'!AF$1,'доля годы'!$A$2:$L$2,0))</f>
        <v>11.804347491247217</v>
      </c>
      <c r="AG13" s="53">
        <f>INDEX('доля годы'!$A$2:$L$15,MATCH('cross-sectoral correlation'!$P13,'доля годы'!$A$2:$A$15,0),MATCH('cross-sectoral correlation'!AG$1,'доля годы'!$A$2:$L$2,0))</f>
        <v>11.714776643505711</v>
      </c>
      <c r="AH13" s="53">
        <f>INDEX('доля годы'!$A$2:$L$15,MATCH('cross-sectoral correlation'!$P13,'доля годы'!$A$2:$A$15,0),MATCH('cross-sectoral correlation'!AH$1,'доля годы'!$A$2:$L$2,0))</f>
        <v>2.8141071918365212</v>
      </c>
      <c r="AI13" s="53">
        <f>INDEX('доля годы'!$A$2:$L$15,MATCH('cross-sectoral correlation'!$P13,'доля годы'!$A$2:$A$15,0),MATCH('cross-sectoral correlation'!AI$1,'доля годы'!$A$2:$L$2,0))</f>
        <v>5.0144531627991595</v>
      </c>
      <c r="AJ13" s="53">
        <f>INDEX('доля годы'!$A$2:$L$15,MATCH('cross-sectoral correlation'!$P13,'доля годы'!$A$2:$A$15,0),MATCH('cross-sectoral correlation'!AJ$1,'доля годы'!$A$2:$L$2,0))</f>
        <v>12.783261798234502</v>
      </c>
      <c r="AK13" s="53">
        <f>INDEX('доля годы'!$A$2:$L$15,MATCH('cross-sectoral correlation'!$P13,'доля годы'!$A$2:$A$15,0),MATCH('cross-sectoral correlation'!AK$1,'доля годы'!$A$2:$L$2,0))</f>
        <v>5.8703316840860458</v>
      </c>
      <c r="AL13" s="53">
        <f>INDEX('доля годы'!$A$2:$L$15,MATCH('cross-sectoral correlation'!$P13,'доля годы'!$A$2:$A$15,0),MATCH('cross-sectoral correlation'!AL$1,'доля годы'!$A$2:$L$2,0))</f>
        <v>3.127380717534467</v>
      </c>
      <c r="AM13" s="53">
        <f>INDEX('доля годы'!$A$2:$L$15,MATCH('cross-sectoral correlation'!$P13,'доля годы'!$A$2:$A$15,0),MATCH('cross-sectoral correlation'!AM$1,'доля годы'!$A$2:$L$2,0))</f>
        <v>8.7113420032468536</v>
      </c>
      <c r="AN13" s="53">
        <f>INDEX('доля годы'!$A$2:$L$15,MATCH('cross-sectoral correlation'!$P13,'доля годы'!$A$2:$A$15,0),MATCH('cross-sectoral correlation'!AN$1,'доля годы'!$A$2:$L$2,0))</f>
        <v>22.506836478246512</v>
      </c>
      <c r="AO13" s="53">
        <f>INDEX('доля годы'!$A$2:$L$15,MATCH('cross-sectoral correlation'!$P13,'доля годы'!$A$2:$A$15,0),MATCH('cross-sectoral correlation'!AO$1,'доля годы'!$A$2:$L$2,0))</f>
        <v>11.966798564128982</v>
      </c>
    </row>
    <row r="14" spans="1:41" x14ac:dyDescent="0.2">
      <c r="A14" s="35">
        <f t="shared" si="0"/>
        <v>41699</v>
      </c>
      <c r="B14" s="49">
        <f>QoQ!B13</f>
        <v>-0.10808958685862535</v>
      </c>
      <c r="C14" s="49">
        <f>QoQ!C13</f>
        <v>-1.3581959462642033</v>
      </c>
      <c r="D14" s="49">
        <f>QoQ!D13</f>
        <v>0.66746133687487941</v>
      </c>
      <c r="E14" s="49">
        <f>QoQ!E13</f>
        <v>3.7895526361890575</v>
      </c>
      <c r="F14" s="49">
        <f>QoQ!F13</f>
        <v>0.58372229923986652</v>
      </c>
      <c r="G14" s="49">
        <f>QoQ!G13</f>
        <v>1.8389305616173743</v>
      </c>
      <c r="H14" s="49">
        <f>QoQ!H13</f>
        <v>-1.3313774129770479</v>
      </c>
      <c r="I14" s="49">
        <f>QoQ!I13</f>
        <v>0.49080398170697492</v>
      </c>
      <c r="J14" s="49">
        <f>QoQ!J13</f>
        <v>2.9800930881254573</v>
      </c>
      <c r="K14" s="49">
        <f>QoQ!K13</f>
        <v>0.30994342045731571</v>
      </c>
      <c r="L14" s="49">
        <f>QoQ!L13</f>
        <v>-1.1933288911115625</v>
      </c>
      <c r="M14" s="49">
        <f>QoQ!M13</f>
        <v>-1.339783291960515</v>
      </c>
      <c r="O14" s="35">
        <v>41699</v>
      </c>
      <c r="P14" s="50">
        <f t="shared" si="2"/>
        <v>2014</v>
      </c>
      <c r="Q14" s="49">
        <f t="shared" si="3"/>
        <v>0.99999999999999989</v>
      </c>
      <c r="R14" s="49">
        <f t="shared" si="4"/>
        <v>0.71416524508972923</v>
      </c>
      <c r="S14" s="49">
        <f t="shared" si="5"/>
        <v>0.52652173167941974</v>
      </c>
      <c r="T14" s="49">
        <f t="shared" si="6"/>
        <v>0.31107782467639844</v>
      </c>
      <c r="U14" s="49">
        <f t="shared" si="7"/>
        <v>-0.41183571155167803</v>
      </c>
      <c r="V14" s="49">
        <f t="shared" si="8"/>
        <v>0.36339920631502587</v>
      </c>
      <c r="W14" s="49">
        <f t="shared" si="9"/>
        <v>0.7797539303745844</v>
      </c>
      <c r="X14" s="49">
        <f t="shared" si="10"/>
        <v>-0.65757737494057389</v>
      </c>
      <c r="Y14" s="49">
        <f t="shared" si="11"/>
        <v>-0.3736902335437487</v>
      </c>
      <c r="Z14" s="49">
        <f t="shared" si="12"/>
        <v>0.65926464530324946</v>
      </c>
      <c r="AA14" s="49">
        <f t="shared" si="13"/>
        <v>0.42391226441056662</v>
      </c>
      <c r="AB14" s="49">
        <f t="shared" si="14"/>
        <v>0.72537225035814656</v>
      </c>
      <c r="AD14" s="52">
        <f t="shared" si="15"/>
        <v>0.42030233518549837</v>
      </c>
      <c r="AE14" s="53">
        <f>INDEX('доля годы'!$A$2:$L$15,MATCH('cross-sectoral correlation'!$P14,'доля годы'!$A$2:$A$15,0),MATCH('cross-sectoral correlation'!AE$1,'доля годы'!$A$2:$L$2,0))</f>
        <v>3.7631217384939575</v>
      </c>
      <c r="AF14" s="53">
        <f>INDEX('доля годы'!$A$2:$L$15,MATCH('cross-sectoral correlation'!$P14,'доля годы'!$A$2:$A$15,0),MATCH('cross-sectoral correlation'!AF$1,'доля годы'!$A$2:$L$2,0))</f>
        <v>11.935310520932079</v>
      </c>
      <c r="AG14" s="53">
        <f>INDEX('доля годы'!$A$2:$L$15,MATCH('cross-sectoral correlation'!$P14,'доля годы'!$A$2:$A$15,0),MATCH('cross-sectoral correlation'!AG$1,'доля годы'!$A$2:$L$2,0))</f>
        <v>11.717766136283915</v>
      </c>
      <c r="AH14" s="53">
        <f>INDEX('доля годы'!$A$2:$L$15,MATCH('cross-sectoral correlation'!$P14,'доля годы'!$A$2:$A$15,0),MATCH('cross-sectoral correlation'!AH$1,'доля годы'!$A$2:$L$2,0))</f>
        <v>2.7422588396220067</v>
      </c>
      <c r="AI14" s="53">
        <f>INDEX('доля годы'!$A$2:$L$15,MATCH('cross-sectoral correlation'!$P14,'доля годы'!$A$2:$A$15,0),MATCH('cross-sectoral correlation'!AI$1,'доля годы'!$A$2:$L$2,0))</f>
        <v>4.8447983319874126</v>
      </c>
      <c r="AJ14" s="53">
        <f>INDEX('доля годы'!$A$2:$L$15,MATCH('cross-sectoral correlation'!$P14,'доля годы'!$A$2:$A$15,0),MATCH('cross-sectoral correlation'!AJ$1,'доля годы'!$A$2:$L$2,0))</f>
        <v>12.756930078960533</v>
      </c>
      <c r="AK14" s="53">
        <f>INDEX('доля годы'!$A$2:$L$15,MATCH('cross-sectoral correlation'!$P14,'доля годы'!$A$2:$A$15,0),MATCH('cross-sectoral correlation'!AK$1,'доля годы'!$A$2:$L$2,0))</f>
        <v>5.8563191797872722</v>
      </c>
      <c r="AL14" s="53">
        <f>INDEX('доля годы'!$A$2:$L$15,MATCH('cross-sectoral correlation'!$P14,'доля годы'!$A$2:$A$15,0),MATCH('cross-sectoral correlation'!AL$1,'доля годы'!$A$2:$L$2,0))</f>
        <v>3.2392826267152586</v>
      </c>
      <c r="AM14" s="53">
        <f>INDEX('доля годы'!$A$2:$L$15,MATCH('cross-sectoral correlation'!$P14,'доля годы'!$A$2:$A$15,0),MATCH('cross-sectoral correlation'!AM$1,'доля годы'!$A$2:$L$2,0))</f>
        <v>8.8744780093473175</v>
      </c>
      <c r="AN14" s="53">
        <f>INDEX('доля годы'!$A$2:$L$15,MATCH('cross-sectoral correlation'!$P14,'доля годы'!$A$2:$A$15,0),MATCH('cross-sectoral correlation'!AN$1,'доля годы'!$A$2:$L$2,0))</f>
        <v>22.598586948178738</v>
      </c>
      <c r="AO14" s="53">
        <f>INDEX('доля годы'!$A$2:$L$15,MATCH('cross-sectoral correlation'!$P14,'доля годы'!$A$2:$A$15,0),MATCH('cross-sectoral correlation'!AO$1,'доля годы'!$A$2:$L$2,0))</f>
        <v>11.671147589691506</v>
      </c>
    </row>
    <row r="15" spans="1:41" x14ac:dyDescent="0.2">
      <c r="A15" s="35">
        <f t="shared" si="0"/>
        <v>41791</v>
      </c>
      <c r="B15" s="49">
        <f>QoQ!B14</f>
        <v>0.64934444491120757</v>
      </c>
      <c r="C15" s="49">
        <f>QoQ!C14</f>
        <v>2.3632750172979371</v>
      </c>
      <c r="D15" s="49">
        <f>QoQ!D14</f>
        <v>3.6475045138604827</v>
      </c>
      <c r="E15" s="49">
        <f>QoQ!E14</f>
        <v>0.49095553597713604</v>
      </c>
      <c r="F15" s="49">
        <f>QoQ!F14</f>
        <v>-0.41231351889116752</v>
      </c>
      <c r="G15" s="49">
        <f>QoQ!G14</f>
        <v>4.8461611898851658</v>
      </c>
      <c r="H15" s="49">
        <f>QoQ!H14</f>
        <v>1.1394738020838417</v>
      </c>
      <c r="I15" s="49">
        <f>QoQ!I14</f>
        <v>0.26057520773599663</v>
      </c>
      <c r="J15" s="49">
        <f>QoQ!J14</f>
        <v>-0.32414992235779039</v>
      </c>
      <c r="K15" s="49">
        <f>QoQ!K14</f>
        <v>-9.8264743119642617E-2</v>
      </c>
      <c r="L15" s="49">
        <f>QoQ!L14</f>
        <v>0.25409717818438082</v>
      </c>
      <c r="M15" s="49">
        <f>QoQ!M14</f>
        <v>0.85850008354984197</v>
      </c>
      <c r="O15" s="35">
        <v>41791</v>
      </c>
      <c r="P15" s="50">
        <f t="shared" si="2"/>
        <v>2014</v>
      </c>
      <c r="Q15" s="49">
        <f t="shared" si="3"/>
        <v>1</v>
      </c>
      <c r="R15" s="49">
        <f t="shared" si="4"/>
        <v>0.79079040128068623</v>
      </c>
      <c r="S15" s="49">
        <f t="shared" si="5"/>
        <v>0.63069919730965862</v>
      </c>
      <c r="T15" s="49">
        <f t="shared" si="6"/>
        <v>0.30131348169036271</v>
      </c>
      <c r="U15" s="49">
        <f t="shared" si="7"/>
        <v>-0.39638444238930676</v>
      </c>
      <c r="V15" s="49">
        <f t="shared" si="8"/>
        <v>0.46817018968075569</v>
      </c>
      <c r="W15" s="49">
        <f t="shared" si="9"/>
        <v>0.8606869990737176</v>
      </c>
      <c r="X15" s="49">
        <f t="shared" si="10"/>
        <v>-0.59808303501728899</v>
      </c>
      <c r="Y15" s="49">
        <f t="shared" si="11"/>
        <v>-0.69759823526413089</v>
      </c>
      <c r="Z15" s="49">
        <f t="shared" si="12"/>
        <v>0.55645390766083391</v>
      </c>
      <c r="AA15" s="49">
        <f t="shared" si="13"/>
        <v>0.38802726202251608</v>
      </c>
      <c r="AB15" s="49">
        <f t="shared" si="14"/>
        <v>0.75806229968732786</v>
      </c>
      <c r="AD15" s="52">
        <f t="shared" si="15"/>
        <v>0.42987357281744182</v>
      </c>
      <c r="AE15" s="53">
        <f>INDEX('доля годы'!$A$2:$L$15,MATCH('cross-sectoral correlation'!$P15,'доля годы'!$A$2:$A$15,0),MATCH('cross-sectoral correlation'!AE$1,'доля годы'!$A$2:$L$2,0))</f>
        <v>3.7631217384939575</v>
      </c>
      <c r="AF15" s="53">
        <f>INDEX('доля годы'!$A$2:$L$15,MATCH('cross-sectoral correlation'!$P15,'доля годы'!$A$2:$A$15,0),MATCH('cross-sectoral correlation'!AF$1,'доля годы'!$A$2:$L$2,0))</f>
        <v>11.935310520932079</v>
      </c>
      <c r="AG15" s="53">
        <f>INDEX('доля годы'!$A$2:$L$15,MATCH('cross-sectoral correlation'!$P15,'доля годы'!$A$2:$A$15,0),MATCH('cross-sectoral correlation'!AG$1,'доля годы'!$A$2:$L$2,0))</f>
        <v>11.717766136283915</v>
      </c>
      <c r="AH15" s="53">
        <f>INDEX('доля годы'!$A$2:$L$15,MATCH('cross-sectoral correlation'!$P15,'доля годы'!$A$2:$A$15,0),MATCH('cross-sectoral correlation'!AH$1,'доля годы'!$A$2:$L$2,0))</f>
        <v>2.7422588396220067</v>
      </c>
      <c r="AI15" s="53">
        <f>INDEX('доля годы'!$A$2:$L$15,MATCH('cross-sectoral correlation'!$P15,'доля годы'!$A$2:$A$15,0),MATCH('cross-sectoral correlation'!AI$1,'доля годы'!$A$2:$L$2,0))</f>
        <v>4.8447983319874126</v>
      </c>
      <c r="AJ15" s="53">
        <f>INDEX('доля годы'!$A$2:$L$15,MATCH('cross-sectoral correlation'!$P15,'доля годы'!$A$2:$A$15,0),MATCH('cross-sectoral correlation'!AJ$1,'доля годы'!$A$2:$L$2,0))</f>
        <v>12.756930078960533</v>
      </c>
      <c r="AK15" s="53">
        <f>INDEX('доля годы'!$A$2:$L$15,MATCH('cross-sectoral correlation'!$P15,'доля годы'!$A$2:$A$15,0),MATCH('cross-sectoral correlation'!AK$1,'доля годы'!$A$2:$L$2,0))</f>
        <v>5.8563191797872722</v>
      </c>
      <c r="AL15" s="53">
        <f>INDEX('доля годы'!$A$2:$L$15,MATCH('cross-sectoral correlation'!$P15,'доля годы'!$A$2:$A$15,0),MATCH('cross-sectoral correlation'!AL$1,'доля годы'!$A$2:$L$2,0))</f>
        <v>3.2392826267152586</v>
      </c>
      <c r="AM15" s="53">
        <f>INDEX('доля годы'!$A$2:$L$15,MATCH('cross-sectoral correlation'!$P15,'доля годы'!$A$2:$A$15,0),MATCH('cross-sectoral correlation'!AM$1,'доля годы'!$A$2:$L$2,0))</f>
        <v>8.8744780093473175</v>
      </c>
      <c r="AN15" s="53">
        <f>INDEX('доля годы'!$A$2:$L$15,MATCH('cross-sectoral correlation'!$P15,'доля годы'!$A$2:$A$15,0),MATCH('cross-sectoral correlation'!AN$1,'доля годы'!$A$2:$L$2,0))</f>
        <v>22.598586948178738</v>
      </c>
      <c r="AO15" s="53">
        <f>INDEX('доля годы'!$A$2:$L$15,MATCH('cross-sectoral correlation'!$P15,'доля годы'!$A$2:$A$15,0),MATCH('cross-sectoral correlation'!AO$1,'доля годы'!$A$2:$L$2,0))</f>
        <v>11.671147589691506</v>
      </c>
    </row>
    <row r="16" spans="1:41" x14ac:dyDescent="0.2">
      <c r="A16" s="35">
        <f t="shared" si="0"/>
        <v>41883</v>
      </c>
      <c r="B16" s="49">
        <f>QoQ!B15</f>
        <v>-0.29071009489254607</v>
      </c>
      <c r="C16" s="49">
        <f>QoQ!C15</f>
        <v>0.17140653727464894</v>
      </c>
      <c r="D16" s="49">
        <f>QoQ!D15</f>
        <v>-2.2715972674197928</v>
      </c>
      <c r="E16" s="49">
        <f>QoQ!E15</f>
        <v>-2.0652500231449977</v>
      </c>
      <c r="F16" s="49">
        <f>QoQ!F15</f>
        <v>-0.59488753750831336</v>
      </c>
      <c r="G16" s="49">
        <f>QoQ!G15</f>
        <v>-3.6065943125207838</v>
      </c>
      <c r="H16" s="49">
        <f>QoQ!H15</f>
        <v>-2.4785247107061679</v>
      </c>
      <c r="I16" s="49">
        <f>QoQ!I15</f>
        <v>-0.93800689671965642</v>
      </c>
      <c r="J16" s="49">
        <f>QoQ!J15</f>
        <v>-0.53819861061465701</v>
      </c>
      <c r="K16" s="49">
        <f>QoQ!K15</f>
        <v>0.2778299357590015</v>
      </c>
      <c r="L16" s="49">
        <f>QoQ!L15</f>
        <v>2.1002468169568402</v>
      </c>
      <c r="M16" s="49">
        <f>QoQ!M15</f>
        <v>0.51925545209951451</v>
      </c>
      <c r="O16" s="35">
        <v>41883</v>
      </c>
      <c r="P16" s="50">
        <f t="shared" si="2"/>
        <v>2014</v>
      </c>
      <c r="Q16" s="49">
        <f t="shared" si="3"/>
        <v>1</v>
      </c>
      <c r="R16" s="49">
        <f t="shared" si="4"/>
        <v>0.76710831230802246</v>
      </c>
      <c r="S16" s="49">
        <f t="shared" si="5"/>
        <v>0.72541379700769304</v>
      </c>
      <c r="T16" s="49">
        <f t="shared" si="6"/>
        <v>0.46735171545665338</v>
      </c>
      <c r="U16" s="49">
        <f t="shared" si="7"/>
        <v>-0.36806235766482054</v>
      </c>
      <c r="V16" s="49">
        <f t="shared" si="8"/>
        <v>0.57961691760621559</v>
      </c>
      <c r="W16" s="49">
        <f t="shared" si="9"/>
        <v>0.89666695445049061</v>
      </c>
      <c r="X16" s="49">
        <f t="shared" si="10"/>
        <v>-0.20757112200471584</v>
      </c>
      <c r="Y16" s="49">
        <f t="shared" si="11"/>
        <v>-0.27274995385983331</v>
      </c>
      <c r="Z16" s="49">
        <f t="shared" si="12"/>
        <v>0.56094217028050464</v>
      </c>
      <c r="AA16" s="49">
        <f t="shared" si="13"/>
        <v>3.3758853446295096E-2</v>
      </c>
      <c r="AB16" s="49">
        <f t="shared" si="14"/>
        <v>0.54812417044607209</v>
      </c>
      <c r="AD16" s="52">
        <f t="shared" si="15"/>
        <v>0.40297693958562747</v>
      </c>
      <c r="AE16" s="53">
        <f>INDEX('доля годы'!$A$2:$L$15,MATCH('cross-sectoral correlation'!$P16,'доля годы'!$A$2:$A$15,0),MATCH('cross-sectoral correlation'!AE$1,'доля годы'!$A$2:$L$2,0))</f>
        <v>3.7631217384939575</v>
      </c>
      <c r="AF16" s="53">
        <f>INDEX('доля годы'!$A$2:$L$15,MATCH('cross-sectoral correlation'!$P16,'доля годы'!$A$2:$A$15,0),MATCH('cross-sectoral correlation'!AF$1,'доля годы'!$A$2:$L$2,0))</f>
        <v>11.935310520932079</v>
      </c>
      <c r="AG16" s="53">
        <f>INDEX('доля годы'!$A$2:$L$15,MATCH('cross-sectoral correlation'!$P16,'доля годы'!$A$2:$A$15,0),MATCH('cross-sectoral correlation'!AG$1,'доля годы'!$A$2:$L$2,0))</f>
        <v>11.717766136283915</v>
      </c>
      <c r="AH16" s="53">
        <f>INDEX('доля годы'!$A$2:$L$15,MATCH('cross-sectoral correlation'!$P16,'доля годы'!$A$2:$A$15,0),MATCH('cross-sectoral correlation'!AH$1,'доля годы'!$A$2:$L$2,0))</f>
        <v>2.7422588396220067</v>
      </c>
      <c r="AI16" s="53">
        <f>INDEX('доля годы'!$A$2:$L$15,MATCH('cross-sectoral correlation'!$P16,'доля годы'!$A$2:$A$15,0),MATCH('cross-sectoral correlation'!AI$1,'доля годы'!$A$2:$L$2,0))</f>
        <v>4.8447983319874126</v>
      </c>
      <c r="AJ16" s="53">
        <f>INDEX('доля годы'!$A$2:$L$15,MATCH('cross-sectoral correlation'!$P16,'доля годы'!$A$2:$A$15,0),MATCH('cross-sectoral correlation'!AJ$1,'доля годы'!$A$2:$L$2,0))</f>
        <v>12.756930078960533</v>
      </c>
      <c r="AK16" s="53">
        <f>INDEX('доля годы'!$A$2:$L$15,MATCH('cross-sectoral correlation'!$P16,'доля годы'!$A$2:$A$15,0),MATCH('cross-sectoral correlation'!AK$1,'доля годы'!$A$2:$L$2,0))</f>
        <v>5.8563191797872722</v>
      </c>
      <c r="AL16" s="53">
        <f>INDEX('доля годы'!$A$2:$L$15,MATCH('cross-sectoral correlation'!$P16,'доля годы'!$A$2:$A$15,0),MATCH('cross-sectoral correlation'!AL$1,'доля годы'!$A$2:$L$2,0))</f>
        <v>3.2392826267152586</v>
      </c>
      <c r="AM16" s="53">
        <f>INDEX('доля годы'!$A$2:$L$15,MATCH('cross-sectoral correlation'!$P16,'доля годы'!$A$2:$A$15,0),MATCH('cross-sectoral correlation'!AM$1,'доля годы'!$A$2:$L$2,0))</f>
        <v>8.8744780093473175</v>
      </c>
      <c r="AN16" s="53">
        <f>INDEX('доля годы'!$A$2:$L$15,MATCH('cross-sectoral correlation'!$P16,'доля годы'!$A$2:$A$15,0),MATCH('cross-sectoral correlation'!AN$1,'доля годы'!$A$2:$L$2,0))</f>
        <v>22.598586948178738</v>
      </c>
      <c r="AO16" s="53">
        <f>INDEX('доля годы'!$A$2:$L$15,MATCH('cross-sectoral correlation'!$P16,'доля годы'!$A$2:$A$15,0),MATCH('cross-sectoral correlation'!AO$1,'доля годы'!$A$2:$L$2,0))</f>
        <v>11.671147589691506</v>
      </c>
    </row>
    <row r="17" spans="1:41" x14ac:dyDescent="0.2">
      <c r="A17" s="35">
        <f t="shared" si="0"/>
        <v>41974</v>
      </c>
      <c r="B17" s="49">
        <f>QoQ!B16</f>
        <v>-0.1573734840885237</v>
      </c>
      <c r="C17" s="49">
        <f>QoQ!C16</f>
        <v>0.19794556803857688</v>
      </c>
      <c r="D17" s="49">
        <f>QoQ!D16</f>
        <v>0.9280620514325193</v>
      </c>
      <c r="E17" s="49">
        <f>QoQ!E16</f>
        <v>2.6072332095668855</v>
      </c>
      <c r="F17" s="49">
        <f>QoQ!F16</f>
        <v>-0.12792366993915039</v>
      </c>
      <c r="G17" s="49">
        <f>QoQ!G16</f>
        <v>-3.3531545500251809</v>
      </c>
      <c r="H17" s="49">
        <f>QoQ!H16</f>
        <v>2.0402354492411661</v>
      </c>
      <c r="I17" s="49">
        <f>QoQ!I16</f>
        <v>0.75656061458279567</v>
      </c>
      <c r="J17" s="49">
        <f>QoQ!J16</f>
        <v>-1.3299952375573838</v>
      </c>
      <c r="K17" s="49">
        <f>QoQ!K16</f>
        <v>0.42527808164571468</v>
      </c>
      <c r="L17" s="49">
        <f>QoQ!L16</f>
        <v>-1.6632893719656181</v>
      </c>
      <c r="M17" s="49">
        <f>QoQ!M16</f>
        <v>-1.6563014147361486</v>
      </c>
      <c r="O17" s="35">
        <v>41974</v>
      </c>
      <c r="P17" s="50">
        <f t="shared" si="2"/>
        <v>2014</v>
      </c>
      <c r="Q17" s="49">
        <f t="shared" si="3"/>
        <v>1</v>
      </c>
      <c r="R17" s="49">
        <f t="shared" si="4"/>
        <v>0.75267660435815231</v>
      </c>
      <c r="S17" s="49">
        <f t="shared" si="5"/>
        <v>0.63409109909638528</v>
      </c>
      <c r="T17" s="49">
        <f t="shared" si="6"/>
        <v>0.34427140228155551</v>
      </c>
      <c r="U17" s="49">
        <f t="shared" si="7"/>
        <v>-0.34414680625113403</v>
      </c>
      <c r="V17" s="49">
        <f t="shared" si="8"/>
        <v>0.59665512223379191</v>
      </c>
      <c r="W17" s="49">
        <f t="shared" si="9"/>
        <v>0.67951169145626833</v>
      </c>
      <c r="X17" s="49">
        <f t="shared" si="10"/>
        <v>-0.35161119800789337</v>
      </c>
      <c r="Y17" s="49">
        <f t="shared" si="11"/>
        <v>-2.3237044487415162E-2</v>
      </c>
      <c r="Z17" s="49">
        <f t="shared" si="12"/>
        <v>0.54636057801131221</v>
      </c>
      <c r="AA17" s="49">
        <f t="shared" si="13"/>
        <v>0.18999438169627422</v>
      </c>
      <c r="AB17" s="49">
        <f t="shared" si="14"/>
        <v>0.6630395423051596</v>
      </c>
      <c r="AD17" s="52">
        <f t="shared" si="15"/>
        <v>0.3979627998066374</v>
      </c>
      <c r="AE17" s="53">
        <f>INDEX('доля годы'!$A$2:$L$15,MATCH('cross-sectoral correlation'!$P17,'доля годы'!$A$2:$A$15,0),MATCH('cross-sectoral correlation'!AE$1,'доля годы'!$A$2:$L$2,0))</f>
        <v>3.7631217384939575</v>
      </c>
      <c r="AF17" s="53">
        <f>INDEX('доля годы'!$A$2:$L$15,MATCH('cross-sectoral correlation'!$P17,'доля годы'!$A$2:$A$15,0),MATCH('cross-sectoral correlation'!AF$1,'доля годы'!$A$2:$L$2,0))</f>
        <v>11.935310520932079</v>
      </c>
      <c r="AG17" s="53">
        <f>INDEX('доля годы'!$A$2:$L$15,MATCH('cross-sectoral correlation'!$P17,'доля годы'!$A$2:$A$15,0),MATCH('cross-sectoral correlation'!AG$1,'доля годы'!$A$2:$L$2,0))</f>
        <v>11.717766136283915</v>
      </c>
      <c r="AH17" s="53">
        <f>INDEX('доля годы'!$A$2:$L$15,MATCH('cross-sectoral correlation'!$P17,'доля годы'!$A$2:$A$15,0),MATCH('cross-sectoral correlation'!AH$1,'доля годы'!$A$2:$L$2,0))</f>
        <v>2.7422588396220067</v>
      </c>
      <c r="AI17" s="53">
        <f>INDEX('доля годы'!$A$2:$L$15,MATCH('cross-sectoral correlation'!$P17,'доля годы'!$A$2:$A$15,0),MATCH('cross-sectoral correlation'!AI$1,'доля годы'!$A$2:$L$2,0))</f>
        <v>4.8447983319874126</v>
      </c>
      <c r="AJ17" s="53">
        <f>INDEX('доля годы'!$A$2:$L$15,MATCH('cross-sectoral correlation'!$P17,'доля годы'!$A$2:$A$15,0),MATCH('cross-sectoral correlation'!AJ$1,'доля годы'!$A$2:$L$2,0))</f>
        <v>12.756930078960533</v>
      </c>
      <c r="AK17" s="53">
        <f>INDEX('доля годы'!$A$2:$L$15,MATCH('cross-sectoral correlation'!$P17,'доля годы'!$A$2:$A$15,0),MATCH('cross-sectoral correlation'!AK$1,'доля годы'!$A$2:$L$2,0))</f>
        <v>5.8563191797872722</v>
      </c>
      <c r="AL17" s="53">
        <f>INDEX('доля годы'!$A$2:$L$15,MATCH('cross-sectoral correlation'!$P17,'доля годы'!$A$2:$A$15,0),MATCH('cross-sectoral correlation'!AL$1,'доля годы'!$A$2:$L$2,0))</f>
        <v>3.2392826267152586</v>
      </c>
      <c r="AM17" s="53">
        <f>INDEX('доля годы'!$A$2:$L$15,MATCH('cross-sectoral correlation'!$P17,'доля годы'!$A$2:$A$15,0),MATCH('cross-sectoral correlation'!AM$1,'доля годы'!$A$2:$L$2,0))</f>
        <v>8.8744780093473175</v>
      </c>
      <c r="AN17" s="53">
        <f>INDEX('доля годы'!$A$2:$L$15,MATCH('cross-sectoral correlation'!$P17,'доля годы'!$A$2:$A$15,0),MATCH('cross-sectoral correlation'!AN$1,'доля годы'!$A$2:$L$2,0))</f>
        <v>22.598586948178738</v>
      </c>
      <c r="AO17" s="53">
        <f>INDEX('доля годы'!$A$2:$L$15,MATCH('cross-sectoral correlation'!$P17,'доля годы'!$A$2:$A$15,0),MATCH('cross-sectoral correlation'!AO$1,'доля годы'!$A$2:$L$2,0))</f>
        <v>11.671147589691506</v>
      </c>
    </row>
    <row r="18" spans="1:41" x14ac:dyDescent="0.2">
      <c r="A18" s="35">
        <f t="shared" si="0"/>
        <v>42064</v>
      </c>
      <c r="B18" s="49">
        <f>QoQ!B17</f>
        <v>-1.3112674589401365</v>
      </c>
      <c r="C18" s="49">
        <f>QoQ!C17</f>
        <v>-0.10038542540033291</v>
      </c>
      <c r="D18" s="49">
        <f>QoQ!D17</f>
        <v>-0.8344960831746846</v>
      </c>
      <c r="E18" s="49">
        <f>QoQ!E17</f>
        <v>-5.1531839242888111</v>
      </c>
      <c r="F18" s="49">
        <f>QoQ!F17</f>
        <v>-1.5475469495190595</v>
      </c>
      <c r="G18" s="49">
        <f>QoQ!G17</f>
        <v>-2.4531478339921478</v>
      </c>
      <c r="H18" s="49">
        <f>QoQ!H17</f>
        <v>-3.6473259318929365</v>
      </c>
      <c r="I18" s="49">
        <f>QoQ!I17</f>
        <v>-1.348582493107287</v>
      </c>
      <c r="J18" s="49">
        <f>QoQ!J17</f>
        <v>-3.3727143923528331</v>
      </c>
      <c r="K18" s="49">
        <f>QoQ!K17</f>
        <v>3.450558252113467E-2</v>
      </c>
      <c r="L18" s="49">
        <f>QoQ!L17</f>
        <v>-0.11891195777621988</v>
      </c>
      <c r="M18" s="49">
        <f>QoQ!M17</f>
        <v>-1.8943133853731524</v>
      </c>
      <c r="O18" s="35">
        <v>42064</v>
      </c>
      <c r="P18" s="50">
        <f t="shared" si="2"/>
        <v>2015</v>
      </c>
      <c r="Q18" s="49">
        <f t="shared" si="3"/>
        <v>1.0000000000000002</v>
      </c>
      <c r="R18" s="49">
        <f t="shared" si="4"/>
        <v>0.63748952144395821</v>
      </c>
      <c r="S18" s="49">
        <f t="shared" si="5"/>
        <v>0.56048938903459344</v>
      </c>
      <c r="T18" s="49">
        <f t="shared" si="6"/>
        <v>0.47672371453151707</v>
      </c>
      <c r="U18" s="49">
        <f t="shared" si="7"/>
        <v>0.22626252747213055</v>
      </c>
      <c r="V18" s="49">
        <f t="shared" si="8"/>
        <v>0.38871218706327015</v>
      </c>
      <c r="W18" s="49">
        <f t="shared" si="9"/>
        <v>0.78912373068973973</v>
      </c>
      <c r="X18" s="49">
        <f t="shared" si="10"/>
        <v>0.52060359812415746</v>
      </c>
      <c r="Y18" s="49">
        <f t="shared" si="11"/>
        <v>0.57088855848285858</v>
      </c>
      <c r="Z18" s="49">
        <f t="shared" si="12"/>
        <v>-2.5215376796955208E-2</v>
      </c>
      <c r="AA18" s="49">
        <f t="shared" si="13"/>
        <v>0.21676745142615297</v>
      </c>
      <c r="AB18" s="49">
        <f t="shared" si="14"/>
        <v>0.64816883811882131</v>
      </c>
      <c r="AD18" s="52">
        <f t="shared" si="15"/>
        <v>0.44006940788884258</v>
      </c>
      <c r="AE18" s="53">
        <f>INDEX('доля годы'!$A$2:$L$15,MATCH('cross-sectoral correlation'!$P18,'доля годы'!$A$2:$A$15,0),MATCH('cross-sectoral correlation'!AE$1,'доля годы'!$A$2:$L$2,0))</f>
        <v>3.9494227371006869</v>
      </c>
      <c r="AF18" s="53">
        <f>INDEX('доля годы'!$A$2:$L$15,MATCH('cross-sectoral correlation'!$P18,'доля годы'!$A$2:$A$15,0),MATCH('cross-sectoral correlation'!AF$1,'доля годы'!$A$2:$L$2,0))</f>
        <v>12.297074879000926</v>
      </c>
      <c r="AG18" s="53">
        <f>INDEX('доля годы'!$A$2:$L$15,MATCH('cross-sectoral correlation'!$P18,'доля годы'!$A$2:$A$15,0),MATCH('cross-sectoral correlation'!AG$1,'доля годы'!$A$2:$L$2,0))</f>
        <v>11.84414740939858</v>
      </c>
      <c r="AH18" s="53">
        <f>INDEX('доля годы'!$A$2:$L$15,MATCH('cross-sectoral correlation'!$P18,'доля годы'!$A$2:$A$15,0),MATCH('cross-sectoral correlation'!AH$1,'доля годы'!$A$2:$L$2,0))</f>
        <v>2.7115810076233373</v>
      </c>
      <c r="AI18" s="53">
        <f>INDEX('доля годы'!$A$2:$L$15,MATCH('cross-sectoral correlation'!$P18,'доля годы'!$A$2:$A$15,0),MATCH('cross-sectoral correlation'!AI$1,'доля годы'!$A$2:$L$2,0))</f>
        <v>4.8443833703554198</v>
      </c>
      <c r="AJ18" s="53">
        <f>INDEX('доля годы'!$A$2:$L$15,MATCH('cross-sectoral correlation'!$P18,'доля годы'!$A$2:$A$15,0),MATCH('cross-sectoral correlation'!AJ$1,'доля годы'!$A$2:$L$2,0))</f>
        <v>12.133321121566867</v>
      </c>
      <c r="AK18" s="53">
        <f>INDEX('доля годы'!$A$2:$L$15,MATCH('cross-sectoral correlation'!$P18,'доля годы'!$A$2:$A$15,0),MATCH('cross-sectoral correlation'!AK$1,'доля годы'!$A$2:$L$2,0))</f>
        <v>5.9335084907565818</v>
      </c>
      <c r="AL18" s="53">
        <f>INDEX('доля годы'!$A$2:$L$15,MATCH('cross-sectoral correlation'!$P18,'доля годы'!$A$2:$A$15,0),MATCH('cross-sectoral correlation'!AL$1,'доля годы'!$A$2:$L$2,0))</f>
        <v>3.0914662327481452</v>
      </c>
      <c r="AM18" s="53">
        <f>INDEX('доля годы'!$A$2:$L$15,MATCH('cross-sectoral correlation'!$P18,'доля годы'!$A$2:$A$15,0),MATCH('cross-sectoral correlation'!AM$1,'доля годы'!$A$2:$L$2,0))</f>
        <v>9.0846136517506721</v>
      </c>
      <c r="AN18" s="53">
        <f>INDEX('доля годы'!$A$2:$L$15,MATCH('cross-sectoral correlation'!$P18,'доля годы'!$A$2:$A$15,0),MATCH('cross-sectoral correlation'!AN$1,'доля годы'!$A$2:$L$2,0))</f>
        <v>22.844154499868775</v>
      </c>
      <c r="AO18" s="53">
        <f>INDEX('доля годы'!$A$2:$L$15,MATCH('cross-sectoral correlation'!$P18,'доля годы'!$A$2:$A$15,0),MATCH('cross-sectoral correlation'!AO$1,'доля годы'!$A$2:$L$2,0))</f>
        <v>11.266326599830004</v>
      </c>
    </row>
    <row r="19" spans="1:41" x14ac:dyDescent="0.2">
      <c r="A19" s="35">
        <f t="shared" si="0"/>
        <v>42156</v>
      </c>
      <c r="B19" s="49">
        <f>QoQ!B18</f>
        <v>-0.6927835977779182</v>
      </c>
      <c r="C19" s="49">
        <f>QoQ!C18</f>
        <v>1.8760089004974674</v>
      </c>
      <c r="D19" s="49">
        <f>QoQ!D18</f>
        <v>0.65494133813683675</v>
      </c>
      <c r="E19" s="49">
        <f>QoQ!E18</f>
        <v>0.48946186096956978</v>
      </c>
      <c r="F19" s="49">
        <f>QoQ!F18</f>
        <v>-0.60264667499180291</v>
      </c>
      <c r="G19" s="49">
        <f>QoQ!G18</f>
        <v>0.52544720923589239</v>
      </c>
      <c r="H19" s="49">
        <f>QoQ!H18</f>
        <v>-4.617493927273415</v>
      </c>
      <c r="I19" s="49">
        <f>QoQ!I18</f>
        <v>0.61431906794295799</v>
      </c>
      <c r="J19" s="49">
        <f>QoQ!J18</f>
        <v>-1.6218005133075906</v>
      </c>
      <c r="K19" s="49">
        <f>QoQ!K18</f>
        <v>0.19584861050516622</v>
      </c>
      <c r="L19" s="49">
        <f>QoQ!L18</f>
        <v>-0.25335858185654558</v>
      </c>
      <c r="M19" s="49">
        <f>QoQ!M18</f>
        <v>-1.7416159127443649</v>
      </c>
      <c r="O19" s="35">
        <v>42156</v>
      </c>
      <c r="P19" s="50">
        <f t="shared" si="2"/>
        <v>2015</v>
      </c>
      <c r="Q19" s="49">
        <f t="shared" si="3"/>
        <v>1</v>
      </c>
      <c r="R19" s="49">
        <f t="shared" si="4"/>
        <v>0.43801977498964256</v>
      </c>
      <c r="S19" s="49">
        <f t="shared" si="5"/>
        <v>0.4457157244142716</v>
      </c>
      <c r="T19" s="49">
        <f t="shared" si="6"/>
        <v>0.33164857500351441</v>
      </c>
      <c r="U19" s="49">
        <f t="shared" si="7"/>
        <v>6.8949988157560496E-2</v>
      </c>
      <c r="V19" s="49">
        <f t="shared" si="8"/>
        <v>0.21216725604606845</v>
      </c>
      <c r="W19" s="49">
        <f t="shared" si="9"/>
        <v>0.81800667100872748</v>
      </c>
      <c r="X19" s="49">
        <f t="shared" si="10"/>
        <v>0.36179240321991729</v>
      </c>
      <c r="Y19" s="49">
        <f t="shared" si="11"/>
        <v>0.5625875835633567</v>
      </c>
      <c r="Z19" s="49">
        <f t="shared" si="12"/>
        <v>-4.36092139711238E-2</v>
      </c>
      <c r="AA19" s="49">
        <f t="shared" si="13"/>
        <v>0.28710348835523652</v>
      </c>
      <c r="AB19" s="49">
        <f t="shared" si="14"/>
        <v>0.72761616139921081</v>
      </c>
      <c r="AD19" s="52">
        <f t="shared" si="15"/>
        <v>0.40524883843631399</v>
      </c>
      <c r="AE19" s="53">
        <f>INDEX('доля годы'!$A$2:$L$15,MATCH('cross-sectoral correlation'!$P19,'доля годы'!$A$2:$A$15,0),MATCH('cross-sectoral correlation'!AE$1,'доля годы'!$A$2:$L$2,0))</f>
        <v>3.9494227371006869</v>
      </c>
      <c r="AF19" s="53">
        <f>INDEX('доля годы'!$A$2:$L$15,MATCH('cross-sectoral correlation'!$P19,'доля годы'!$A$2:$A$15,0),MATCH('cross-sectoral correlation'!AF$1,'доля годы'!$A$2:$L$2,0))</f>
        <v>12.297074879000926</v>
      </c>
      <c r="AG19" s="53">
        <f>INDEX('доля годы'!$A$2:$L$15,MATCH('cross-sectoral correlation'!$P19,'доля годы'!$A$2:$A$15,0),MATCH('cross-sectoral correlation'!AG$1,'доля годы'!$A$2:$L$2,0))</f>
        <v>11.84414740939858</v>
      </c>
      <c r="AH19" s="53">
        <f>INDEX('доля годы'!$A$2:$L$15,MATCH('cross-sectoral correlation'!$P19,'доля годы'!$A$2:$A$15,0),MATCH('cross-sectoral correlation'!AH$1,'доля годы'!$A$2:$L$2,0))</f>
        <v>2.7115810076233373</v>
      </c>
      <c r="AI19" s="53">
        <f>INDEX('доля годы'!$A$2:$L$15,MATCH('cross-sectoral correlation'!$P19,'доля годы'!$A$2:$A$15,0),MATCH('cross-sectoral correlation'!AI$1,'доля годы'!$A$2:$L$2,0))</f>
        <v>4.8443833703554198</v>
      </c>
      <c r="AJ19" s="53">
        <f>INDEX('доля годы'!$A$2:$L$15,MATCH('cross-sectoral correlation'!$P19,'доля годы'!$A$2:$A$15,0),MATCH('cross-sectoral correlation'!AJ$1,'доля годы'!$A$2:$L$2,0))</f>
        <v>12.133321121566867</v>
      </c>
      <c r="AK19" s="53">
        <f>INDEX('доля годы'!$A$2:$L$15,MATCH('cross-sectoral correlation'!$P19,'доля годы'!$A$2:$A$15,0),MATCH('cross-sectoral correlation'!AK$1,'доля годы'!$A$2:$L$2,0))</f>
        <v>5.9335084907565818</v>
      </c>
      <c r="AL19" s="53">
        <f>INDEX('доля годы'!$A$2:$L$15,MATCH('cross-sectoral correlation'!$P19,'доля годы'!$A$2:$A$15,0),MATCH('cross-sectoral correlation'!AL$1,'доля годы'!$A$2:$L$2,0))</f>
        <v>3.0914662327481452</v>
      </c>
      <c r="AM19" s="53">
        <f>INDEX('доля годы'!$A$2:$L$15,MATCH('cross-sectoral correlation'!$P19,'доля годы'!$A$2:$A$15,0),MATCH('cross-sectoral correlation'!AM$1,'доля годы'!$A$2:$L$2,0))</f>
        <v>9.0846136517506721</v>
      </c>
      <c r="AN19" s="53">
        <f>INDEX('доля годы'!$A$2:$L$15,MATCH('cross-sectoral correlation'!$P19,'доля годы'!$A$2:$A$15,0),MATCH('cross-sectoral correlation'!AN$1,'доля годы'!$A$2:$L$2,0))</f>
        <v>22.844154499868775</v>
      </c>
      <c r="AO19" s="53">
        <f>INDEX('доля годы'!$A$2:$L$15,MATCH('cross-sectoral correlation'!$P19,'доля годы'!$A$2:$A$15,0),MATCH('cross-sectoral correlation'!AO$1,'доля годы'!$A$2:$L$2,0))</f>
        <v>11.266326599830004</v>
      </c>
    </row>
    <row r="20" spans="1:41" x14ac:dyDescent="0.2">
      <c r="A20" s="35">
        <f t="shared" si="0"/>
        <v>42248</v>
      </c>
      <c r="B20" s="49">
        <f>QoQ!B19</f>
        <v>0.37440873957734766</v>
      </c>
      <c r="C20" s="49">
        <f>QoQ!C19</f>
        <v>1.0276014239644695</v>
      </c>
      <c r="D20" s="49">
        <f>QoQ!D19</f>
        <v>1.0051511050015023</v>
      </c>
      <c r="E20" s="49">
        <f>QoQ!E19</f>
        <v>2.9575952337643088</v>
      </c>
      <c r="F20" s="49">
        <f>QoQ!F19</f>
        <v>9.5548125411212936E-2</v>
      </c>
      <c r="G20" s="49">
        <f>QoQ!G19</f>
        <v>1.3391938964082044</v>
      </c>
      <c r="H20" s="49">
        <f>QoQ!H19</f>
        <v>1.4040186895930731</v>
      </c>
      <c r="I20" s="49">
        <f>QoQ!I19</f>
        <v>0.26992751074385524</v>
      </c>
      <c r="J20" s="49">
        <f>QoQ!J19</f>
        <v>1.2328436218161727</v>
      </c>
      <c r="K20" s="49">
        <f>QoQ!K19</f>
        <v>0.53688011051831097</v>
      </c>
      <c r="L20" s="49">
        <f>QoQ!L19</f>
        <v>-0.33687334368534039</v>
      </c>
      <c r="M20" s="49">
        <f>QoQ!M19</f>
        <v>-1.4899400710949209</v>
      </c>
      <c r="O20" s="35">
        <v>42248</v>
      </c>
      <c r="P20" s="50">
        <f t="shared" si="2"/>
        <v>2015</v>
      </c>
      <c r="Q20" s="49">
        <f t="shared" si="3"/>
        <v>1</v>
      </c>
      <c r="R20" s="49">
        <f t="shared" si="4"/>
        <v>0.45971072583933048</v>
      </c>
      <c r="S20" s="49">
        <f t="shared" si="5"/>
        <v>0.52980064051016951</v>
      </c>
      <c r="T20" s="49">
        <f t="shared" si="6"/>
        <v>0.46099924804654779</v>
      </c>
      <c r="U20" s="49">
        <f t="shared" si="7"/>
        <v>0.17670364615371478</v>
      </c>
      <c r="V20" s="49">
        <f t="shared" si="8"/>
        <v>0.28792426656723408</v>
      </c>
      <c r="W20" s="49">
        <f t="shared" si="9"/>
        <v>0.83365523596423219</v>
      </c>
      <c r="X20" s="49">
        <f t="shared" si="10"/>
        <v>0.39978984582459731</v>
      </c>
      <c r="Y20" s="49">
        <f t="shared" si="11"/>
        <v>0.64964522852639484</v>
      </c>
      <c r="Z20" s="49">
        <f t="shared" si="12"/>
        <v>0.14324549833888611</v>
      </c>
      <c r="AA20" s="49">
        <f t="shared" si="13"/>
        <v>0.23742985689357926</v>
      </c>
      <c r="AB20" s="49">
        <f t="shared" si="14"/>
        <v>0.6067209452505633</v>
      </c>
      <c r="AD20" s="52">
        <f t="shared" si="15"/>
        <v>0.43720945051942428</v>
      </c>
      <c r="AE20" s="53">
        <f>INDEX('доля годы'!$A$2:$L$15,MATCH('cross-sectoral correlation'!$P20,'доля годы'!$A$2:$A$15,0),MATCH('cross-sectoral correlation'!AE$1,'доля годы'!$A$2:$L$2,0))</f>
        <v>3.9494227371006869</v>
      </c>
      <c r="AF20" s="53">
        <f>INDEX('доля годы'!$A$2:$L$15,MATCH('cross-sectoral correlation'!$P20,'доля годы'!$A$2:$A$15,0),MATCH('cross-sectoral correlation'!AF$1,'доля годы'!$A$2:$L$2,0))</f>
        <v>12.297074879000926</v>
      </c>
      <c r="AG20" s="53">
        <f>INDEX('доля годы'!$A$2:$L$15,MATCH('cross-sectoral correlation'!$P20,'доля годы'!$A$2:$A$15,0),MATCH('cross-sectoral correlation'!AG$1,'доля годы'!$A$2:$L$2,0))</f>
        <v>11.84414740939858</v>
      </c>
      <c r="AH20" s="53">
        <f>INDEX('доля годы'!$A$2:$L$15,MATCH('cross-sectoral correlation'!$P20,'доля годы'!$A$2:$A$15,0),MATCH('cross-sectoral correlation'!AH$1,'доля годы'!$A$2:$L$2,0))</f>
        <v>2.7115810076233373</v>
      </c>
      <c r="AI20" s="53">
        <f>INDEX('доля годы'!$A$2:$L$15,MATCH('cross-sectoral correlation'!$P20,'доля годы'!$A$2:$A$15,0),MATCH('cross-sectoral correlation'!AI$1,'доля годы'!$A$2:$L$2,0))</f>
        <v>4.8443833703554198</v>
      </c>
      <c r="AJ20" s="53">
        <f>INDEX('доля годы'!$A$2:$L$15,MATCH('cross-sectoral correlation'!$P20,'доля годы'!$A$2:$A$15,0),MATCH('cross-sectoral correlation'!AJ$1,'доля годы'!$A$2:$L$2,0))</f>
        <v>12.133321121566867</v>
      </c>
      <c r="AK20" s="53">
        <f>INDEX('доля годы'!$A$2:$L$15,MATCH('cross-sectoral correlation'!$P20,'доля годы'!$A$2:$A$15,0),MATCH('cross-sectoral correlation'!AK$1,'доля годы'!$A$2:$L$2,0))</f>
        <v>5.9335084907565818</v>
      </c>
      <c r="AL20" s="53">
        <f>INDEX('доля годы'!$A$2:$L$15,MATCH('cross-sectoral correlation'!$P20,'доля годы'!$A$2:$A$15,0),MATCH('cross-sectoral correlation'!AL$1,'доля годы'!$A$2:$L$2,0))</f>
        <v>3.0914662327481452</v>
      </c>
      <c r="AM20" s="53">
        <f>INDEX('доля годы'!$A$2:$L$15,MATCH('cross-sectoral correlation'!$P20,'доля годы'!$A$2:$A$15,0),MATCH('cross-sectoral correlation'!AM$1,'доля годы'!$A$2:$L$2,0))</f>
        <v>9.0846136517506721</v>
      </c>
      <c r="AN20" s="53">
        <f>INDEX('доля годы'!$A$2:$L$15,MATCH('cross-sectoral correlation'!$P20,'доля годы'!$A$2:$A$15,0),MATCH('cross-sectoral correlation'!AN$1,'доля годы'!$A$2:$L$2,0))</f>
        <v>22.844154499868775</v>
      </c>
      <c r="AO20" s="53">
        <f>INDEX('доля годы'!$A$2:$L$15,MATCH('cross-sectoral correlation'!$P20,'доля годы'!$A$2:$A$15,0),MATCH('cross-sectoral correlation'!AO$1,'доля годы'!$A$2:$L$2,0))</f>
        <v>11.266326599830004</v>
      </c>
    </row>
    <row r="21" spans="1:41" x14ac:dyDescent="0.2">
      <c r="A21" s="35">
        <f t="shared" si="0"/>
        <v>42339</v>
      </c>
      <c r="B21" s="49">
        <f>QoQ!B20</f>
        <v>-0.13024285587006545</v>
      </c>
      <c r="C21" s="49">
        <f>QoQ!C20</f>
        <v>0.58328541534132228</v>
      </c>
      <c r="D21" s="49">
        <f>QoQ!D20</f>
        <v>1.5856526794042765</v>
      </c>
      <c r="E21" s="49">
        <f>QoQ!E20</f>
        <v>1.8203610834237338</v>
      </c>
      <c r="F21" s="49">
        <f>QoQ!F20</f>
        <v>0.25297554200527372</v>
      </c>
      <c r="G21" s="49">
        <f>QoQ!G20</f>
        <v>1.4121614447593771</v>
      </c>
      <c r="H21" s="49">
        <f>QoQ!H20</f>
        <v>-3.9231597139294507</v>
      </c>
      <c r="I21" s="49">
        <f>QoQ!I20</f>
        <v>0.64608079178800892</v>
      </c>
      <c r="J21" s="49">
        <f>QoQ!J20</f>
        <v>-4.8056620556120038</v>
      </c>
      <c r="K21" s="49">
        <f>QoQ!K20</f>
        <v>0.36429510409554666</v>
      </c>
      <c r="L21" s="49">
        <f>QoQ!L20</f>
        <v>0.27647027175422068</v>
      </c>
      <c r="M21" s="49">
        <f>QoQ!M20</f>
        <v>-0.34838743113550663</v>
      </c>
      <c r="O21" s="35">
        <v>42339</v>
      </c>
      <c r="P21" s="50">
        <f t="shared" si="2"/>
        <v>2015</v>
      </c>
      <c r="Q21" s="49">
        <f t="shared" si="3"/>
        <v>1</v>
      </c>
      <c r="R21" s="49">
        <f t="shared" si="4"/>
        <v>0.35030950857203064</v>
      </c>
      <c r="S21" s="49">
        <f t="shared" si="5"/>
        <v>0.65094245659783567</v>
      </c>
      <c r="T21" s="49">
        <f t="shared" si="6"/>
        <v>0.67194937096250362</v>
      </c>
      <c r="U21" s="49">
        <f t="shared" si="7"/>
        <v>0.65615931898168112</v>
      </c>
      <c r="V21" s="49">
        <f t="shared" si="8"/>
        <v>0.62504687618503163</v>
      </c>
      <c r="W21" s="49">
        <f t="shared" si="9"/>
        <v>0.70801115538543269</v>
      </c>
      <c r="X21" s="49">
        <f t="shared" si="10"/>
        <v>0.53442871351305465</v>
      </c>
      <c r="Y21" s="49">
        <f t="shared" si="11"/>
        <v>0.46753280823969484</v>
      </c>
      <c r="Z21" s="49">
        <f t="shared" si="12"/>
        <v>0.17571657606144508</v>
      </c>
      <c r="AA21" s="49">
        <f t="shared" si="13"/>
        <v>-1.6920320907697517E-2</v>
      </c>
      <c r="AB21" s="49">
        <f t="shared" si="14"/>
        <v>0.54855462423657908</v>
      </c>
      <c r="AD21" s="52">
        <f t="shared" si="15"/>
        <v>0.42750979950095042</v>
      </c>
      <c r="AE21" s="53">
        <f>INDEX('доля годы'!$A$2:$L$15,MATCH('cross-sectoral correlation'!$P21,'доля годы'!$A$2:$A$15,0),MATCH('cross-sectoral correlation'!AE$1,'доля годы'!$A$2:$L$2,0))</f>
        <v>3.9494227371006869</v>
      </c>
      <c r="AF21" s="53">
        <f>INDEX('доля годы'!$A$2:$L$15,MATCH('cross-sectoral correlation'!$P21,'доля годы'!$A$2:$A$15,0),MATCH('cross-sectoral correlation'!AF$1,'доля годы'!$A$2:$L$2,0))</f>
        <v>12.297074879000926</v>
      </c>
      <c r="AG21" s="53">
        <f>INDEX('доля годы'!$A$2:$L$15,MATCH('cross-sectoral correlation'!$P21,'доля годы'!$A$2:$A$15,0),MATCH('cross-sectoral correlation'!AG$1,'доля годы'!$A$2:$L$2,0))</f>
        <v>11.84414740939858</v>
      </c>
      <c r="AH21" s="53">
        <f>INDEX('доля годы'!$A$2:$L$15,MATCH('cross-sectoral correlation'!$P21,'доля годы'!$A$2:$A$15,0),MATCH('cross-sectoral correlation'!AH$1,'доля годы'!$A$2:$L$2,0))</f>
        <v>2.7115810076233373</v>
      </c>
      <c r="AI21" s="53">
        <f>INDEX('доля годы'!$A$2:$L$15,MATCH('cross-sectoral correlation'!$P21,'доля годы'!$A$2:$A$15,0),MATCH('cross-sectoral correlation'!AI$1,'доля годы'!$A$2:$L$2,0))</f>
        <v>4.8443833703554198</v>
      </c>
      <c r="AJ21" s="53">
        <f>INDEX('доля годы'!$A$2:$L$15,MATCH('cross-sectoral correlation'!$P21,'доля годы'!$A$2:$A$15,0),MATCH('cross-sectoral correlation'!AJ$1,'доля годы'!$A$2:$L$2,0))</f>
        <v>12.133321121566867</v>
      </c>
      <c r="AK21" s="53">
        <f>INDEX('доля годы'!$A$2:$L$15,MATCH('cross-sectoral correlation'!$P21,'доля годы'!$A$2:$A$15,0),MATCH('cross-sectoral correlation'!AK$1,'доля годы'!$A$2:$L$2,0))</f>
        <v>5.9335084907565818</v>
      </c>
      <c r="AL21" s="53">
        <f>INDEX('доля годы'!$A$2:$L$15,MATCH('cross-sectoral correlation'!$P21,'доля годы'!$A$2:$A$15,0),MATCH('cross-sectoral correlation'!AL$1,'доля годы'!$A$2:$L$2,0))</f>
        <v>3.0914662327481452</v>
      </c>
      <c r="AM21" s="53">
        <f>INDEX('доля годы'!$A$2:$L$15,MATCH('cross-sectoral correlation'!$P21,'доля годы'!$A$2:$A$15,0),MATCH('cross-sectoral correlation'!AM$1,'доля годы'!$A$2:$L$2,0))</f>
        <v>9.0846136517506721</v>
      </c>
      <c r="AN21" s="53">
        <f>INDEX('доля годы'!$A$2:$L$15,MATCH('cross-sectoral correlation'!$P21,'доля годы'!$A$2:$A$15,0),MATCH('cross-sectoral correlation'!AN$1,'доля годы'!$A$2:$L$2,0))</f>
        <v>22.844154499868775</v>
      </c>
      <c r="AO21" s="53">
        <f>INDEX('доля годы'!$A$2:$L$15,MATCH('cross-sectoral correlation'!$P21,'доля годы'!$A$2:$A$15,0),MATCH('cross-sectoral correlation'!AO$1,'доля годы'!$A$2:$L$2,0))</f>
        <v>11.266326599830004</v>
      </c>
    </row>
    <row r="22" spans="1:41" x14ac:dyDescent="0.2">
      <c r="A22" s="35">
        <f t="shared" si="0"/>
        <v>42430</v>
      </c>
      <c r="B22" s="49">
        <f>QoQ!B21</f>
        <v>6.1034586527512147E-2</v>
      </c>
      <c r="C22" s="49">
        <f>QoQ!C21</f>
        <v>8.5614058975778562E-2</v>
      </c>
      <c r="D22" s="49">
        <f>QoQ!D21</f>
        <v>-0.38344066107204355</v>
      </c>
      <c r="E22" s="49">
        <f>QoQ!E21</f>
        <v>-4.0128403374516495</v>
      </c>
      <c r="F22" s="49">
        <f>QoQ!F21</f>
        <v>1.1098606156058111</v>
      </c>
      <c r="G22" s="49">
        <f>QoQ!G21</f>
        <v>-2.5385624171525194</v>
      </c>
      <c r="H22" s="49">
        <f>QoQ!H21</f>
        <v>1.8725062742158514</v>
      </c>
      <c r="I22" s="49">
        <f>QoQ!I21</f>
        <v>1.3308308909551556</v>
      </c>
      <c r="J22" s="49">
        <f>QoQ!J21</f>
        <v>12.109848670962037</v>
      </c>
      <c r="K22" s="49">
        <f>QoQ!K21</f>
        <v>0.14863154210348739</v>
      </c>
      <c r="L22" s="49">
        <f>QoQ!L21</f>
        <v>-1.7506695235768888</v>
      </c>
      <c r="M22" s="49">
        <f>QoQ!M21</f>
        <v>0.10435739392760013</v>
      </c>
      <c r="O22" s="35">
        <v>42430</v>
      </c>
      <c r="P22" s="50">
        <f t="shared" si="2"/>
        <v>2016</v>
      </c>
      <c r="Q22" s="49">
        <f t="shared" si="3"/>
        <v>1</v>
      </c>
      <c r="R22" s="49">
        <f t="shared" si="4"/>
        <v>0.45356853773193107</v>
      </c>
      <c r="S22" s="49">
        <f t="shared" si="5"/>
        <v>0.59422489322888727</v>
      </c>
      <c r="T22" s="49">
        <f t="shared" si="6"/>
        <v>0.53758707282151508</v>
      </c>
      <c r="U22" s="49">
        <f t="shared" si="7"/>
        <v>0.63542478450951567</v>
      </c>
      <c r="V22" s="49">
        <f t="shared" si="8"/>
        <v>0.54998096890566794</v>
      </c>
      <c r="W22" s="49">
        <f t="shared" si="9"/>
        <v>0.70575989555126883</v>
      </c>
      <c r="X22" s="49">
        <f t="shared" si="10"/>
        <v>0.53628243753595939</v>
      </c>
      <c r="Y22" s="49">
        <f t="shared" si="11"/>
        <v>0.35194450839737873</v>
      </c>
      <c r="Z22" s="49">
        <f t="shared" si="12"/>
        <v>0.13766716862183973</v>
      </c>
      <c r="AA22" s="49">
        <f t="shared" si="13"/>
        <v>-7.7282594004327784E-2</v>
      </c>
      <c r="AB22" s="49">
        <f t="shared" si="14"/>
        <v>0.5850859360267644</v>
      </c>
      <c r="AD22" s="52">
        <f t="shared" si="15"/>
        <v>0.38840827762307578</v>
      </c>
      <c r="AE22" s="53">
        <f>INDEX('доля годы'!$A$2:$L$15,MATCH('cross-sectoral correlation'!$P22,'доля годы'!$A$2:$A$15,0),MATCH('cross-sectoral correlation'!AE$1,'доля годы'!$A$2:$L$2,0))</f>
        <v>4.0120615254283338</v>
      </c>
      <c r="AF22" s="53">
        <f>INDEX('доля годы'!$A$2:$L$15,MATCH('cross-sectoral correlation'!$P22,'доля годы'!$A$2:$A$15,0),MATCH('cross-sectoral correlation'!AF$1,'доля годы'!$A$2:$L$2,0))</f>
        <v>12.50799297094572</v>
      </c>
      <c r="AG22" s="53">
        <f>INDEX('доля годы'!$A$2:$L$15,MATCH('cross-sectoral correlation'!$P22,'доля годы'!$A$2:$A$15,0),MATCH('cross-sectoral correlation'!AG$1,'доля годы'!$A$2:$L$2,0))</f>
        <v>11.949687003879712</v>
      </c>
      <c r="AH22" s="53">
        <f>INDEX('доля годы'!$A$2:$L$15,MATCH('cross-sectoral correlation'!$P22,'доля годы'!$A$2:$A$15,0),MATCH('cross-sectoral correlation'!AH$1,'доля годы'!$A$2:$L$2,0))</f>
        <v>2.8015790015060587</v>
      </c>
      <c r="AI22" s="53">
        <f>INDEX('доля годы'!$A$2:$L$15,MATCH('cross-sectoral correlation'!$P22,'доля годы'!$A$2:$A$15,0),MATCH('cross-sectoral correlation'!AI$1,'доля годы'!$A$2:$L$2,0))</f>
        <v>4.913798057778811</v>
      </c>
      <c r="AJ22" s="53">
        <f>INDEX('доля годы'!$A$2:$L$15,MATCH('cross-sectoral correlation'!$P22,'доля годы'!$A$2:$A$15,0),MATCH('cross-sectoral correlation'!AJ$1,'доля годы'!$A$2:$L$2,0))</f>
        <v>11.640104040637183</v>
      </c>
      <c r="AK22" s="53">
        <f>INDEX('доля годы'!$A$2:$L$15,MATCH('cross-sectoral correlation'!$P22,'доля годы'!$A$2:$A$15,0),MATCH('cross-sectoral correlation'!AK$1,'доля годы'!$A$2:$L$2,0))</f>
        <v>6.0629291064531161</v>
      </c>
      <c r="AL22" s="53">
        <f>INDEX('доля годы'!$A$2:$L$15,MATCH('cross-sectoral correlation'!$P22,'доля годы'!$A$2:$A$15,0),MATCH('cross-sectoral correlation'!AL$1,'доля годы'!$A$2:$L$2,0))</f>
        <v>3.3456398874171178</v>
      </c>
      <c r="AM22" s="53">
        <f>INDEX('доля годы'!$A$2:$L$15,MATCH('cross-sectoral correlation'!$P22,'доля годы'!$A$2:$A$15,0),MATCH('cross-sectoral correlation'!AM$1,'доля годы'!$A$2:$L$2,0))</f>
        <v>9.1130397342273302</v>
      </c>
      <c r="AN22" s="53">
        <f>INDEX('доля годы'!$A$2:$L$15,MATCH('cross-sectoral correlation'!$P22,'доля годы'!$A$2:$A$15,0),MATCH('cross-sectoral correlation'!AN$1,'доля годы'!$A$2:$L$2,0))</f>
        <v>22.505244896278846</v>
      </c>
      <c r="AO22" s="53">
        <f>INDEX('доля годы'!$A$2:$L$15,MATCH('cross-sectoral correlation'!$P22,'доля годы'!$A$2:$A$15,0),MATCH('cross-sectoral correlation'!AO$1,'доля годы'!$A$2:$L$2,0))</f>
        <v>11.147923775447776</v>
      </c>
    </row>
    <row r="23" spans="1:41" x14ac:dyDescent="0.2">
      <c r="A23" s="35">
        <f t="shared" si="0"/>
        <v>42522</v>
      </c>
      <c r="B23" s="49">
        <f>QoQ!B22</f>
        <v>-3.8827644253274229E-2</v>
      </c>
      <c r="C23" s="49">
        <f>QoQ!C22</f>
        <v>0.4388255722087564</v>
      </c>
      <c r="D23" s="49">
        <f>QoQ!D22</f>
        <v>-0.25614815459954343</v>
      </c>
      <c r="E23" s="49">
        <f>QoQ!E22</f>
        <v>1.3616754080129283</v>
      </c>
      <c r="F23" s="49">
        <f>QoQ!F22</f>
        <v>0.76936758932744453</v>
      </c>
      <c r="G23" s="49">
        <f>QoQ!G22</f>
        <v>1.783966962569508</v>
      </c>
      <c r="H23" s="49">
        <f>QoQ!H22</f>
        <v>-1.8671770620554611</v>
      </c>
      <c r="I23" s="49">
        <f>QoQ!I22</f>
        <v>-0.24279456170516767</v>
      </c>
      <c r="J23" s="49">
        <f>QoQ!J22</f>
        <v>0.14104186961425569</v>
      </c>
      <c r="K23" s="49">
        <f>QoQ!K22</f>
        <v>0.49226717446933321</v>
      </c>
      <c r="L23" s="49">
        <f>QoQ!L22</f>
        <v>0.30503956474386484</v>
      </c>
      <c r="M23" s="49">
        <f>QoQ!M22</f>
        <v>7.9614576333170817E-2</v>
      </c>
      <c r="O23" s="35">
        <v>42522</v>
      </c>
      <c r="P23" s="50">
        <f t="shared" si="2"/>
        <v>2016</v>
      </c>
      <c r="Q23" s="49">
        <f t="shared" si="3"/>
        <v>1</v>
      </c>
      <c r="R23" s="49">
        <f t="shared" si="4"/>
        <v>9.319939703201692E-2</v>
      </c>
      <c r="S23" s="49">
        <f t="shared" si="5"/>
        <v>0.31657535813917836</v>
      </c>
      <c r="T23" s="49">
        <f t="shared" si="6"/>
        <v>0.59054643574629162</v>
      </c>
      <c r="U23" s="49">
        <f t="shared" si="7"/>
        <v>0.82033575350519539</v>
      </c>
      <c r="V23" s="49">
        <f t="shared" si="8"/>
        <v>0.31269539625020343</v>
      </c>
      <c r="W23" s="49">
        <f t="shared" si="9"/>
        <v>0.65280605204482223</v>
      </c>
      <c r="X23" s="49">
        <f t="shared" si="10"/>
        <v>0.57571110647301049</v>
      </c>
      <c r="Y23" s="49">
        <f t="shared" si="11"/>
        <v>0.43967888423958118</v>
      </c>
      <c r="Z23" s="49">
        <f t="shared" si="12"/>
        <v>0.77053165066708051</v>
      </c>
      <c r="AA23" s="49">
        <f t="shared" si="13"/>
        <v>-0.15717811133793436</v>
      </c>
      <c r="AB23" s="49">
        <f t="shared" si="14"/>
        <v>0.42908176243815427</v>
      </c>
      <c r="AD23" s="52">
        <f t="shared" si="15"/>
        <v>0.36053404233184416</v>
      </c>
      <c r="AE23" s="53">
        <f>INDEX('доля годы'!$A$2:$L$15,MATCH('cross-sectoral correlation'!$P23,'доля годы'!$A$2:$A$15,0),MATCH('cross-sectoral correlation'!AE$1,'доля годы'!$A$2:$L$2,0))</f>
        <v>4.0120615254283338</v>
      </c>
      <c r="AF23" s="53">
        <f>INDEX('доля годы'!$A$2:$L$15,MATCH('cross-sectoral correlation'!$P23,'доля годы'!$A$2:$A$15,0),MATCH('cross-sectoral correlation'!AF$1,'доля годы'!$A$2:$L$2,0))</f>
        <v>12.50799297094572</v>
      </c>
      <c r="AG23" s="53">
        <f>INDEX('доля годы'!$A$2:$L$15,MATCH('cross-sectoral correlation'!$P23,'доля годы'!$A$2:$A$15,0),MATCH('cross-sectoral correlation'!AG$1,'доля годы'!$A$2:$L$2,0))</f>
        <v>11.949687003879712</v>
      </c>
      <c r="AH23" s="53">
        <f>INDEX('доля годы'!$A$2:$L$15,MATCH('cross-sectoral correlation'!$P23,'доля годы'!$A$2:$A$15,0),MATCH('cross-sectoral correlation'!AH$1,'доля годы'!$A$2:$L$2,0))</f>
        <v>2.8015790015060587</v>
      </c>
      <c r="AI23" s="53">
        <f>INDEX('доля годы'!$A$2:$L$15,MATCH('cross-sectoral correlation'!$P23,'доля годы'!$A$2:$A$15,0),MATCH('cross-sectoral correlation'!AI$1,'доля годы'!$A$2:$L$2,0))</f>
        <v>4.913798057778811</v>
      </c>
      <c r="AJ23" s="53">
        <f>INDEX('доля годы'!$A$2:$L$15,MATCH('cross-sectoral correlation'!$P23,'доля годы'!$A$2:$A$15,0),MATCH('cross-sectoral correlation'!AJ$1,'доля годы'!$A$2:$L$2,0))</f>
        <v>11.640104040637183</v>
      </c>
      <c r="AK23" s="53">
        <f>INDEX('доля годы'!$A$2:$L$15,MATCH('cross-sectoral correlation'!$P23,'доля годы'!$A$2:$A$15,0),MATCH('cross-sectoral correlation'!AK$1,'доля годы'!$A$2:$L$2,0))</f>
        <v>6.0629291064531161</v>
      </c>
      <c r="AL23" s="53">
        <f>INDEX('доля годы'!$A$2:$L$15,MATCH('cross-sectoral correlation'!$P23,'доля годы'!$A$2:$A$15,0),MATCH('cross-sectoral correlation'!AL$1,'доля годы'!$A$2:$L$2,0))</f>
        <v>3.3456398874171178</v>
      </c>
      <c r="AM23" s="53">
        <f>INDEX('доля годы'!$A$2:$L$15,MATCH('cross-sectoral correlation'!$P23,'доля годы'!$A$2:$A$15,0),MATCH('cross-sectoral correlation'!AM$1,'доля годы'!$A$2:$L$2,0))</f>
        <v>9.1130397342273302</v>
      </c>
      <c r="AN23" s="53">
        <f>INDEX('доля годы'!$A$2:$L$15,MATCH('cross-sectoral correlation'!$P23,'доля годы'!$A$2:$A$15,0),MATCH('cross-sectoral correlation'!AN$1,'доля годы'!$A$2:$L$2,0))</f>
        <v>22.505244896278846</v>
      </c>
      <c r="AO23" s="53">
        <f>INDEX('доля годы'!$A$2:$L$15,MATCH('cross-sectoral correlation'!$P23,'доля годы'!$A$2:$A$15,0),MATCH('cross-sectoral correlation'!AO$1,'доля годы'!$A$2:$L$2,0))</f>
        <v>11.147923775447776</v>
      </c>
    </row>
    <row r="24" spans="1:41" x14ac:dyDescent="0.2">
      <c r="A24" s="35">
        <f t="shared" si="0"/>
        <v>42614</v>
      </c>
      <c r="B24" s="49">
        <f>QoQ!B23</f>
        <v>0.1350101125830605</v>
      </c>
      <c r="C24" s="49">
        <f>QoQ!C23</f>
        <v>1.0505781038312421</v>
      </c>
      <c r="D24" s="49">
        <f>QoQ!D23</f>
        <v>0.49806011703307718</v>
      </c>
      <c r="E24" s="49">
        <f>QoQ!E23</f>
        <v>2.8682265276875967</v>
      </c>
      <c r="F24" s="49">
        <f>QoQ!F23</f>
        <v>1.8355674949664689</v>
      </c>
      <c r="G24" s="49">
        <f>QoQ!G23</f>
        <v>0.8115526608715129</v>
      </c>
      <c r="H24" s="49">
        <f>QoQ!H23</f>
        <v>-0.37169140871482398</v>
      </c>
      <c r="I24" s="49">
        <f>QoQ!I23</f>
        <v>0.48034258324507562</v>
      </c>
      <c r="J24" s="49">
        <f>QoQ!J23</f>
        <v>-0.92181390269718122</v>
      </c>
      <c r="K24" s="49">
        <f>QoQ!K23</f>
        <v>0.49994849600622615</v>
      </c>
      <c r="L24" s="49">
        <f>QoQ!L23</f>
        <v>-0.9360693336383008</v>
      </c>
      <c r="M24" s="49">
        <f>QoQ!M23</f>
        <v>-0.14717130888240604</v>
      </c>
      <c r="O24" s="35">
        <v>42614</v>
      </c>
      <c r="P24" s="50">
        <f t="shared" si="2"/>
        <v>2016</v>
      </c>
      <c r="Q24" s="49">
        <f t="shared" si="3"/>
        <v>1</v>
      </c>
      <c r="R24" s="49">
        <f t="shared" si="4"/>
        <v>0.15383588335637396</v>
      </c>
      <c r="S24" s="49">
        <f t="shared" si="5"/>
        <v>0.461962964618646</v>
      </c>
      <c r="T24" s="49">
        <f t="shared" si="6"/>
        <v>0.63725841262491978</v>
      </c>
      <c r="U24" s="49">
        <f t="shared" si="7"/>
        <v>0.80174428488163674</v>
      </c>
      <c r="V24" s="49">
        <f t="shared" si="8"/>
        <v>0.38526326851010789</v>
      </c>
      <c r="W24" s="49">
        <f t="shared" si="9"/>
        <v>0.66103434871122335</v>
      </c>
      <c r="X24" s="49">
        <f t="shared" si="10"/>
        <v>0.64394148156194686</v>
      </c>
      <c r="Y24" s="49">
        <f t="shared" si="11"/>
        <v>0.39918356814756828</v>
      </c>
      <c r="Z24" s="49">
        <f t="shared" si="12"/>
        <v>0.79006950211429283</v>
      </c>
      <c r="AA24" s="49">
        <f t="shared" si="13"/>
        <v>-0.26338284641793192</v>
      </c>
      <c r="AB24" s="49">
        <f t="shared" si="14"/>
        <v>0.56110458213820635</v>
      </c>
      <c r="AD24" s="52">
        <f t="shared" si="15"/>
        <v>0.38611517998258393</v>
      </c>
      <c r="AE24" s="53">
        <f>INDEX('доля годы'!$A$2:$L$15,MATCH('cross-sectoral correlation'!$P24,'доля годы'!$A$2:$A$15,0),MATCH('cross-sectoral correlation'!AE$1,'доля годы'!$A$2:$L$2,0))</f>
        <v>4.0120615254283338</v>
      </c>
      <c r="AF24" s="53">
        <f>INDEX('доля годы'!$A$2:$L$15,MATCH('cross-sectoral correlation'!$P24,'доля годы'!$A$2:$A$15,0),MATCH('cross-sectoral correlation'!AF$1,'доля годы'!$A$2:$L$2,0))</f>
        <v>12.50799297094572</v>
      </c>
      <c r="AG24" s="53">
        <f>INDEX('доля годы'!$A$2:$L$15,MATCH('cross-sectoral correlation'!$P24,'доля годы'!$A$2:$A$15,0),MATCH('cross-sectoral correlation'!AG$1,'доля годы'!$A$2:$L$2,0))</f>
        <v>11.949687003879712</v>
      </c>
      <c r="AH24" s="53">
        <f>INDEX('доля годы'!$A$2:$L$15,MATCH('cross-sectoral correlation'!$P24,'доля годы'!$A$2:$A$15,0),MATCH('cross-sectoral correlation'!AH$1,'доля годы'!$A$2:$L$2,0))</f>
        <v>2.8015790015060587</v>
      </c>
      <c r="AI24" s="53">
        <f>INDEX('доля годы'!$A$2:$L$15,MATCH('cross-sectoral correlation'!$P24,'доля годы'!$A$2:$A$15,0),MATCH('cross-sectoral correlation'!AI$1,'доля годы'!$A$2:$L$2,0))</f>
        <v>4.913798057778811</v>
      </c>
      <c r="AJ24" s="53">
        <f>INDEX('доля годы'!$A$2:$L$15,MATCH('cross-sectoral correlation'!$P24,'доля годы'!$A$2:$A$15,0),MATCH('cross-sectoral correlation'!AJ$1,'доля годы'!$A$2:$L$2,0))</f>
        <v>11.640104040637183</v>
      </c>
      <c r="AK24" s="53">
        <f>INDEX('доля годы'!$A$2:$L$15,MATCH('cross-sectoral correlation'!$P24,'доля годы'!$A$2:$A$15,0),MATCH('cross-sectoral correlation'!AK$1,'доля годы'!$A$2:$L$2,0))</f>
        <v>6.0629291064531161</v>
      </c>
      <c r="AL24" s="53">
        <f>INDEX('доля годы'!$A$2:$L$15,MATCH('cross-sectoral correlation'!$P24,'доля годы'!$A$2:$A$15,0),MATCH('cross-sectoral correlation'!AL$1,'доля годы'!$A$2:$L$2,0))</f>
        <v>3.3456398874171178</v>
      </c>
      <c r="AM24" s="53">
        <f>INDEX('доля годы'!$A$2:$L$15,MATCH('cross-sectoral correlation'!$P24,'доля годы'!$A$2:$A$15,0),MATCH('cross-sectoral correlation'!AM$1,'доля годы'!$A$2:$L$2,0))</f>
        <v>9.1130397342273302</v>
      </c>
      <c r="AN24" s="53">
        <f>INDEX('доля годы'!$A$2:$L$15,MATCH('cross-sectoral correlation'!$P24,'доля годы'!$A$2:$A$15,0),MATCH('cross-sectoral correlation'!AN$1,'доля годы'!$A$2:$L$2,0))</f>
        <v>22.505244896278846</v>
      </c>
      <c r="AO24" s="53">
        <f>INDEX('доля годы'!$A$2:$L$15,MATCH('cross-sectoral correlation'!$P24,'доля годы'!$A$2:$A$15,0),MATCH('cross-sectoral correlation'!AO$1,'доля годы'!$A$2:$L$2,0))</f>
        <v>11.147923775447776</v>
      </c>
    </row>
    <row r="25" spans="1:41" x14ac:dyDescent="0.2">
      <c r="A25" s="35">
        <f t="shared" si="0"/>
        <v>42705</v>
      </c>
      <c r="B25" s="49">
        <f>QoQ!B24</f>
        <v>0.84740827729309842</v>
      </c>
      <c r="C25" s="49">
        <f>QoQ!C24</f>
        <v>-1.477102683649008</v>
      </c>
      <c r="D25" s="49">
        <f>QoQ!D24</f>
        <v>1.5972597567482865</v>
      </c>
      <c r="E25" s="49">
        <f>QoQ!E24</f>
        <v>3.4511799122779934</v>
      </c>
      <c r="F25" s="49">
        <f>QoQ!F24</f>
        <v>0.80469124748910303</v>
      </c>
      <c r="G25" s="49">
        <f>QoQ!G24</f>
        <v>2.7420251434223246</v>
      </c>
      <c r="H25" s="49">
        <f>QoQ!H24</f>
        <v>-2.8624863552472988</v>
      </c>
      <c r="I25" s="49">
        <f>QoQ!I24</f>
        <v>0.60045504243826997</v>
      </c>
      <c r="J25" s="49">
        <f>QoQ!J24</f>
        <v>-0.3979999100409799</v>
      </c>
      <c r="K25" s="49">
        <f>QoQ!K24</f>
        <v>0.52718615535387414</v>
      </c>
      <c r="L25" s="49">
        <f>QoQ!L24</f>
        <v>2.5155098424069422</v>
      </c>
      <c r="M25" s="49">
        <f>QoQ!M24</f>
        <v>0.87070128410201164</v>
      </c>
      <c r="O25" s="35">
        <v>42705</v>
      </c>
      <c r="P25" s="50">
        <f t="shared" si="2"/>
        <v>2016</v>
      </c>
      <c r="Q25" s="49">
        <f t="shared" si="3"/>
        <v>0.99999999999999989</v>
      </c>
      <c r="R25" s="49">
        <f t="shared" si="4"/>
        <v>-0.36165826060745176</v>
      </c>
      <c r="S25" s="49">
        <f t="shared" si="5"/>
        <v>0.61680330102408443</v>
      </c>
      <c r="T25" s="49">
        <f t="shared" si="6"/>
        <v>0.70671842380121974</v>
      </c>
      <c r="U25" s="49">
        <f t="shared" si="7"/>
        <v>0.75859857157982291</v>
      </c>
      <c r="V25" s="49">
        <f t="shared" si="8"/>
        <v>0.64190159412852532</v>
      </c>
      <c r="W25" s="49">
        <f t="shared" si="9"/>
        <v>0.47516969799484399</v>
      </c>
      <c r="X25" s="49">
        <f t="shared" si="10"/>
        <v>0.61424306632212555</v>
      </c>
      <c r="Y25" s="49">
        <f t="shared" si="11"/>
        <v>0.30076756214007594</v>
      </c>
      <c r="Z25" s="49">
        <f t="shared" si="12"/>
        <v>0.81517364221359223</v>
      </c>
      <c r="AA25" s="49">
        <f t="shared" si="13"/>
        <v>0.35765882695312595</v>
      </c>
      <c r="AB25" s="49">
        <f t="shared" si="14"/>
        <v>0.74535442847922606</v>
      </c>
      <c r="AD25" s="52">
        <f t="shared" si="15"/>
        <v>0.5403694923611172</v>
      </c>
      <c r="AE25" s="53">
        <f>INDEX('доля годы'!$A$2:$L$15,MATCH('cross-sectoral correlation'!$P25,'доля годы'!$A$2:$A$15,0),MATCH('cross-sectoral correlation'!AE$1,'доля годы'!$A$2:$L$2,0))</f>
        <v>4.0120615254283338</v>
      </c>
      <c r="AF25" s="53">
        <f>INDEX('доля годы'!$A$2:$L$15,MATCH('cross-sectoral correlation'!$P25,'доля годы'!$A$2:$A$15,0),MATCH('cross-sectoral correlation'!AF$1,'доля годы'!$A$2:$L$2,0))</f>
        <v>12.50799297094572</v>
      </c>
      <c r="AG25" s="53">
        <f>INDEX('доля годы'!$A$2:$L$15,MATCH('cross-sectoral correlation'!$P25,'доля годы'!$A$2:$A$15,0),MATCH('cross-sectoral correlation'!AG$1,'доля годы'!$A$2:$L$2,0))</f>
        <v>11.949687003879712</v>
      </c>
      <c r="AH25" s="53">
        <f>INDEX('доля годы'!$A$2:$L$15,MATCH('cross-sectoral correlation'!$P25,'доля годы'!$A$2:$A$15,0),MATCH('cross-sectoral correlation'!AH$1,'доля годы'!$A$2:$L$2,0))</f>
        <v>2.8015790015060587</v>
      </c>
      <c r="AI25" s="53">
        <f>INDEX('доля годы'!$A$2:$L$15,MATCH('cross-sectoral correlation'!$P25,'доля годы'!$A$2:$A$15,0),MATCH('cross-sectoral correlation'!AI$1,'доля годы'!$A$2:$L$2,0))</f>
        <v>4.913798057778811</v>
      </c>
      <c r="AJ25" s="53">
        <f>INDEX('доля годы'!$A$2:$L$15,MATCH('cross-sectoral correlation'!$P25,'доля годы'!$A$2:$A$15,0),MATCH('cross-sectoral correlation'!AJ$1,'доля годы'!$A$2:$L$2,0))</f>
        <v>11.640104040637183</v>
      </c>
      <c r="AK25" s="53">
        <f>INDEX('доля годы'!$A$2:$L$15,MATCH('cross-sectoral correlation'!$P25,'доля годы'!$A$2:$A$15,0),MATCH('cross-sectoral correlation'!AK$1,'доля годы'!$A$2:$L$2,0))</f>
        <v>6.0629291064531161</v>
      </c>
      <c r="AL25" s="53">
        <f>INDEX('доля годы'!$A$2:$L$15,MATCH('cross-sectoral correlation'!$P25,'доля годы'!$A$2:$A$15,0),MATCH('cross-sectoral correlation'!AL$1,'доля годы'!$A$2:$L$2,0))</f>
        <v>3.3456398874171178</v>
      </c>
      <c r="AM25" s="53">
        <f>INDEX('доля годы'!$A$2:$L$15,MATCH('cross-sectoral correlation'!$P25,'доля годы'!$A$2:$A$15,0),MATCH('cross-sectoral correlation'!AM$1,'доля годы'!$A$2:$L$2,0))</f>
        <v>9.1130397342273302</v>
      </c>
      <c r="AN25" s="53">
        <f>INDEX('доля годы'!$A$2:$L$15,MATCH('cross-sectoral correlation'!$P25,'доля годы'!$A$2:$A$15,0),MATCH('cross-sectoral correlation'!AN$1,'доля годы'!$A$2:$L$2,0))</f>
        <v>22.505244896278846</v>
      </c>
      <c r="AO25" s="53">
        <f>INDEX('доля годы'!$A$2:$L$15,MATCH('cross-sectoral correlation'!$P25,'доля годы'!$A$2:$A$15,0),MATCH('cross-sectoral correlation'!AO$1,'доля годы'!$A$2:$L$2,0))</f>
        <v>11.147923775447776</v>
      </c>
    </row>
    <row r="26" spans="1:41" x14ac:dyDescent="0.2">
      <c r="A26" s="35">
        <f t="shared" si="0"/>
        <v>42795</v>
      </c>
      <c r="B26" s="49">
        <f>QoQ!B25</f>
        <v>0.27922290224755386</v>
      </c>
      <c r="C26" s="49">
        <f>QoQ!C25</f>
        <v>1.8658373941588167</v>
      </c>
      <c r="D26" s="49">
        <f>QoQ!D25</f>
        <v>0.23464265039916654</v>
      </c>
      <c r="E26" s="49">
        <f>QoQ!E25</f>
        <v>-2.993009622817226</v>
      </c>
      <c r="F26" s="49">
        <f>QoQ!F25</f>
        <v>-1.3543693511106767</v>
      </c>
      <c r="G26" s="49">
        <f>QoQ!G25</f>
        <v>-4.84823590828627</v>
      </c>
      <c r="H26" s="49">
        <f>QoQ!H25</f>
        <v>2.8805402299566794</v>
      </c>
      <c r="I26" s="49">
        <f>QoQ!I25</f>
        <v>-0.78235940453778596</v>
      </c>
      <c r="J26" s="49">
        <f>QoQ!J25</f>
        <v>0.3322457600445432</v>
      </c>
      <c r="K26" s="49">
        <f>QoQ!K25</f>
        <v>0.83284109305128595</v>
      </c>
      <c r="L26" s="49">
        <f>QoQ!L25</f>
        <v>-0.79935896607324253</v>
      </c>
      <c r="M26" s="49">
        <f>QoQ!M25</f>
        <v>0.24045034699267376</v>
      </c>
      <c r="O26" s="35">
        <v>42795</v>
      </c>
      <c r="P26" s="50">
        <f t="shared" si="2"/>
        <v>2017</v>
      </c>
      <c r="Q26" s="49">
        <f t="shared" si="3"/>
        <v>1.0000000000000002</v>
      </c>
      <c r="R26" s="49">
        <f t="shared" si="4"/>
        <v>-0.64601429263547516</v>
      </c>
      <c r="S26" s="49">
        <f t="shared" si="5"/>
        <v>0.28870243620137553</v>
      </c>
      <c r="T26" s="49">
        <f t="shared" si="6"/>
        <v>0.24084369027363073</v>
      </c>
      <c r="U26" s="49">
        <f t="shared" si="7"/>
        <v>0.22713121849703136</v>
      </c>
      <c r="V26" s="49">
        <f t="shared" si="8"/>
        <v>8.651402222161951E-2</v>
      </c>
      <c r="W26" s="49">
        <f t="shared" si="9"/>
        <v>0.40589041441923623</v>
      </c>
      <c r="X26" s="49">
        <f t="shared" si="10"/>
        <v>-0.13560647946589066</v>
      </c>
      <c r="Y26" s="49">
        <f t="shared" si="11"/>
        <v>0.127128445984411</v>
      </c>
      <c r="Z26" s="49">
        <f t="shared" si="12"/>
        <v>0.56626188491590879</v>
      </c>
      <c r="AA26" s="49">
        <f t="shared" si="13"/>
        <v>0.45558065218615557</v>
      </c>
      <c r="AB26" s="49">
        <f t="shared" si="14"/>
        <v>0.63327347913263132</v>
      </c>
      <c r="AD26" s="52">
        <f t="shared" si="15"/>
        <v>0.31883030186609568</v>
      </c>
      <c r="AE26" s="53">
        <f>INDEX('доля годы'!$A$2:$L$15,MATCH('cross-sectoral correlation'!$P26,'доля годы'!$A$2:$A$15,0),MATCH('cross-sectoral correlation'!AE$1,'доля годы'!$A$2:$L$2,0))</f>
        <v>3.9989244189288633</v>
      </c>
      <c r="AF26" s="53">
        <f>INDEX('доля годы'!$A$2:$L$15,MATCH('cross-sectoral correlation'!$P26,'доля годы'!$A$2:$A$15,0),MATCH('cross-sectoral correlation'!AF$1,'доля годы'!$A$2:$L$2,0))</f>
        <v>12.483200857385995</v>
      </c>
      <c r="AG26" s="53">
        <f>INDEX('доля годы'!$A$2:$L$15,MATCH('cross-sectoral correlation'!$P26,'доля годы'!$A$2:$A$15,0),MATCH('cross-sectoral correlation'!AG$1,'доля годы'!$A$2:$L$2,0))</f>
        <v>12.250029143709062</v>
      </c>
      <c r="AH26" s="53">
        <f>INDEX('доля годы'!$A$2:$L$15,MATCH('cross-sectoral correlation'!$P26,'доля годы'!$A$2:$A$15,0),MATCH('cross-sectoral correlation'!AH$1,'доля годы'!$A$2:$L$2,0))</f>
        <v>2.710765144266567</v>
      </c>
      <c r="AI26" s="53">
        <f>INDEX('доля годы'!$A$2:$L$15,MATCH('cross-sectoral correlation'!$P26,'доля годы'!$A$2:$A$15,0),MATCH('cross-sectoral correlation'!AI$1,'доля годы'!$A$2:$L$2,0))</f>
        <v>4.7570029962012397</v>
      </c>
      <c r="AJ26" s="53">
        <f>INDEX('доля годы'!$A$2:$L$15,MATCH('cross-sectoral correlation'!$P26,'доля годы'!$A$2:$A$15,0),MATCH('cross-sectoral correlation'!AJ$1,'доля годы'!$A$2:$L$2,0))</f>
        <v>11.558691766788831</v>
      </c>
      <c r="AK26" s="53">
        <f>INDEX('доля годы'!$A$2:$L$15,MATCH('cross-sectoral correlation'!$P26,'доля годы'!$A$2:$A$15,0),MATCH('cross-sectoral correlation'!AK$1,'доля годы'!$A$2:$L$2,0))</f>
        <v>5.9557154801656855</v>
      </c>
      <c r="AL26" s="53">
        <f>INDEX('доля годы'!$A$2:$L$15,MATCH('cross-sectoral correlation'!$P26,'доля годы'!$A$2:$A$15,0),MATCH('cross-sectoral correlation'!AL$1,'доля годы'!$A$2:$L$2,0))</f>
        <v>3.3055163205445046</v>
      </c>
      <c r="AM26" s="53">
        <f>INDEX('доля годы'!$A$2:$L$15,MATCH('cross-sectoral correlation'!$P26,'доля годы'!$A$2:$A$15,0),MATCH('cross-sectoral correlation'!AM$1,'доля годы'!$A$2:$L$2,0))</f>
        <v>9.2361519322141739</v>
      </c>
      <c r="AN26" s="53">
        <f>INDEX('доля годы'!$A$2:$L$15,MATCH('cross-sectoral correlation'!$P26,'доля годы'!$A$2:$A$15,0),MATCH('cross-sectoral correlation'!AN$1,'доля годы'!$A$2:$L$2,0))</f>
        <v>22.61511157248788</v>
      </c>
      <c r="AO26" s="53">
        <f>INDEX('доля годы'!$A$2:$L$15,MATCH('cross-sectoral correlation'!$P26,'доля годы'!$A$2:$A$15,0),MATCH('cross-sectoral correlation'!AO$1,'доля годы'!$A$2:$L$2,0))</f>
        <v>11.128890367307202</v>
      </c>
    </row>
    <row r="27" spans="1:41" x14ac:dyDescent="0.2">
      <c r="A27" s="35">
        <f t="shared" si="0"/>
        <v>42887</v>
      </c>
      <c r="B27" s="49">
        <f>QoQ!B26</f>
        <v>0.69651989867800523</v>
      </c>
      <c r="C27" s="49">
        <f>QoQ!C26</f>
        <v>0.12025334562184753</v>
      </c>
      <c r="D27" s="49">
        <f>QoQ!D26</f>
        <v>1.1556180969719065</v>
      </c>
      <c r="E27" s="49">
        <f>QoQ!E26</f>
        <v>3.1260505249828441</v>
      </c>
      <c r="F27" s="49">
        <f>QoQ!F26</f>
        <v>-0.18332388240381192</v>
      </c>
      <c r="G27" s="49">
        <f>QoQ!G26</f>
        <v>1.2851925058465099</v>
      </c>
      <c r="H27" s="49">
        <f>QoQ!H26</f>
        <v>1.4603227649860884</v>
      </c>
      <c r="I27" s="49">
        <f>QoQ!I26</f>
        <v>0.12049838007490621</v>
      </c>
      <c r="J27" s="49">
        <f>QoQ!J26</f>
        <v>1.2071378035446259</v>
      </c>
      <c r="K27" s="49">
        <f>QoQ!K26</f>
        <v>0.45098061280282309</v>
      </c>
      <c r="L27" s="49">
        <f>QoQ!L26</f>
        <v>0.35659114443926399</v>
      </c>
      <c r="M27" s="49">
        <f>QoQ!M26</f>
        <v>0.41578968999735366</v>
      </c>
      <c r="O27" s="35">
        <v>42887</v>
      </c>
      <c r="P27" s="50">
        <f t="shared" si="2"/>
        <v>2017</v>
      </c>
      <c r="Q27" s="49">
        <f t="shared" si="3"/>
        <v>1</v>
      </c>
      <c r="R27" s="49">
        <f t="shared" si="4"/>
        <v>-0.52096242208633825</v>
      </c>
      <c r="S27" s="49">
        <f t="shared" si="5"/>
        <v>0.49534570492479368</v>
      </c>
      <c r="T27" s="49">
        <f t="shared" si="6"/>
        <v>0.40036356856720096</v>
      </c>
      <c r="U27" s="49">
        <f t="shared" si="7"/>
        <v>-0.19872969027228038</v>
      </c>
      <c r="V27" s="49">
        <f t="shared" si="8"/>
        <v>0.24262536184311398</v>
      </c>
      <c r="W27" s="49">
        <f t="shared" si="9"/>
        <v>0.15971557675700893</v>
      </c>
      <c r="X27" s="49">
        <f t="shared" si="10"/>
        <v>-8.2601171718459432E-2</v>
      </c>
      <c r="Y27" s="49">
        <f t="shared" si="11"/>
        <v>-1.5406938085540013E-2</v>
      </c>
      <c r="Z27" s="49">
        <f t="shared" si="12"/>
        <v>0.28715088415325629</v>
      </c>
      <c r="AA27" s="49">
        <f t="shared" si="13"/>
        <v>0.60004825216547564</v>
      </c>
      <c r="AB27" s="49">
        <f t="shared" si="14"/>
        <v>0.38135681649798631</v>
      </c>
      <c r="AD27" s="52">
        <f t="shared" si="15"/>
        <v>0.31389767742596364</v>
      </c>
      <c r="AE27" s="53">
        <f>INDEX('доля годы'!$A$2:$L$15,MATCH('cross-sectoral correlation'!$P27,'доля годы'!$A$2:$A$15,0),MATCH('cross-sectoral correlation'!AE$1,'доля годы'!$A$2:$L$2,0))</f>
        <v>3.9989244189288633</v>
      </c>
      <c r="AF27" s="53">
        <f>INDEX('доля годы'!$A$2:$L$15,MATCH('cross-sectoral correlation'!$P27,'доля годы'!$A$2:$A$15,0),MATCH('cross-sectoral correlation'!AF$1,'доля годы'!$A$2:$L$2,0))</f>
        <v>12.483200857385995</v>
      </c>
      <c r="AG27" s="53">
        <f>INDEX('доля годы'!$A$2:$L$15,MATCH('cross-sectoral correlation'!$P27,'доля годы'!$A$2:$A$15,0),MATCH('cross-sectoral correlation'!AG$1,'доля годы'!$A$2:$L$2,0))</f>
        <v>12.250029143709062</v>
      </c>
      <c r="AH27" s="53">
        <f>INDEX('доля годы'!$A$2:$L$15,MATCH('cross-sectoral correlation'!$P27,'доля годы'!$A$2:$A$15,0),MATCH('cross-sectoral correlation'!AH$1,'доля годы'!$A$2:$L$2,0))</f>
        <v>2.710765144266567</v>
      </c>
      <c r="AI27" s="53">
        <f>INDEX('доля годы'!$A$2:$L$15,MATCH('cross-sectoral correlation'!$P27,'доля годы'!$A$2:$A$15,0),MATCH('cross-sectoral correlation'!AI$1,'доля годы'!$A$2:$L$2,0))</f>
        <v>4.7570029962012397</v>
      </c>
      <c r="AJ27" s="53">
        <f>INDEX('доля годы'!$A$2:$L$15,MATCH('cross-sectoral correlation'!$P27,'доля годы'!$A$2:$A$15,0),MATCH('cross-sectoral correlation'!AJ$1,'доля годы'!$A$2:$L$2,0))</f>
        <v>11.558691766788831</v>
      </c>
      <c r="AK27" s="53">
        <f>INDEX('доля годы'!$A$2:$L$15,MATCH('cross-sectoral correlation'!$P27,'доля годы'!$A$2:$A$15,0),MATCH('cross-sectoral correlation'!AK$1,'доля годы'!$A$2:$L$2,0))</f>
        <v>5.9557154801656855</v>
      </c>
      <c r="AL27" s="53">
        <f>INDEX('доля годы'!$A$2:$L$15,MATCH('cross-sectoral correlation'!$P27,'доля годы'!$A$2:$A$15,0),MATCH('cross-sectoral correlation'!AL$1,'доля годы'!$A$2:$L$2,0))</f>
        <v>3.3055163205445046</v>
      </c>
      <c r="AM27" s="53">
        <f>INDEX('доля годы'!$A$2:$L$15,MATCH('cross-sectoral correlation'!$P27,'доля годы'!$A$2:$A$15,0),MATCH('cross-sectoral correlation'!AM$1,'доля годы'!$A$2:$L$2,0))</f>
        <v>9.2361519322141739</v>
      </c>
      <c r="AN27" s="53">
        <f>INDEX('доля годы'!$A$2:$L$15,MATCH('cross-sectoral correlation'!$P27,'доля годы'!$A$2:$A$15,0),MATCH('cross-sectoral correlation'!AN$1,'доля годы'!$A$2:$L$2,0))</f>
        <v>22.61511157248788</v>
      </c>
      <c r="AO27" s="53">
        <f>INDEX('доля годы'!$A$2:$L$15,MATCH('cross-sectoral correlation'!$P27,'доля годы'!$A$2:$A$15,0),MATCH('cross-sectoral correlation'!AO$1,'доля годы'!$A$2:$L$2,0))</f>
        <v>11.128890367307202</v>
      </c>
    </row>
    <row r="28" spans="1:41" x14ac:dyDescent="0.2">
      <c r="A28" s="35">
        <f t="shared" si="0"/>
        <v>42979</v>
      </c>
      <c r="B28" s="49">
        <f>QoQ!B27</f>
        <v>0.59733678530574252</v>
      </c>
      <c r="C28" s="49">
        <f>QoQ!C27</f>
        <v>1.0232543798154694</v>
      </c>
      <c r="D28" s="49">
        <f>QoQ!D27</f>
        <v>-0.52203665905813068</v>
      </c>
      <c r="E28" s="49">
        <f>QoQ!E27</f>
        <v>1.6631582632810904</v>
      </c>
      <c r="F28" s="49">
        <f>QoQ!F27</f>
        <v>-1.6155443976475539</v>
      </c>
      <c r="G28" s="49">
        <f>QoQ!G27</f>
        <v>-0.60102878626044287</v>
      </c>
      <c r="H28" s="49">
        <f>QoQ!H27</f>
        <v>0.64931025515650731</v>
      </c>
      <c r="I28" s="49">
        <f>QoQ!I27</f>
        <v>0.51398684109207693</v>
      </c>
      <c r="J28" s="49">
        <f>QoQ!J27</f>
        <v>0.54375959908389859</v>
      </c>
      <c r="K28" s="49">
        <f>QoQ!K27</f>
        <v>0.88980678343024522</v>
      </c>
      <c r="L28" s="49">
        <f>QoQ!L27</f>
        <v>1.1142637730411735</v>
      </c>
      <c r="M28" s="49">
        <f>QoQ!M27</f>
        <v>1.0052427502936325</v>
      </c>
      <c r="O28" s="35">
        <v>42979</v>
      </c>
      <c r="P28" s="50">
        <f t="shared" si="2"/>
        <v>2017</v>
      </c>
      <c r="Q28" s="49">
        <f t="shared" si="3"/>
        <v>0.99999999999999989</v>
      </c>
      <c r="R28" s="49">
        <f t="shared" si="4"/>
        <v>-0.44618217998151694</v>
      </c>
      <c r="S28" s="49">
        <f t="shared" si="5"/>
        <v>0.25428708635718911</v>
      </c>
      <c r="T28" s="49">
        <f t="shared" si="6"/>
        <v>0.3986480414989973</v>
      </c>
      <c r="U28" s="49">
        <f t="shared" si="7"/>
        <v>-0.33741626507751571</v>
      </c>
      <c r="V28" s="49">
        <f t="shared" si="8"/>
        <v>0.18380880303530078</v>
      </c>
      <c r="W28" s="49">
        <f t="shared" si="9"/>
        <v>0.17700096628422674</v>
      </c>
      <c r="X28" s="49">
        <f t="shared" si="10"/>
        <v>-3.8920764281536492E-2</v>
      </c>
      <c r="Y28" s="49">
        <f t="shared" si="11"/>
        <v>-2.8737159457432975E-2</v>
      </c>
      <c r="Z28" s="49">
        <f t="shared" si="12"/>
        <v>0.40572468178048543</v>
      </c>
      <c r="AA28" s="49">
        <f t="shared" si="13"/>
        <v>0.65366294490571952</v>
      </c>
      <c r="AB28" s="49">
        <f t="shared" si="14"/>
        <v>0.87200976026546462</v>
      </c>
      <c r="AD28" s="52">
        <f t="shared" si="15"/>
        <v>0.36186844580761801</v>
      </c>
      <c r="AE28" s="53">
        <f>INDEX('доля годы'!$A$2:$L$15,MATCH('cross-sectoral correlation'!$P28,'доля годы'!$A$2:$A$15,0),MATCH('cross-sectoral correlation'!AE$1,'доля годы'!$A$2:$L$2,0))</f>
        <v>3.9989244189288633</v>
      </c>
      <c r="AF28" s="53">
        <f>INDEX('доля годы'!$A$2:$L$15,MATCH('cross-sectoral correlation'!$P28,'доля годы'!$A$2:$A$15,0),MATCH('cross-sectoral correlation'!AF$1,'доля годы'!$A$2:$L$2,0))</f>
        <v>12.483200857385995</v>
      </c>
      <c r="AG28" s="53">
        <f>INDEX('доля годы'!$A$2:$L$15,MATCH('cross-sectoral correlation'!$P28,'доля годы'!$A$2:$A$15,0),MATCH('cross-sectoral correlation'!AG$1,'доля годы'!$A$2:$L$2,0))</f>
        <v>12.250029143709062</v>
      </c>
      <c r="AH28" s="53">
        <f>INDEX('доля годы'!$A$2:$L$15,MATCH('cross-sectoral correlation'!$P28,'доля годы'!$A$2:$A$15,0),MATCH('cross-sectoral correlation'!AH$1,'доля годы'!$A$2:$L$2,0))</f>
        <v>2.710765144266567</v>
      </c>
      <c r="AI28" s="53">
        <f>INDEX('доля годы'!$A$2:$L$15,MATCH('cross-sectoral correlation'!$P28,'доля годы'!$A$2:$A$15,0),MATCH('cross-sectoral correlation'!AI$1,'доля годы'!$A$2:$L$2,0))</f>
        <v>4.7570029962012397</v>
      </c>
      <c r="AJ28" s="53">
        <f>INDEX('доля годы'!$A$2:$L$15,MATCH('cross-sectoral correlation'!$P28,'доля годы'!$A$2:$A$15,0),MATCH('cross-sectoral correlation'!AJ$1,'доля годы'!$A$2:$L$2,0))</f>
        <v>11.558691766788831</v>
      </c>
      <c r="AK28" s="53">
        <f>INDEX('доля годы'!$A$2:$L$15,MATCH('cross-sectoral correlation'!$P28,'доля годы'!$A$2:$A$15,0),MATCH('cross-sectoral correlation'!AK$1,'доля годы'!$A$2:$L$2,0))</f>
        <v>5.9557154801656855</v>
      </c>
      <c r="AL28" s="53">
        <f>INDEX('доля годы'!$A$2:$L$15,MATCH('cross-sectoral correlation'!$P28,'доля годы'!$A$2:$A$15,0),MATCH('cross-sectoral correlation'!AL$1,'доля годы'!$A$2:$L$2,0))</f>
        <v>3.3055163205445046</v>
      </c>
      <c r="AM28" s="53">
        <f>INDEX('доля годы'!$A$2:$L$15,MATCH('cross-sectoral correlation'!$P28,'доля годы'!$A$2:$A$15,0),MATCH('cross-sectoral correlation'!AM$1,'доля годы'!$A$2:$L$2,0))</f>
        <v>9.2361519322141739</v>
      </c>
      <c r="AN28" s="53">
        <f>INDEX('доля годы'!$A$2:$L$15,MATCH('cross-sectoral correlation'!$P28,'доля годы'!$A$2:$A$15,0),MATCH('cross-sectoral correlation'!AN$1,'доля годы'!$A$2:$L$2,0))</f>
        <v>22.61511157248788</v>
      </c>
      <c r="AO28" s="53">
        <f>INDEX('доля годы'!$A$2:$L$15,MATCH('cross-sectoral correlation'!$P28,'доля годы'!$A$2:$A$15,0),MATCH('cross-sectoral correlation'!AO$1,'доля годы'!$A$2:$L$2,0))</f>
        <v>11.128890367307202</v>
      </c>
    </row>
    <row r="29" spans="1:41" x14ac:dyDescent="0.2">
      <c r="A29" s="35">
        <f t="shared" si="0"/>
        <v>43070</v>
      </c>
      <c r="B29" s="49">
        <f>QoQ!B28</f>
        <v>-0.13012144157059424</v>
      </c>
      <c r="C29" s="49">
        <f>QoQ!C28</f>
        <v>-3.4817374971950699E-2</v>
      </c>
      <c r="D29" s="49">
        <f>QoQ!D28</f>
        <v>-2.1992746654007789</v>
      </c>
      <c r="E29" s="49">
        <f>QoQ!E28</f>
        <v>-0.76361411517579825</v>
      </c>
      <c r="F29" s="49">
        <f>QoQ!F28</f>
        <v>2.1093513305729061E-2</v>
      </c>
      <c r="G29" s="49">
        <f>QoQ!G28</f>
        <v>4.4740143861816222</v>
      </c>
      <c r="H29" s="49">
        <f>QoQ!H28</f>
        <v>-1.2565309309458712</v>
      </c>
      <c r="I29" s="49">
        <f>QoQ!I28</f>
        <v>-0.26694916389031675</v>
      </c>
      <c r="J29" s="49">
        <f>QoQ!J28</f>
        <v>1.6704503896206404</v>
      </c>
      <c r="K29" s="49">
        <f>QoQ!K28</f>
        <v>0.19763748594540687</v>
      </c>
      <c r="L29" s="49">
        <f>QoQ!L28</f>
        <v>1.3754873956891771</v>
      </c>
      <c r="M29" s="49">
        <f>QoQ!M28</f>
        <v>-3.1597693624675571E-2</v>
      </c>
      <c r="O29" s="35">
        <v>43070</v>
      </c>
      <c r="P29" s="50">
        <f t="shared" si="2"/>
        <v>2017</v>
      </c>
      <c r="Q29" s="49">
        <f t="shared" si="3"/>
        <v>1.0000000000000002</v>
      </c>
      <c r="R29" s="49">
        <f t="shared" si="4"/>
        <v>-0.33336581657909942</v>
      </c>
      <c r="S29" s="49">
        <f t="shared" si="5"/>
        <v>0.74462367023337617</v>
      </c>
      <c r="T29" s="49">
        <f t="shared" si="6"/>
        <v>0.54894688930428392</v>
      </c>
      <c r="U29" s="49">
        <f t="shared" si="7"/>
        <v>-0.30400236031117095</v>
      </c>
      <c r="V29" s="49">
        <f t="shared" si="8"/>
        <v>-1.8678589609753219E-2</v>
      </c>
      <c r="W29" s="49">
        <f t="shared" si="9"/>
        <v>-1.3930136115866864E-2</v>
      </c>
      <c r="X29" s="49">
        <f t="shared" si="10"/>
        <v>0.20060590193107014</v>
      </c>
      <c r="Y29" s="49">
        <f t="shared" si="11"/>
        <v>-0.294545944975032</v>
      </c>
      <c r="Z29" s="49">
        <f t="shared" si="12"/>
        <v>0.48001041917298115</v>
      </c>
      <c r="AA29" s="49">
        <f t="shared" si="13"/>
        <v>0.48568801997852529</v>
      </c>
      <c r="AB29" s="49">
        <f t="shared" si="14"/>
        <v>0.84601868185777596</v>
      </c>
      <c r="AD29" s="52">
        <f t="shared" si="15"/>
        <v>0.38666562596311138</v>
      </c>
      <c r="AE29" s="53">
        <f>INDEX('доля годы'!$A$2:$L$15,MATCH('cross-sectoral correlation'!$P29,'доля годы'!$A$2:$A$15,0),MATCH('cross-sectoral correlation'!AE$1,'доля годы'!$A$2:$L$2,0))</f>
        <v>3.9989244189288633</v>
      </c>
      <c r="AF29" s="53">
        <f>INDEX('доля годы'!$A$2:$L$15,MATCH('cross-sectoral correlation'!$P29,'доля годы'!$A$2:$A$15,0),MATCH('cross-sectoral correlation'!AF$1,'доля годы'!$A$2:$L$2,0))</f>
        <v>12.483200857385995</v>
      </c>
      <c r="AG29" s="53">
        <f>INDEX('доля годы'!$A$2:$L$15,MATCH('cross-sectoral correlation'!$P29,'доля годы'!$A$2:$A$15,0),MATCH('cross-sectoral correlation'!AG$1,'доля годы'!$A$2:$L$2,0))</f>
        <v>12.250029143709062</v>
      </c>
      <c r="AH29" s="53">
        <f>INDEX('доля годы'!$A$2:$L$15,MATCH('cross-sectoral correlation'!$P29,'доля годы'!$A$2:$A$15,0),MATCH('cross-sectoral correlation'!AH$1,'доля годы'!$A$2:$L$2,0))</f>
        <v>2.710765144266567</v>
      </c>
      <c r="AI29" s="53">
        <f>INDEX('доля годы'!$A$2:$L$15,MATCH('cross-sectoral correlation'!$P29,'доля годы'!$A$2:$A$15,0),MATCH('cross-sectoral correlation'!AI$1,'доля годы'!$A$2:$L$2,0))</f>
        <v>4.7570029962012397</v>
      </c>
      <c r="AJ29" s="53">
        <f>INDEX('доля годы'!$A$2:$L$15,MATCH('cross-sectoral correlation'!$P29,'доля годы'!$A$2:$A$15,0),MATCH('cross-sectoral correlation'!AJ$1,'доля годы'!$A$2:$L$2,0))</f>
        <v>11.558691766788831</v>
      </c>
      <c r="AK29" s="53">
        <f>INDEX('доля годы'!$A$2:$L$15,MATCH('cross-sectoral correlation'!$P29,'доля годы'!$A$2:$A$15,0),MATCH('cross-sectoral correlation'!AK$1,'доля годы'!$A$2:$L$2,0))</f>
        <v>5.9557154801656855</v>
      </c>
      <c r="AL29" s="53">
        <f>INDEX('доля годы'!$A$2:$L$15,MATCH('cross-sectoral correlation'!$P29,'доля годы'!$A$2:$A$15,0),MATCH('cross-sectoral correlation'!AL$1,'доля годы'!$A$2:$L$2,0))</f>
        <v>3.3055163205445046</v>
      </c>
      <c r="AM29" s="53">
        <f>INDEX('доля годы'!$A$2:$L$15,MATCH('cross-sectoral correlation'!$P29,'доля годы'!$A$2:$A$15,0),MATCH('cross-sectoral correlation'!AM$1,'доля годы'!$A$2:$L$2,0))</f>
        <v>9.2361519322141739</v>
      </c>
      <c r="AN29" s="53">
        <f>INDEX('доля годы'!$A$2:$L$15,MATCH('cross-sectoral correlation'!$P29,'доля годы'!$A$2:$A$15,0),MATCH('cross-sectoral correlation'!AN$1,'доля годы'!$A$2:$L$2,0))</f>
        <v>22.61511157248788</v>
      </c>
      <c r="AO29" s="53">
        <f>INDEX('доля годы'!$A$2:$L$15,MATCH('cross-sectoral correlation'!$P29,'доля годы'!$A$2:$A$15,0),MATCH('cross-sectoral correlation'!AO$1,'доля годы'!$A$2:$L$2,0))</f>
        <v>11.128890367307202</v>
      </c>
    </row>
    <row r="30" spans="1:41" x14ac:dyDescent="0.2">
      <c r="A30" s="35">
        <f t="shared" si="0"/>
        <v>43160</v>
      </c>
      <c r="B30" s="49">
        <f>QoQ!B29</f>
        <v>1.5531240770803976</v>
      </c>
      <c r="C30" s="49">
        <f>QoQ!C29</f>
        <v>1.06696536195075</v>
      </c>
      <c r="D30" s="49">
        <f>QoQ!D29</f>
        <v>1.581104731916966</v>
      </c>
      <c r="E30" s="49">
        <f>QoQ!E29</f>
        <v>2.0093622300936715</v>
      </c>
      <c r="F30" s="49">
        <f>QoQ!F29</f>
        <v>1.6488821340001607</v>
      </c>
      <c r="G30" s="49">
        <f>QoQ!G29</f>
        <v>-5.5925544423854632</v>
      </c>
      <c r="H30" s="49">
        <f>QoQ!H29</f>
        <v>1.3297317597894818</v>
      </c>
      <c r="I30" s="49">
        <f>QoQ!I29</f>
        <v>1.5416723550333558</v>
      </c>
      <c r="J30" s="49">
        <f>QoQ!J29</f>
        <v>3.0352211682003372</v>
      </c>
      <c r="K30" s="49">
        <f>QoQ!K29</f>
        <v>1.1431847766841088</v>
      </c>
      <c r="L30" s="49">
        <f>QoQ!L29</f>
        <v>0.96187732619981148</v>
      </c>
      <c r="M30" s="49">
        <f>QoQ!M29</f>
        <v>1.2861359983556326</v>
      </c>
      <c r="O30" s="35">
        <v>43160</v>
      </c>
      <c r="P30" s="50">
        <f t="shared" si="2"/>
        <v>2018</v>
      </c>
      <c r="Q30" s="49">
        <f t="shared" ref="Q30:Q52" si="16">CORREL($B23:$B30,B23:B30)</f>
        <v>1</v>
      </c>
      <c r="R30" s="49">
        <f t="shared" ref="R30:R52" si="17">CORREL($B23:$B30,C23:C30)</f>
        <v>-6.2881327977488119E-2</v>
      </c>
      <c r="S30" s="49">
        <f t="shared" ref="S30:S52" si="18">CORREL($B23:$B30,D23:D30)</f>
        <v>0.7510589087586016</v>
      </c>
      <c r="T30" s="49">
        <f t="shared" ref="T30:T52" si="19">CORREL($B23:$B30,E23:E30)</f>
        <v>0.41521546173132773</v>
      </c>
      <c r="U30" s="49">
        <f t="shared" ref="U30:U52" si="20">CORREL($B23:$B30,F23:F30)</f>
        <v>0.21045672283893405</v>
      </c>
      <c r="V30" s="49">
        <f t="shared" ref="V30:V52" si="21">CORREL($B23:$B30,G23:G30)</f>
        <v>-0.5632243967834164</v>
      </c>
      <c r="W30" s="49">
        <f t="shared" ref="W30:W52" si="22">CORREL($B23:$B30,H23:H30)</f>
        <v>0.27475827176811846</v>
      </c>
      <c r="X30" s="49">
        <f t="shared" ref="X30:X52" si="23">CORREL($B23:$B30,I23:I30)</f>
        <v>0.80810789036888209</v>
      </c>
      <c r="Y30" s="49">
        <f t="shared" ref="Y30:Y52" si="24">CORREL($B23:$B30,J23:J30)</f>
        <v>0.52058451069014489</v>
      </c>
      <c r="Z30" s="49">
        <f t="shared" ref="Z30:Z52" si="25">CORREL($B23:$B30,K23:K30)</f>
        <v>0.72160550267158752</v>
      </c>
      <c r="AA30" s="49">
        <f t="shared" ref="AA30:AA52" si="26">CORREL($B23:$B30,L23:L30)</f>
        <v>0.3590259679243058</v>
      </c>
      <c r="AB30" s="49">
        <f t="shared" ref="AB30:AB52" si="27">CORREL($B23:$B30,M23:M30)</f>
        <v>0.89958835019332173</v>
      </c>
      <c r="AD30" s="52">
        <f t="shared" si="15"/>
        <v>0.46734982697235394</v>
      </c>
      <c r="AE30" s="53">
        <f>INDEX('доля годы'!$A$2:$L$15,MATCH('cross-sectoral correlation'!$P30,'доля годы'!$A$2:$A$15,0),MATCH('cross-sectoral correlation'!AE$1,'доля годы'!$A$2:$L$2,0))</f>
        <v>3.9561849347496971</v>
      </c>
      <c r="AF30" s="53">
        <f>INDEX('доля годы'!$A$2:$L$15,MATCH('cross-sectoral correlation'!$P30,'доля годы'!$A$2:$A$15,0),MATCH('cross-sectoral correlation'!AF$1,'доля годы'!$A$2:$L$2,0))</f>
        <v>12.42678521583551</v>
      </c>
      <c r="AG30" s="53">
        <f>INDEX('доля годы'!$A$2:$L$15,MATCH('cross-sectoral correlation'!$P30,'доля годы'!$A$2:$A$15,0),MATCH('cross-sectoral correlation'!AG$1,'доля годы'!$A$2:$L$2,0))</f>
        <v>12.387761664756274</v>
      </c>
      <c r="AH30" s="53">
        <f>INDEX('доля годы'!$A$2:$L$15,MATCH('cross-sectoral correlation'!$P30,'доля годы'!$A$2:$A$15,0),MATCH('cross-sectoral correlation'!AH$1,'доля годы'!$A$2:$L$2,0))</f>
        <v>2.6862396553475332</v>
      </c>
      <c r="AI30" s="53">
        <f>INDEX('доля годы'!$A$2:$L$15,MATCH('cross-sectoral correlation'!$P30,'доля годы'!$A$2:$A$15,0),MATCH('cross-sectoral correlation'!AI$1,'доля годы'!$A$2:$L$2,0))</f>
        <v>4.7159063819683276</v>
      </c>
      <c r="AJ30" s="53">
        <f>INDEX('доля годы'!$A$2:$L$15,MATCH('cross-sectoral correlation'!$P30,'доля годы'!$A$2:$A$15,0),MATCH('cross-sectoral correlation'!AJ$1,'доля годы'!$A$2:$L$2,0))</f>
        <v>11.412996560368672</v>
      </c>
      <c r="AK30" s="53">
        <f>INDEX('доля годы'!$A$2:$L$15,MATCH('cross-sectoral correlation'!$P30,'доля годы'!$A$2:$A$15,0),MATCH('cross-sectoral correlation'!AK$1,'доля годы'!$A$2:$L$2,0))</f>
        <v>5.9696489816386862</v>
      </c>
      <c r="AL30" s="53">
        <f>INDEX('доля годы'!$A$2:$L$15,MATCH('cross-sectoral correlation'!$P30,'доля годы'!$A$2:$A$15,0),MATCH('cross-sectoral correlation'!AL$1,'доля годы'!$A$2:$L$2,0))</f>
        <v>3.5104076153194899</v>
      </c>
      <c r="AM30" s="53">
        <f>INDEX('доля годы'!$A$2:$L$15,MATCH('cross-sectoral correlation'!$P30,'доля годы'!$A$2:$A$15,0),MATCH('cross-sectoral correlation'!AM$1,'доля годы'!$A$2:$L$2,0))</f>
        <v>9.2851446731427103</v>
      </c>
      <c r="AN30" s="53">
        <f>INDEX('доля годы'!$A$2:$L$15,MATCH('cross-sectoral correlation'!$P30,'доля годы'!$A$2:$A$15,0),MATCH('cross-sectoral correlation'!AN$1,'доля годы'!$A$2:$L$2,0))</f>
        <v>22.495276062468651</v>
      </c>
      <c r="AO30" s="53">
        <f>INDEX('доля годы'!$A$2:$L$15,MATCH('cross-sectoral correlation'!$P30,'доля годы'!$A$2:$A$15,0),MATCH('cross-sectoral correlation'!AO$1,'доля годы'!$A$2:$L$2,0))</f>
        <v>11.153648254404448</v>
      </c>
    </row>
    <row r="31" spans="1:41" x14ac:dyDescent="0.2">
      <c r="A31" s="35">
        <f t="shared" si="0"/>
        <v>43252</v>
      </c>
      <c r="B31" s="49">
        <f>QoQ!B30</f>
        <v>0.6312227474856229</v>
      </c>
      <c r="C31" s="49">
        <f>QoQ!C30</f>
        <v>0.27933105583993267</v>
      </c>
      <c r="D31" s="49">
        <f>QoQ!D30</f>
        <v>1.2814900325508063</v>
      </c>
      <c r="E31" s="49">
        <f>QoQ!E30</f>
        <v>-0.26486206774083598</v>
      </c>
      <c r="F31" s="49">
        <f>QoQ!F30</f>
        <v>4.8190338366623564E-2</v>
      </c>
      <c r="G31" s="49">
        <f>QoQ!G30</f>
        <v>0.9022407824671177</v>
      </c>
      <c r="H31" s="49">
        <f>QoQ!H30</f>
        <v>1.5214790260455402</v>
      </c>
      <c r="I31" s="49">
        <f>QoQ!I30</f>
        <v>0.90857188532500288</v>
      </c>
      <c r="J31" s="49">
        <f>QoQ!J30</f>
        <v>3.6442948082707716</v>
      </c>
      <c r="K31" s="49">
        <f>QoQ!K30</f>
        <v>0.5420277616115925</v>
      </c>
      <c r="L31" s="49">
        <f>QoQ!L30</f>
        <v>-0.60918690608811232</v>
      </c>
      <c r="M31" s="49">
        <f>QoQ!M30</f>
        <v>1.0652101892347332</v>
      </c>
      <c r="O31" s="35">
        <v>43252</v>
      </c>
      <c r="P31" s="50">
        <f t="shared" si="2"/>
        <v>2018</v>
      </c>
      <c r="Q31" s="49">
        <f t="shared" si="16"/>
        <v>1</v>
      </c>
      <c r="R31" s="49">
        <f t="shared" si="17"/>
        <v>-8.2953170081082855E-2</v>
      </c>
      <c r="S31" s="49">
        <f t="shared" si="18"/>
        <v>0.74090262485300107</v>
      </c>
      <c r="T31" s="49">
        <f t="shared" si="19"/>
        <v>0.42646662823165987</v>
      </c>
      <c r="U31" s="49">
        <f t="shared" si="20"/>
        <v>0.30127849922723254</v>
      </c>
      <c r="V31" s="49">
        <f t="shared" si="21"/>
        <v>-0.52783537536966563</v>
      </c>
      <c r="W31" s="49">
        <f t="shared" si="22"/>
        <v>0.15153304519619515</v>
      </c>
      <c r="X31" s="49">
        <f t="shared" si="23"/>
        <v>0.76771751912527497</v>
      </c>
      <c r="Y31" s="49">
        <f t="shared" si="24"/>
        <v>0.41100622607248005</v>
      </c>
      <c r="Z31" s="49">
        <f t="shared" si="25"/>
        <v>0.7059605958804781</v>
      </c>
      <c r="AA31" s="49">
        <f t="shared" si="26"/>
        <v>0.30558994213995971</v>
      </c>
      <c r="AB31" s="49">
        <f t="shared" si="27"/>
        <v>0.84762107439027234</v>
      </c>
      <c r="AD31" s="52">
        <f t="shared" si="15"/>
        <v>0.4312050399742911</v>
      </c>
      <c r="AE31" s="53">
        <f>INDEX('доля годы'!$A$2:$L$15,MATCH('cross-sectoral correlation'!$P31,'доля годы'!$A$2:$A$15,0),MATCH('cross-sectoral correlation'!AE$1,'доля годы'!$A$2:$L$2,0))</f>
        <v>3.9561849347496971</v>
      </c>
      <c r="AF31" s="53">
        <f>INDEX('доля годы'!$A$2:$L$15,MATCH('cross-sectoral correlation'!$P31,'доля годы'!$A$2:$A$15,0),MATCH('cross-sectoral correlation'!AF$1,'доля годы'!$A$2:$L$2,0))</f>
        <v>12.42678521583551</v>
      </c>
      <c r="AG31" s="53">
        <f>INDEX('доля годы'!$A$2:$L$15,MATCH('cross-sectoral correlation'!$P31,'доля годы'!$A$2:$A$15,0),MATCH('cross-sectoral correlation'!AG$1,'доля годы'!$A$2:$L$2,0))</f>
        <v>12.387761664756274</v>
      </c>
      <c r="AH31" s="53">
        <f>INDEX('доля годы'!$A$2:$L$15,MATCH('cross-sectoral correlation'!$P31,'доля годы'!$A$2:$A$15,0),MATCH('cross-sectoral correlation'!AH$1,'доля годы'!$A$2:$L$2,0))</f>
        <v>2.6862396553475332</v>
      </c>
      <c r="AI31" s="53">
        <f>INDEX('доля годы'!$A$2:$L$15,MATCH('cross-sectoral correlation'!$P31,'доля годы'!$A$2:$A$15,0),MATCH('cross-sectoral correlation'!AI$1,'доля годы'!$A$2:$L$2,0))</f>
        <v>4.7159063819683276</v>
      </c>
      <c r="AJ31" s="53">
        <f>INDEX('доля годы'!$A$2:$L$15,MATCH('cross-sectoral correlation'!$P31,'доля годы'!$A$2:$A$15,0),MATCH('cross-sectoral correlation'!AJ$1,'доля годы'!$A$2:$L$2,0))</f>
        <v>11.412996560368672</v>
      </c>
      <c r="AK31" s="53">
        <f>INDEX('доля годы'!$A$2:$L$15,MATCH('cross-sectoral correlation'!$P31,'доля годы'!$A$2:$A$15,0),MATCH('cross-sectoral correlation'!AK$1,'доля годы'!$A$2:$L$2,0))</f>
        <v>5.9696489816386862</v>
      </c>
      <c r="AL31" s="53">
        <f>INDEX('доля годы'!$A$2:$L$15,MATCH('cross-sectoral correlation'!$P31,'доля годы'!$A$2:$A$15,0),MATCH('cross-sectoral correlation'!AL$1,'доля годы'!$A$2:$L$2,0))</f>
        <v>3.5104076153194899</v>
      </c>
      <c r="AM31" s="53">
        <f>INDEX('доля годы'!$A$2:$L$15,MATCH('cross-sectoral correlation'!$P31,'доля годы'!$A$2:$A$15,0),MATCH('cross-sectoral correlation'!AM$1,'доля годы'!$A$2:$L$2,0))</f>
        <v>9.2851446731427103</v>
      </c>
      <c r="AN31" s="53">
        <f>INDEX('доля годы'!$A$2:$L$15,MATCH('cross-sectoral correlation'!$P31,'доля годы'!$A$2:$A$15,0),MATCH('cross-sectoral correlation'!AN$1,'доля годы'!$A$2:$L$2,0))</f>
        <v>22.495276062468651</v>
      </c>
      <c r="AO31" s="53">
        <f>INDEX('доля годы'!$A$2:$L$15,MATCH('cross-sectoral correlation'!$P31,'доля годы'!$A$2:$A$15,0),MATCH('cross-sectoral correlation'!AO$1,'доля годы'!$A$2:$L$2,0))</f>
        <v>11.153648254404448</v>
      </c>
    </row>
    <row r="32" spans="1:41" x14ac:dyDescent="0.2">
      <c r="A32" s="35">
        <f t="shared" si="0"/>
        <v>43344</v>
      </c>
      <c r="B32" s="49">
        <f>QoQ!B31</f>
        <v>0.28044755952336686</v>
      </c>
      <c r="C32" s="49">
        <f>QoQ!C31</f>
        <v>0.55335814243279913</v>
      </c>
      <c r="D32" s="49">
        <f>QoQ!D31</f>
        <v>2.8975035876522384</v>
      </c>
      <c r="E32" s="49">
        <f>QoQ!E31</f>
        <v>0.745591243125304</v>
      </c>
      <c r="F32" s="49">
        <f>QoQ!F31</f>
        <v>1.0727650887421021</v>
      </c>
      <c r="G32" s="49">
        <f>QoQ!G31</f>
        <v>6.2623580661154961</v>
      </c>
      <c r="H32" s="49">
        <f>QoQ!H31</f>
        <v>-0.26039494836132349</v>
      </c>
      <c r="I32" s="49">
        <f>QoQ!I31</f>
        <v>0.76038752754917027</v>
      </c>
      <c r="J32" s="49">
        <f>QoQ!J31</f>
        <v>1.2927218399658074</v>
      </c>
      <c r="K32" s="49">
        <f>QoQ!K31</f>
        <v>0.65151673042045388</v>
      </c>
      <c r="L32" s="49">
        <f>QoQ!L31</f>
        <v>-0.52931063529717903</v>
      </c>
      <c r="M32" s="49">
        <f>QoQ!M31</f>
        <v>-0.36630954528203574</v>
      </c>
      <c r="O32" s="35">
        <v>43344</v>
      </c>
      <c r="P32" s="50">
        <f t="shared" si="2"/>
        <v>2018</v>
      </c>
      <c r="Q32" s="49">
        <f t="shared" si="16"/>
        <v>1</v>
      </c>
      <c r="R32" s="49">
        <f t="shared" si="17"/>
        <v>-1.8067506593647219E-2</v>
      </c>
      <c r="S32" s="49">
        <f t="shared" si="18"/>
        <v>0.4977047258687553</v>
      </c>
      <c r="T32" s="49">
        <f t="shared" si="19"/>
        <v>0.58506418822354855</v>
      </c>
      <c r="U32" s="49">
        <f t="shared" si="20"/>
        <v>0.4680232065709457</v>
      </c>
      <c r="V32" s="49">
        <f t="shared" si="21"/>
        <v>-0.5661042049370405</v>
      </c>
      <c r="W32" s="49">
        <f t="shared" si="22"/>
        <v>0.1331478114817404</v>
      </c>
      <c r="X32" s="49">
        <f t="shared" si="23"/>
        <v>0.74905913121839951</v>
      </c>
      <c r="Y32" s="49">
        <f t="shared" si="24"/>
        <v>0.28584909780640338</v>
      </c>
      <c r="Z32" s="49">
        <f t="shared" si="25"/>
        <v>0.67468551606055049</v>
      </c>
      <c r="AA32" s="49">
        <f t="shared" si="26"/>
        <v>0.24822856176681055</v>
      </c>
      <c r="AB32" s="49">
        <f t="shared" si="27"/>
        <v>0.78671433509654154</v>
      </c>
      <c r="AD32" s="52">
        <f t="shared" si="15"/>
        <v>0.39566495181865768</v>
      </c>
      <c r="AE32" s="53">
        <f>INDEX('доля годы'!$A$2:$L$15,MATCH('cross-sectoral correlation'!$P32,'доля годы'!$A$2:$A$15,0),MATCH('cross-sectoral correlation'!AE$1,'доля годы'!$A$2:$L$2,0))</f>
        <v>3.9561849347496971</v>
      </c>
      <c r="AF32" s="53">
        <f>INDEX('доля годы'!$A$2:$L$15,MATCH('cross-sectoral correlation'!$P32,'доля годы'!$A$2:$A$15,0),MATCH('cross-sectoral correlation'!AF$1,'доля годы'!$A$2:$L$2,0))</f>
        <v>12.42678521583551</v>
      </c>
      <c r="AG32" s="53">
        <f>INDEX('доля годы'!$A$2:$L$15,MATCH('cross-sectoral correlation'!$P32,'доля годы'!$A$2:$A$15,0),MATCH('cross-sectoral correlation'!AG$1,'доля годы'!$A$2:$L$2,0))</f>
        <v>12.387761664756274</v>
      </c>
      <c r="AH32" s="53">
        <f>INDEX('доля годы'!$A$2:$L$15,MATCH('cross-sectoral correlation'!$P32,'доля годы'!$A$2:$A$15,0),MATCH('cross-sectoral correlation'!AH$1,'доля годы'!$A$2:$L$2,0))</f>
        <v>2.6862396553475332</v>
      </c>
      <c r="AI32" s="53">
        <f>INDEX('доля годы'!$A$2:$L$15,MATCH('cross-sectoral correlation'!$P32,'доля годы'!$A$2:$A$15,0),MATCH('cross-sectoral correlation'!AI$1,'доля годы'!$A$2:$L$2,0))</f>
        <v>4.7159063819683276</v>
      </c>
      <c r="AJ32" s="53">
        <f>INDEX('доля годы'!$A$2:$L$15,MATCH('cross-sectoral correlation'!$P32,'доля годы'!$A$2:$A$15,0),MATCH('cross-sectoral correlation'!AJ$1,'доля годы'!$A$2:$L$2,0))</f>
        <v>11.412996560368672</v>
      </c>
      <c r="AK32" s="53">
        <f>INDEX('доля годы'!$A$2:$L$15,MATCH('cross-sectoral correlation'!$P32,'доля годы'!$A$2:$A$15,0),MATCH('cross-sectoral correlation'!AK$1,'доля годы'!$A$2:$L$2,0))</f>
        <v>5.9696489816386862</v>
      </c>
      <c r="AL32" s="53">
        <f>INDEX('доля годы'!$A$2:$L$15,MATCH('cross-sectoral correlation'!$P32,'доля годы'!$A$2:$A$15,0),MATCH('cross-sectoral correlation'!AL$1,'доля годы'!$A$2:$L$2,0))</f>
        <v>3.5104076153194899</v>
      </c>
      <c r="AM32" s="53">
        <f>INDEX('доля годы'!$A$2:$L$15,MATCH('cross-sectoral correlation'!$P32,'доля годы'!$A$2:$A$15,0),MATCH('cross-sectoral correlation'!AM$1,'доля годы'!$A$2:$L$2,0))</f>
        <v>9.2851446731427103</v>
      </c>
      <c r="AN32" s="53">
        <f>INDEX('доля годы'!$A$2:$L$15,MATCH('cross-sectoral correlation'!$P32,'доля годы'!$A$2:$A$15,0),MATCH('cross-sectoral correlation'!AN$1,'доля годы'!$A$2:$L$2,0))</f>
        <v>22.495276062468651</v>
      </c>
      <c r="AO32" s="53">
        <f>INDEX('доля годы'!$A$2:$L$15,MATCH('cross-sectoral correlation'!$P32,'доля годы'!$A$2:$A$15,0),MATCH('cross-sectoral correlation'!AO$1,'доля годы'!$A$2:$L$2,0))</f>
        <v>11.153648254404448</v>
      </c>
    </row>
    <row r="33" spans="1:41" x14ac:dyDescent="0.2">
      <c r="A33" s="35">
        <f t="shared" si="0"/>
        <v>43435</v>
      </c>
      <c r="B33" s="49">
        <f>QoQ!B32</f>
        <v>0.42318583052511372</v>
      </c>
      <c r="C33" s="49">
        <f>QoQ!C32</f>
        <v>1.7710198165048041E-2</v>
      </c>
      <c r="D33" s="49">
        <f>QoQ!D32</f>
        <v>-0.23923380212127654</v>
      </c>
      <c r="E33" s="49">
        <f>QoQ!E32</f>
        <v>-1.0267157925434134</v>
      </c>
      <c r="F33" s="49">
        <f>QoQ!F32</f>
        <v>8.4634486732355185E-2</v>
      </c>
      <c r="G33" s="49">
        <f>QoQ!G32</f>
        <v>-2.5852390575291508</v>
      </c>
      <c r="H33" s="49">
        <f>QoQ!H32</f>
        <v>-2.2593750807413926</v>
      </c>
      <c r="I33" s="49">
        <f>QoQ!I32</f>
        <v>0.5663118451257958</v>
      </c>
      <c r="J33" s="49">
        <f>QoQ!J32</f>
        <v>2.3635311811346753</v>
      </c>
      <c r="K33" s="49">
        <f>QoQ!K32</f>
        <v>0.46157603452125784</v>
      </c>
      <c r="L33" s="49">
        <f>QoQ!L32</f>
        <v>1.7937386572792917</v>
      </c>
      <c r="M33" s="49">
        <f>QoQ!M32</f>
        <v>0.34658804740456617</v>
      </c>
      <c r="O33" s="35">
        <v>43435</v>
      </c>
      <c r="P33" s="50">
        <f t="shared" si="2"/>
        <v>2018</v>
      </c>
      <c r="Q33" s="49">
        <f t="shared" si="16"/>
        <v>1.0000000000000002</v>
      </c>
      <c r="R33" s="49">
        <f t="shared" si="17"/>
        <v>0.25147295980134721</v>
      </c>
      <c r="S33" s="49">
        <f t="shared" si="18"/>
        <v>0.48181272491990496</v>
      </c>
      <c r="T33" s="49">
        <f t="shared" si="19"/>
        <v>0.56901978407869724</v>
      </c>
      <c r="U33" s="49">
        <f t="shared" si="20"/>
        <v>0.43099846309806483</v>
      </c>
      <c r="V33" s="49">
        <f t="shared" si="21"/>
        <v>-0.59176060980161083</v>
      </c>
      <c r="W33" s="49">
        <f t="shared" si="22"/>
        <v>0.37991624039731881</v>
      </c>
      <c r="X33" s="49">
        <f t="shared" si="23"/>
        <v>0.73432318125425866</v>
      </c>
      <c r="Y33" s="49">
        <f t="shared" si="24"/>
        <v>0.44870494626342128</v>
      </c>
      <c r="Z33" s="49">
        <f t="shared" si="25"/>
        <v>0.73545143974229521</v>
      </c>
      <c r="AA33" s="49">
        <f t="shared" si="26"/>
        <v>7.2712760973655324E-2</v>
      </c>
      <c r="AB33" s="49">
        <f t="shared" si="27"/>
        <v>0.77916755335101473</v>
      </c>
      <c r="AD33" s="52">
        <f t="shared" si="15"/>
        <v>0.39848014883416766</v>
      </c>
      <c r="AE33" s="53">
        <f>INDEX('доля годы'!$A$2:$L$15,MATCH('cross-sectoral correlation'!$P33,'доля годы'!$A$2:$A$15,0),MATCH('cross-sectoral correlation'!AE$1,'доля годы'!$A$2:$L$2,0))</f>
        <v>3.9561849347496971</v>
      </c>
      <c r="AF33" s="53">
        <f>INDEX('доля годы'!$A$2:$L$15,MATCH('cross-sectoral correlation'!$P33,'доля годы'!$A$2:$A$15,0),MATCH('cross-sectoral correlation'!AF$1,'доля годы'!$A$2:$L$2,0))</f>
        <v>12.42678521583551</v>
      </c>
      <c r="AG33" s="53">
        <f>INDEX('доля годы'!$A$2:$L$15,MATCH('cross-sectoral correlation'!$P33,'доля годы'!$A$2:$A$15,0),MATCH('cross-sectoral correlation'!AG$1,'доля годы'!$A$2:$L$2,0))</f>
        <v>12.387761664756274</v>
      </c>
      <c r="AH33" s="53">
        <f>INDEX('доля годы'!$A$2:$L$15,MATCH('cross-sectoral correlation'!$P33,'доля годы'!$A$2:$A$15,0),MATCH('cross-sectoral correlation'!AH$1,'доля годы'!$A$2:$L$2,0))</f>
        <v>2.6862396553475332</v>
      </c>
      <c r="AI33" s="53">
        <f>INDEX('доля годы'!$A$2:$L$15,MATCH('cross-sectoral correlation'!$P33,'доля годы'!$A$2:$A$15,0),MATCH('cross-sectoral correlation'!AI$1,'доля годы'!$A$2:$L$2,0))</f>
        <v>4.7159063819683276</v>
      </c>
      <c r="AJ33" s="53">
        <f>INDEX('доля годы'!$A$2:$L$15,MATCH('cross-sectoral correlation'!$P33,'доля годы'!$A$2:$A$15,0),MATCH('cross-sectoral correlation'!AJ$1,'доля годы'!$A$2:$L$2,0))</f>
        <v>11.412996560368672</v>
      </c>
      <c r="AK33" s="53">
        <f>INDEX('доля годы'!$A$2:$L$15,MATCH('cross-sectoral correlation'!$P33,'доля годы'!$A$2:$A$15,0),MATCH('cross-sectoral correlation'!AK$1,'доля годы'!$A$2:$L$2,0))</f>
        <v>5.9696489816386862</v>
      </c>
      <c r="AL33" s="53">
        <f>INDEX('доля годы'!$A$2:$L$15,MATCH('cross-sectoral correlation'!$P33,'доля годы'!$A$2:$A$15,0),MATCH('cross-sectoral correlation'!AL$1,'доля годы'!$A$2:$L$2,0))</f>
        <v>3.5104076153194899</v>
      </c>
      <c r="AM33" s="53">
        <f>INDEX('доля годы'!$A$2:$L$15,MATCH('cross-sectoral correlation'!$P33,'доля годы'!$A$2:$A$15,0),MATCH('cross-sectoral correlation'!AM$1,'доля годы'!$A$2:$L$2,0))</f>
        <v>9.2851446731427103</v>
      </c>
      <c r="AN33" s="53">
        <f>INDEX('доля годы'!$A$2:$L$15,MATCH('cross-sectoral correlation'!$P33,'доля годы'!$A$2:$A$15,0),MATCH('cross-sectoral correlation'!AN$1,'доля годы'!$A$2:$L$2,0))</f>
        <v>22.495276062468651</v>
      </c>
      <c r="AO33" s="53">
        <f>INDEX('доля годы'!$A$2:$L$15,MATCH('cross-sectoral correlation'!$P33,'доля годы'!$A$2:$A$15,0),MATCH('cross-sectoral correlation'!AO$1,'доля годы'!$A$2:$L$2,0))</f>
        <v>11.153648254404448</v>
      </c>
    </row>
    <row r="34" spans="1:41" x14ac:dyDescent="0.2">
      <c r="A34" s="35">
        <f t="shared" si="0"/>
        <v>43525</v>
      </c>
      <c r="B34" s="49">
        <f>QoQ!B33</f>
        <v>0.38571886716034953</v>
      </c>
      <c r="C34" s="49">
        <f>QoQ!C33</f>
        <v>0.74095054802482707</v>
      </c>
      <c r="D34" s="49">
        <f>QoQ!D33</f>
        <v>0.89096531747452445</v>
      </c>
      <c r="E34" s="49">
        <f>QoQ!E33</f>
        <v>1.2731992687793507</v>
      </c>
      <c r="F34" s="49">
        <f>QoQ!F33</f>
        <v>-0.32062179786660749</v>
      </c>
      <c r="G34" s="49">
        <f>QoQ!G33</f>
        <v>-4.5546871485260851</v>
      </c>
      <c r="H34" s="49">
        <f>QoQ!H33</f>
        <v>-2.7702238981622003</v>
      </c>
      <c r="I34" s="49">
        <f>QoQ!I33</f>
        <v>6.3855049943157383E-2</v>
      </c>
      <c r="J34" s="49">
        <f>QoQ!J33</f>
        <v>3.4317727633071229</v>
      </c>
      <c r="K34" s="49">
        <f>QoQ!K33</f>
        <v>1.0871965702051085</v>
      </c>
      <c r="L34" s="49">
        <f>QoQ!L33</f>
        <v>1.4834700024290584</v>
      </c>
      <c r="M34" s="49">
        <f>QoQ!M33</f>
        <v>1.1411759628681608</v>
      </c>
      <c r="O34" s="35">
        <v>43525</v>
      </c>
      <c r="P34" s="50">
        <f t="shared" si="2"/>
        <v>2019</v>
      </c>
      <c r="Q34" s="49">
        <f t="shared" si="16"/>
        <v>0.99999999999999989</v>
      </c>
      <c r="R34" s="49">
        <f t="shared" si="17"/>
        <v>0.60171754640576158</v>
      </c>
      <c r="S34" s="49">
        <f t="shared" si="18"/>
        <v>0.46152786959925313</v>
      </c>
      <c r="T34" s="49">
        <f t="shared" si="19"/>
        <v>0.5612828029368262</v>
      </c>
      <c r="U34" s="49">
        <f t="shared" si="20"/>
        <v>0.3963768639449225</v>
      </c>
      <c r="V34" s="49">
        <f t="shared" si="21"/>
        <v>-0.64669388756087187</v>
      </c>
      <c r="W34" s="49">
        <f t="shared" si="22"/>
        <v>0.58326187830199161</v>
      </c>
      <c r="X34" s="49">
        <f t="shared" si="23"/>
        <v>0.80784731711244806</v>
      </c>
      <c r="Y34" s="49">
        <f t="shared" si="24"/>
        <v>0.2902080474571887</v>
      </c>
      <c r="Z34" s="49">
        <f t="shared" si="25"/>
        <v>0.64853197846903654</v>
      </c>
      <c r="AA34" s="49">
        <f t="shared" si="26"/>
        <v>-8.8431877708024242E-2</v>
      </c>
      <c r="AB34" s="49">
        <f t="shared" si="27"/>
        <v>0.6627177997944147</v>
      </c>
      <c r="AD34" s="52">
        <f t="shared" si="15"/>
        <v>0.37167080337968605</v>
      </c>
      <c r="AE34" s="53">
        <f>INDEX('доля годы'!$A$2:$L$15,MATCH('cross-sectoral correlation'!$P34,'доля годы'!$A$2:$A$15,0),MATCH('cross-sectoral correlation'!AE$1,'доля годы'!$A$2:$L$2,0))</f>
        <v>4.0048717121595603</v>
      </c>
      <c r="AF34" s="53">
        <f>INDEX('доля годы'!$A$2:$L$15,MATCH('cross-sectoral correlation'!$P34,'доля годы'!$A$2:$A$15,0),MATCH('cross-sectoral correlation'!AF$1,'доля годы'!$A$2:$L$2,0))</f>
        <v>12.466220774667139</v>
      </c>
      <c r="AG34" s="53">
        <f>INDEX('доля годы'!$A$2:$L$15,MATCH('cross-sectoral correlation'!$P34,'доля годы'!$A$2:$A$15,0),MATCH('cross-sectoral correlation'!AG$1,'доля годы'!$A$2:$L$2,0))</f>
        <v>12.468915013532561</v>
      </c>
      <c r="AH34" s="53">
        <f>INDEX('доля годы'!$A$2:$L$15,MATCH('cross-sectoral correlation'!$P34,'доля годы'!$A$2:$A$15,0),MATCH('cross-sectoral correlation'!AH$1,'доля годы'!$A$2:$L$2,0))</f>
        <v>2.6194924607080958</v>
      </c>
      <c r="AI34" s="53">
        <f>INDEX('доля годы'!$A$2:$L$15,MATCH('cross-sectoral correlation'!$P34,'доля годы'!$A$2:$A$15,0),MATCH('cross-sectoral correlation'!AI$1,'доля годы'!$A$2:$L$2,0))</f>
        <v>4.529719022300787</v>
      </c>
      <c r="AJ34" s="53">
        <f>INDEX('доля годы'!$A$2:$L$15,MATCH('cross-sectoral correlation'!$P34,'доля годы'!$A$2:$A$15,0),MATCH('cross-sectoral correlation'!AJ$1,'доля годы'!$A$2:$L$2,0))</f>
        <v>11.193434683418033</v>
      </c>
      <c r="AK34" s="53">
        <f>INDEX('доля годы'!$A$2:$L$15,MATCH('cross-sectoral correlation'!$P34,'доля годы'!$A$2:$A$15,0),MATCH('cross-sectoral correlation'!AK$1,'доля годы'!$A$2:$L$2,0))</f>
        <v>5.9392257159407515</v>
      </c>
      <c r="AL34" s="53">
        <f>INDEX('доля годы'!$A$2:$L$15,MATCH('cross-sectoral correlation'!$P34,'доля годы'!$A$2:$A$15,0),MATCH('cross-sectoral correlation'!AL$1,'доля годы'!$A$2:$L$2,0))</f>
        <v>3.8472377733942151</v>
      </c>
      <c r="AM34" s="53">
        <f>INDEX('доля годы'!$A$2:$L$15,MATCH('cross-sectoral correlation'!$P34,'доля годы'!$A$2:$A$15,0),MATCH('cross-sectoral correlation'!AM$1,'доля годы'!$A$2:$L$2,0))</f>
        <v>9.3247301829631208</v>
      </c>
      <c r="AN34" s="53">
        <f>INDEX('доля годы'!$A$2:$L$15,MATCH('cross-sectoral correlation'!$P34,'доля годы'!$A$2:$A$15,0),MATCH('cross-sectoral correlation'!AN$1,'доля годы'!$A$2:$L$2,0))</f>
        <v>22.453252874326338</v>
      </c>
      <c r="AO34" s="53">
        <f>INDEX('доля годы'!$A$2:$L$15,MATCH('cross-sectoral correlation'!$P34,'доля годы'!$A$2:$A$15,0),MATCH('cross-sectoral correlation'!AO$1,'доля годы'!$A$2:$L$2,0))</f>
        <v>11.152899786589396</v>
      </c>
    </row>
    <row r="35" spans="1:41" x14ac:dyDescent="0.2">
      <c r="A35" s="35">
        <f t="shared" si="0"/>
        <v>43617</v>
      </c>
      <c r="B35" s="49">
        <f>QoQ!B34</f>
        <v>0.71199124322474461</v>
      </c>
      <c r="C35" s="49">
        <f>QoQ!C34</f>
        <v>0.11341172455684045</v>
      </c>
      <c r="D35" s="49">
        <f>QoQ!D34</f>
        <v>-0.99732552740393032</v>
      </c>
      <c r="E35" s="49">
        <f>QoQ!E34</f>
        <v>3.7630966720189747</v>
      </c>
      <c r="F35" s="49">
        <f>QoQ!F34</f>
        <v>0.2831850260322426</v>
      </c>
      <c r="G35" s="49">
        <f>QoQ!G34</f>
        <v>-5.7979846843934979E-2</v>
      </c>
      <c r="H35" s="49">
        <f>QoQ!H34</f>
        <v>3.5318695953421013</v>
      </c>
      <c r="I35" s="49">
        <f>QoQ!I34</f>
        <v>0.92629287606951038</v>
      </c>
      <c r="J35" s="49">
        <f>QoQ!J34</f>
        <v>2.8209892932016487</v>
      </c>
      <c r="K35" s="49">
        <f>QoQ!K34</f>
        <v>0.44524349600261814</v>
      </c>
      <c r="L35" s="49">
        <f>QoQ!L34</f>
        <v>-1.323371160111904</v>
      </c>
      <c r="M35" s="49">
        <f>QoQ!M34</f>
        <v>-0.13269266698019067</v>
      </c>
      <c r="O35" s="35">
        <v>43617</v>
      </c>
      <c r="P35" s="50">
        <f t="shared" si="2"/>
        <v>2019</v>
      </c>
      <c r="Q35" s="49">
        <f t="shared" si="16"/>
        <v>0.99999999999999989</v>
      </c>
      <c r="R35" s="49">
        <f t="shared" si="17"/>
        <v>0.59543467883779888</v>
      </c>
      <c r="S35" s="49">
        <f t="shared" si="18"/>
        <v>0.38001672179727924</v>
      </c>
      <c r="T35" s="49">
        <f t="shared" si="19"/>
        <v>0.532062631499853</v>
      </c>
      <c r="U35" s="49">
        <f t="shared" si="20"/>
        <v>0.41894811898106832</v>
      </c>
      <c r="V35" s="49">
        <f t="shared" si="21"/>
        <v>-0.66478214220078591</v>
      </c>
      <c r="W35" s="49">
        <f t="shared" si="22"/>
        <v>0.52239806294326652</v>
      </c>
      <c r="X35" s="49">
        <f t="shared" si="23"/>
        <v>0.88617631409376119</v>
      </c>
      <c r="Y35" s="49">
        <f t="shared" si="24"/>
        <v>0.36677193675119751</v>
      </c>
      <c r="Z35" s="49">
        <f t="shared" si="25"/>
        <v>0.64259660769558968</v>
      </c>
      <c r="AA35" s="49">
        <f t="shared" si="26"/>
        <v>-0.13654039168939056</v>
      </c>
      <c r="AB35" s="49">
        <f t="shared" si="27"/>
        <v>0.56847974953214586</v>
      </c>
      <c r="AD35" s="52">
        <f t="shared" si="15"/>
        <v>0.3363056102907836</v>
      </c>
      <c r="AE35" s="53">
        <f>INDEX('доля годы'!$A$2:$L$15,MATCH('cross-sectoral correlation'!$P35,'доля годы'!$A$2:$A$15,0),MATCH('cross-sectoral correlation'!AE$1,'доля годы'!$A$2:$L$2,0))</f>
        <v>4.0048717121595603</v>
      </c>
      <c r="AF35" s="53">
        <f>INDEX('доля годы'!$A$2:$L$15,MATCH('cross-sectoral correlation'!$P35,'доля годы'!$A$2:$A$15,0),MATCH('cross-sectoral correlation'!AF$1,'доля годы'!$A$2:$L$2,0))</f>
        <v>12.466220774667139</v>
      </c>
      <c r="AG35" s="53">
        <f>INDEX('доля годы'!$A$2:$L$15,MATCH('cross-sectoral correlation'!$P35,'доля годы'!$A$2:$A$15,0),MATCH('cross-sectoral correlation'!AG$1,'доля годы'!$A$2:$L$2,0))</f>
        <v>12.468915013532561</v>
      </c>
      <c r="AH35" s="53">
        <f>INDEX('доля годы'!$A$2:$L$15,MATCH('cross-sectoral correlation'!$P35,'доля годы'!$A$2:$A$15,0),MATCH('cross-sectoral correlation'!AH$1,'доля годы'!$A$2:$L$2,0))</f>
        <v>2.6194924607080958</v>
      </c>
      <c r="AI35" s="53">
        <f>INDEX('доля годы'!$A$2:$L$15,MATCH('cross-sectoral correlation'!$P35,'доля годы'!$A$2:$A$15,0),MATCH('cross-sectoral correlation'!AI$1,'доля годы'!$A$2:$L$2,0))</f>
        <v>4.529719022300787</v>
      </c>
      <c r="AJ35" s="53">
        <f>INDEX('доля годы'!$A$2:$L$15,MATCH('cross-sectoral correlation'!$P35,'доля годы'!$A$2:$A$15,0),MATCH('cross-sectoral correlation'!AJ$1,'доля годы'!$A$2:$L$2,0))</f>
        <v>11.193434683418033</v>
      </c>
      <c r="AK35" s="53">
        <f>INDEX('доля годы'!$A$2:$L$15,MATCH('cross-sectoral correlation'!$P35,'доля годы'!$A$2:$A$15,0),MATCH('cross-sectoral correlation'!AK$1,'доля годы'!$A$2:$L$2,0))</f>
        <v>5.9392257159407515</v>
      </c>
      <c r="AL35" s="53">
        <f>INDEX('доля годы'!$A$2:$L$15,MATCH('cross-sectoral correlation'!$P35,'доля годы'!$A$2:$A$15,0),MATCH('cross-sectoral correlation'!AL$1,'доля годы'!$A$2:$L$2,0))</f>
        <v>3.8472377733942151</v>
      </c>
      <c r="AM35" s="53">
        <f>INDEX('доля годы'!$A$2:$L$15,MATCH('cross-sectoral correlation'!$P35,'доля годы'!$A$2:$A$15,0),MATCH('cross-sectoral correlation'!AM$1,'доля годы'!$A$2:$L$2,0))</f>
        <v>9.3247301829631208</v>
      </c>
      <c r="AN35" s="53">
        <f>INDEX('доля годы'!$A$2:$L$15,MATCH('cross-sectoral correlation'!$P35,'доля годы'!$A$2:$A$15,0),MATCH('cross-sectoral correlation'!AN$1,'доля годы'!$A$2:$L$2,0))</f>
        <v>22.453252874326338</v>
      </c>
      <c r="AO35" s="53">
        <f>INDEX('доля годы'!$A$2:$L$15,MATCH('cross-sectoral correlation'!$P35,'доля годы'!$A$2:$A$15,0),MATCH('cross-sectoral correlation'!AO$1,'доля годы'!$A$2:$L$2,0))</f>
        <v>11.152899786589396</v>
      </c>
    </row>
    <row r="36" spans="1:41" x14ac:dyDescent="0.2">
      <c r="A36" s="35">
        <f t="shared" si="0"/>
        <v>43709</v>
      </c>
      <c r="B36" s="49">
        <f>QoQ!B35</f>
        <v>1.3820959487208455</v>
      </c>
      <c r="C36" s="49">
        <f>QoQ!C35</f>
        <v>0.48365500156964458</v>
      </c>
      <c r="D36" s="49">
        <f>QoQ!D35</f>
        <v>2.3622604606875655</v>
      </c>
      <c r="E36" s="49">
        <f>QoQ!E35</f>
        <v>1.7722038901039099</v>
      </c>
      <c r="F36" s="49">
        <f>QoQ!F35</f>
        <v>-0.32335563121891653</v>
      </c>
      <c r="G36" s="49">
        <f>QoQ!G35</f>
        <v>5.9350540710278068</v>
      </c>
      <c r="H36" s="49">
        <f>QoQ!H35</f>
        <v>3.1765153858348754</v>
      </c>
      <c r="I36" s="49">
        <f>QoQ!I35</f>
        <v>7.2449737359846722E-2</v>
      </c>
      <c r="J36" s="49">
        <f>QoQ!J35</f>
        <v>3.4134702760404707</v>
      </c>
      <c r="K36" s="49">
        <f>QoQ!K35</f>
        <v>0.85163356405242041</v>
      </c>
      <c r="L36" s="49">
        <f>QoQ!L35</f>
        <v>2.2006317449034611</v>
      </c>
      <c r="M36" s="49">
        <f>QoQ!M35</f>
        <v>1.0514211352474803</v>
      </c>
      <c r="O36" s="35">
        <v>43709</v>
      </c>
      <c r="P36" s="50">
        <f t="shared" si="2"/>
        <v>2019</v>
      </c>
      <c r="Q36" s="49">
        <f t="shared" si="16"/>
        <v>0.99999999999999978</v>
      </c>
      <c r="R36" s="49">
        <f t="shared" si="17"/>
        <v>0.61479531923495234</v>
      </c>
      <c r="S36" s="49">
        <f t="shared" si="18"/>
        <v>0.51475064731433728</v>
      </c>
      <c r="T36" s="49">
        <f t="shared" si="19"/>
        <v>0.55569306863854762</v>
      </c>
      <c r="U36" s="49">
        <f t="shared" si="20"/>
        <v>0.33216944193210202</v>
      </c>
      <c r="V36" s="49">
        <f t="shared" si="21"/>
        <v>-0.25993351987378416</v>
      </c>
      <c r="W36" s="49">
        <f t="shared" si="22"/>
        <v>0.6394235449237673</v>
      </c>
      <c r="X36" s="49">
        <f t="shared" si="23"/>
        <v>0.53668567780289278</v>
      </c>
      <c r="Y36" s="49">
        <f t="shared" si="24"/>
        <v>0.59352432254681009</v>
      </c>
      <c r="Z36" s="49">
        <f t="shared" si="25"/>
        <v>0.6605417782472095</v>
      </c>
      <c r="AA36" s="49">
        <f t="shared" si="26"/>
        <v>0.1376199961073267</v>
      </c>
      <c r="AB36" s="49">
        <f t="shared" si="27"/>
        <v>0.63405480776400114</v>
      </c>
      <c r="AD36" s="52">
        <f t="shared" si="15"/>
        <v>0.44449963199218301</v>
      </c>
      <c r="AE36" s="53">
        <f>INDEX('доля годы'!$A$2:$L$15,MATCH('cross-sectoral correlation'!$P36,'доля годы'!$A$2:$A$15,0),MATCH('cross-sectoral correlation'!AE$1,'доля годы'!$A$2:$L$2,0))</f>
        <v>4.0048717121595603</v>
      </c>
      <c r="AF36" s="53">
        <f>INDEX('доля годы'!$A$2:$L$15,MATCH('cross-sectoral correlation'!$P36,'доля годы'!$A$2:$A$15,0),MATCH('cross-sectoral correlation'!AF$1,'доля годы'!$A$2:$L$2,0))</f>
        <v>12.466220774667139</v>
      </c>
      <c r="AG36" s="53">
        <f>INDEX('доля годы'!$A$2:$L$15,MATCH('cross-sectoral correlation'!$P36,'доля годы'!$A$2:$A$15,0),MATCH('cross-sectoral correlation'!AG$1,'доля годы'!$A$2:$L$2,0))</f>
        <v>12.468915013532561</v>
      </c>
      <c r="AH36" s="53">
        <f>INDEX('доля годы'!$A$2:$L$15,MATCH('cross-sectoral correlation'!$P36,'доля годы'!$A$2:$A$15,0),MATCH('cross-sectoral correlation'!AH$1,'доля годы'!$A$2:$L$2,0))</f>
        <v>2.6194924607080958</v>
      </c>
      <c r="AI36" s="53">
        <f>INDEX('доля годы'!$A$2:$L$15,MATCH('cross-sectoral correlation'!$P36,'доля годы'!$A$2:$A$15,0),MATCH('cross-sectoral correlation'!AI$1,'доля годы'!$A$2:$L$2,0))</f>
        <v>4.529719022300787</v>
      </c>
      <c r="AJ36" s="53">
        <f>INDEX('доля годы'!$A$2:$L$15,MATCH('cross-sectoral correlation'!$P36,'доля годы'!$A$2:$A$15,0),MATCH('cross-sectoral correlation'!AJ$1,'доля годы'!$A$2:$L$2,0))</f>
        <v>11.193434683418033</v>
      </c>
      <c r="AK36" s="53">
        <f>INDEX('доля годы'!$A$2:$L$15,MATCH('cross-sectoral correlation'!$P36,'доля годы'!$A$2:$A$15,0),MATCH('cross-sectoral correlation'!AK$1,'доля годы'!$A$2:$L$2,0))</f>
        <v>5.9392257159407515</v>
      </c>
      <c r="AL36" s="53">
        <f>INDEX('доля годы'!$A$2:$L$15,MATCH('cross-sectoral correlation'!$P36,'доля годы'!$A$2:$A$15,0),MATCH('cross-sectoral correlation'!AL$1,'доля годы'!$A$2:$L$2,0))</f>
        <v>3.8472377733942151</v>
      </c>
      <c r="AM36" s="53">
        <f>INDEX('доля годы'!$A$2:$L$15,MATCH('cross-sectoral correlation'!$P36,'доля годы'!$A$2:$A$15,0),MATCH('cross-sectoral correlation'!AM$1,'доля годы'!$A$2:$L$2,0))</f>
        <v>9.3247301829631208</v>
      </c>
      <c r="AN36" s="53">
        <f>INDEX('доля годы'!$A$2:$L$15,MATCH('cross-sectoral correlation'!$P36,'доля годы'!$A$2:$A$15,0),MATCH('cross-sectoral correlation'!AN$1,'доля годы'!$A$2:$L$2,0))</f>
        <v>22.453252874326338</v>
      </c>
      <c r="AO36" s="53">
        <f>INDEX('доля годы'!$A$2:$L$15,MATCH('cross-sectoral correlation'!$P36,'доля годы'!$A$2:$A$15,0),MATCH('cross-sectoral correlation'!AO$1,'доля годы'!$A$2:$L$2,0))</f>
        <v>11.152899786589396</v>
      </c>
    </row>
    <row r="37" spans="1:41" x14ac:dyDescent="0.2">
      <c r="A37" s="35">
        <f t="shared" si="0"/>
        <v>43800</v>
      </c>
      <c r="B37" s="49">
        <f>QoQ!B36</f>
        <v>-0.30367353155273236</v>
      </c>
      <c r="C37" s="49">
        <f>QoQ!C36</f>
        <v>0.59256607033285036</v>
      </c>
      <c r="D37" s="49">
        <f>QoQ!D36</f>
        <v>-1.3026451551375686</v>
      </c>
      <c r="E37" s="49">
        <f>QoQ!E36</f>
        <v>-1.0510622898543716</v>
      </c>
      <c r="F37" s="49">
        <f>QoQ!F36</f>
        <v>-2.3554212961383456</v>
      </c>
      <c r="G37" s="49">
        <f>QoQ!G36</f>
        <v>-3.0964783586136519</v>
      </c>
      <c r="H37" s="49">
        <f>QoQ!H36</f>
        <v>1.3180566646332466</v>
      </c>
      <c r="I37" s="49">
        <f>QoQ!I36</f>
        <v>-0.48528211542890176</v>
      </c>
      <c r="J37" s="49">
        <f>QoQ!J36</f>
        <v>3.5146996070043883</v>
      </c>
      <c r="K37" s="49">
        <f>QoQ!K36</f>
        <v>0.4632970403402652</v>
      </c>
      <c r="L37" s="49">
        <f>QoQ!L36</f>
        <v>-0.90309690111749319</v>
      </c>
      <c r="M37" s="49">
        <f>QoQ!M36</f>
        <v>-0.18491516829806187</v>
      </c>
      <c r="O37" s="35">
        <v>43800</v>
      </c>
      <c r="P37" s="50">
        <f t="shared" si="2"/>
        <v>2019</v>
      </c>
      <c r="Q37" s="49">
        <f t="shared" si="16"/>
        <v>1.0000000000000002</v>
      </c>
      <c r="R37" s="49">
        <f t="shared" si="17"/>
        <v>0.28908357977464638</v>
      </c>
      <c r="S37" s="49">
        <f t="shared" si="18"/>
        <v>0.4929707584851995</v>
      </c>
      <c r="T37" s="49">
        <f t="shared" si="19"/>
        <v>0.58837263188618749</v>
      </c>
      <c r="U37" s="49">
        <f t="shared" si="20"/>
        <v>0.6440558663794832</v>
      </c>
      <c r="V37" s="49">
        <f t="shared" si="21"/>
        <v>8.7307712871227725E-2</v>
      </c>
      <c r="W37" s="49">
        <f t="shared" si="22"/>
        <v>0.40158010129095839</v>
      </c>
      <c r="X37" s="49">
        <f t="shared" si="23"/>
        <v>0.59717252867976134</v>
      </c>
      <c r="Y37" s="49">
        <f t="shared" si="24"/>
        <v>0.14278069732360926</v>
      </c>
      <c r="Z37" s="49">
        <f t="shared" si="25"/>
        <v>0.57737751382081071</v>
      </c>
      <c r="AA37" s="49">
        <f t="shared" si="26"/>
        <v>0.47101773646713457</v>
      </c>
      <c r="AB37" s="49">
        <f t="shared" si="27"/>
        <v>0.66177293100309553</v>
      </c>
      <c r="AD37" s="52">
        <f t="shared" si="15"/>
        <v>0.48653743620577977</v>
      </c>
      <c r="AE37" s="53">
        <f>INDEX('доля годы'!$A$2:$L$15,MATCH('cross-sectoral correlation'!$P37,'доля годы'!$A$2:$A$15,0),MATCH('cross-sectoral correlation'!AE$1,'доля годы'!$A$2:$L$2,0))</f>
        <v>4.0048717121595603</v>
      </c>
      <c r="AF37" s="53">
        <f>INDEX('доля годы'!$A$2:$L$15,MATCH('cross-sectoral correlation'!$P37,'доля годы'!$A$2:$A$15,0),MATCH('cross-sectoral correlation'!AF$1,'доля годы'!$A$2:$L$2,0))</f>
        <v>12.466220774667139</v>
      </c>
      <c r="AG37" s="53">
        <f>INDEX('доля годы'!$A$2:$L$15,MATCH('cross-sectoral correlation'!$P37,'доля годы'!$A$2:$A$15,0),MATCH('cross-sectoral correlation'!AG$1,'доля годы'!$A$2:$L$2,0))</f>
        <v>12.468915013532561</v>
      </c>
      <c r="AH37" s="53">
        <f>INDEX('доля годы'!$A$2:$L$15,MATCH('cross-sectoral correlation'!$P37,'доля годы'!$A$2:$A$15,0),MATCH('cross-sectoral correlation'!AH$1,'доля годы'!$A$2:$L$2,0))</f>
        <v>2.6194924607080958</v>
      </c>
      <c r="AI37" s="53">
        <f>INDEX('доля годы'!$A$2:$L$15,MATCH('cross-sectoral correlation'!$P37,'доля годы'!$A$2:$A$15,0),MATCH('cross-sectoral correlation'!AI$1,'доля годы'!$A$2:$L$2,0))</f>
        <v>4.529719022300787</v>
      </c>
      <c r="AJ37" s="53">
        <f>INDEX('доля годы'!$A$2:$L$15,MATCH('cross-sectoral correlation'!$P37,'доля годы'!$A$2:$A$15,0),MATCH('cross-sectoral correlation'!AJ$1,'доля годы'!$A$2:$L$2,0))</f>
        <v>11.193434683418033</v>
      </c>
      <c r="AK37" s="53">
        <f>INDEX('доля годы'!$A$2:$L$15,MATCH('cross-sectoral correlation'!$P37,'доля годы'!$A$2:$A$15,0),MATCH('cross-sectoral correlation'!AK$1,'доля годы'!$A$2:$L$2,0))</f>
        <v>5.9392257159407515</v>
      </c>
      <c r="AL37" s="53">
        <f>INDEX('доля годы'!$A$2:$L$15,MATCH('cross-sectoral correlation'!$P37,'доля годы'!$A$2:$A$15,0),MATCH('cross-sectoral correlation'!AL$1,'доля годы'!$A$2:$L$2,0))</f>
        <v>3.8472377733942151</v>
      </c>
      <c r="AM37" s="53">
        <f>INDEX('доля годы'!$A$2:$L$15,MATCH('cross-sectoral correlation'!$P37,'доля годы'!$A$2:$A$15,0),MATCH('cross-sectoral correlation'!AM$1,'доля годы'!$A$2:$L$2,0))</f>
        <v>9.3247301829631208</v>
      </c>
      <c r="AN37" s="53">
        <f>INDEX('доля годы'!$A$2:$L$15,MATCH('cross-sectoral correlation'!$P37,'доля годы'!$A$2:$A$15,0),MATCH('cross-sectoral correlation'!AN$1,'доля годы'!$A$2:$L$2,0))</f>
        <v>22.453252874326338</v>
      </c>
      <c r="AO37" s="53">
        <f>INDEX('доля годы'!$A$2:$L$15,MATCH('cross-sectoral correlation'!$P37,'доля годы'!$A$2:$A$15,0),MATCH('cross-sectoral correlation'!AO$1,'доля годы'!$A$2:$L$2,0))</f>
        <v>11.152899786589396</v>
      </c>
    </row>
    <row r="38" spans="1:41" x14ac:dyDescent="0.2">
      <c r="A38" s="35">
        <f t="shared" si="0"/>
        <v>43891</v>
      </c>
      <c r="B38" s="49">
        <f>QoQ!B37</f>
        <v>-0.53552654767000263</v>
      </c>
      <c r="C38" s="49">
        <f>QoQ!C37</f>
        <v>0.43694972575775637</v>
      </c>
      <c r="D38" s="49">
        <f>QoQ!D37</f>
        <v>1.4299577634439515</v>
      </c>
      <c r="E38" s="49">
        <f>QoQ!E37</f>
        <v>-0.2762601967922933</v>
      </c>
      <c r="F38" s="49">
        <f>QoQ!F37</f>
        <v>-1.8540495002284274</v>
      </c>
      <c r="G38" s="49">
        <f>QoQ!G37</f>
        <v>-1.0788468908183688</v>
      </c>
      <c r="H38" s="49">
        <f>QoQ!H37</f>
        <v>-2.0297680736310042</v>
      </c>
      <c r="I38" s="49">
        <f>QoQ!I37</f>
        <v>-6.5865825687258024</v>
      </c>
      <c r="J38" s="49">
        <f>QoQ!J37</f>
        <v>2.1535208477513947</v>
      </c>
      <c r="K38" s="49">
        <f>QoQ!K37</f>
        <v>-1.6453529330555767</v>
      </c>
      <c r="L38" s="49">
        <f>QoQ!L37</f>
        <v>-0.38000849143031701</v>
      </c>
      <c r="M38" s="49">
        <f>QoQ!M37</f>
        <v>-0.79386000330144668</v>
      </c>
      <c r="O38" s="35">
        <v>43891</v>
      </c>
      <c r="P38" s="50">
        <f t="shared" si="2"/>
        <v>2020</v>
      </c>
      <c r="Q38" s="49">
        <f t="shared" si="16"/>
        <v>1.0000000000000002</v>
      </c>
      <c r="R38" s="49">
        <f t="shared" si="17"/>
        <v>-0.22916909957657741</v>
      </c>
      <c r="S38" s="49">
        <f t="shared" si="18"/>
        <v>0.26685768465724635</v>
      </c>
      <c r="T38" s="49">
        <f t="shared" si="19"/>
        <v>0.56439430993658979</v>
      </c>
      <c r="U38" s="49">
        <f t="shared" si="20"/>
        <v>0.62361258108178341</v>
      </c>
      <c r="V38" s="49">
        <f t="shared" si="21"/>
        <v>0.50687273997234061</v>
      </c>
      <c r="W38" s="49">
        <f t="shared" si="22"/>
        <v>0.54342665086828223</v>
      </c>
      <c r="X38" s="49">
        <f t="shared" si="23"/>
        <v>0.6543880986548879</v>
      </c>
      <c r="Y38" s="49">
        <f t="shared" si="24"/>
        <v>0.30799117816066224</v>
      </c>
      <c r="Z38" s="49">
        <f t="shared" si="25"/>
        <v>0.65856296204509135</v>
      </c>
      <c r="AA38" s="49">
        <f t="shared" si="26"/>
        <v>0.4750383197309177</v>
      </c>
      <c r="AB38" s="49">
        <f t="shared" si="27"/>
        <v>0.70590462311161883</v>
      </c>
      <c r="AD38" s="52">
        <f t="shared" si="15"/>
        <v>0.48999146108874497</v>
      </c>
      <c r="AE38" s="53">
        <f>INDEX('доля годы'!$A$2:$L$15,MATCH('cross-sectoral correlation'!$P38,'доля годы'!$A$2:$A$15,0),MATCH('cross-sectoral correlation'!AE$1,'доля годы'!$A$2:$L$2,0))</f>
        <v>4.1212936786212335</v>
      </c>
      <c r="AF38" s="53">
        <f>INDEX('доля годы'!$A$2:$L$15,MATCH('cross-sectoral correlation'!$P38,'доля годы'!$A$2:$A$15,0),MATCH('cross-sectoral correlation'!AF$1,'доля годы'!$A$2:$L$2,0))</f>
        <v>11.97114552727316</v>
      </c>
      <c r="AG38" s="53">
        <f>INDEX('доля годы'!$A$2:$L$15,MATCH('cross-sectoral correlation'!$P38,'доля годы'!$A$2:$A$15,0),MATCH('cross-sectoral correlation'!AG$1,'доля годы'!$A$2:$L$2,0))</f>
        <v>12.826874397219687</v>
      </c>
      <c r="AH38" s="53">
        <f>INDEX('доля годы'!$A$2:$L$15,MATCH('cross-sectoral correlation'!$P38,'доля годы'!$A$2:$A$15,0),MATCH('cross-sectoral correlation'!AH$1,'доля годы'!$A$2:$L$2,0))</f>
        <v>2.6231189284451855</v>
      </c>
      <c r="AI38" s="53">
        <f>INDEX('доля годы'!$A$2:$L$15,MATCH('cross-sectoral correlation'!$P38,'доля годы'!$A$2:$A$15,0),MATCH('cross-sectoral correlation'!AI$1,'доля годы'!$A$2:$L$2,0))</f>
        <v>4.4972548546919633</v>
      </c>
      <c r="AJ38" s="53">
        <f>INDEX('доля годы'!$A$2:$L$15,MATCH('cross-sectoral correlation'!$P38,'доля годы'!$A$2:$A$15,0),MATCH('cross-sectoral correlation'!AJ$1,'доля годы'!$A$2:$L$2,0))</f>
        <v>11.347255603726545</v>
      </c>
      <c r="AK38" s="53">
        <f>INDEX('доля годы'!$A$2:$L$15,MATCH('cross-sectoral correlation'!$P38,'доля годы'!$A$2:$A$15,0),MATCH('cross-sectoral correlation'!AK$1,'доля годы'!$A$2:$L$2,0))</f>
        <v>5.4372697125697131</v>
      </c>
      <c r="AL38" s="53">
        <f>INDEX('доля годы'!$A$2:$L$15,MATCH('cross-sectoral correlation'!$P38,'доля годы'!$A$2:$A$15,0),MATCH('cross-sectoral correlation'!AL$1,'доля годы'!$A$2:$L$2,0))</f>
        <v>4.461390048889986</v>
      </c>
      <c r="AM38" s="53">
        <f>INDEX('доля годы'!$A$2:$L$15,MATCH('cross-sectoral correlation'!$P38,'доля годы'!$A$2:$A$15,0),MATCH('cross-sectoral correlation'!AM$1,'доля годы'!$A$2:$L$2,0))</f>
        <v>9.3995592931187861</v>
      </c>
      <c r="AN38" s="53">
        <f>INDEX('доля годы'!$A$2:$L$15,MATCH('cross-sectoral correlation'!$P38,'доля годы'!$A$2:$A$15,0),MATCH('cross-sectoral correlation'!AN$1,'доля годы'!$A$2:$L$2,0))</f>
        <v>22.574051857151449</v>
      </c>
      <c r="AO38" s="53">
        <f>INDEX('доля годы'!$A$2:$L$15,MATCH('cross-sectoral correlation'!$P38,'доля годы'!$A$2:$A$15,0),MATCH('cross-sectoral correlation'!AO$1,'доля годы'!$A$2:$L$2,0))</f>
        <v>10.740786098292286</v>
      </c>
    </row>
    <row r="39" spans="1:41" x14ac:dyDescent="0.2">
      <c r="A39" s="35">
        <f t="shared" si="0"/>
        <v>43983</v>
      </c>
      <c r="B39" s="49">
        <f>QoQ!B38</f>
        <v>-7.7342912842295419</v>
      </c>
      <c r="C39" s="49">
        <f>QoQ!C38</f>
        <v>7.5879307505871907E-2</v>
      </c>
      <c r="D39" s="49">
        <f>QoQ!D38</f>
        <v>-10.884565147371291</v>
      </c>
      <c r="E39" s="49">
        <f>QoQ!E38</f>
        <v>-6.8980412059459866</v>
      </c>
      <c r="F39" s="49">
        <f>QoQ!F38</f>
        <v>-0.46356385121008259</v>
      </c>
      <c r="G39" s="49">
        <f>QoQ!G38</f>
        <v>-8.2903309348618563</v>
      </c>
      <c r="H39" s="49">
        <f>QoQ!H38</f>
        <v>-13.608325193685545</v>
      </c>
      <c r="I39" s="49">
        <f>QoQ!I38</f>
        <v>-13.054692625735925</v>
      </c>
      <c r="J39" s="49">
        <f>QoQ!J38</f>
        <v>1.7648663535618141</v>
      </c>
      <c r="K39" s="49">
        <f>QoQ!K38</f>
        <v>-2.0179980544616285</v>
      </c>
      <c r="L39" s="49">
        <f>QoQ!L38</f>
        <v>-10.146440100859195</v>
      </c>
      <c r="M39" s="49">
        <f>QoQ!M38</f>
        <v>-7.6469929754309618</v>
      </c>
      <c r="O39" s="35">
        <v>43983</v>
      </c>
      <c r="P39" s="50">
        <f t="shared" si="2"/>
        <v>2020</v>
      </c>
      <c r="Q39" s="49">
        <f t="shared" si="16"/>
        <v>0.99999999999999989</v>
      </c>
      <c r="R39" s="49">
        <f t="shared" si="17"/>
        <v>0.40313769567009117</v>
      </c>
      <c r="S39" s="49">
        <f t="shared" si="18"/>
        <v>0.93666405791922902</v>
      </c>
      <c r="T39" s="49">
        <f t="shared" si="19"/>
        <v>0.90753160062574234</v>
      </c>
      <c r="U39" s="49">
        <f t="shared" si="20"/>
        <v>0.11610713201282606</v>
      </c>
      <c r="V39" s="49">
        <f t="shared" si="21"/>
        <v>0.66498067871400535</v>
      </c>
      <c r="W39" s="49">
        <f t="shared" si="22"/>
        <v>0.92342524645245028</v>
      </c>
      <c r="X39" s="49">
        <f t="shared" si="23"/>
        <v>0.91747573223216761</v>
      </c>
      <c r="Y39" s="49">
        <f t="shared" si="24"/>
        <v>0.44116836192304698</v>
      </c>
      <c r="Z39" s="49">
        <f t="shared" si="25"/>
        <v>0.78387910815260486</v>
      </c>
      <c r="AA39" s="49">
        <f t="shared" si="26"/>
        <v>0.95854087541975264</v>
      </c>
      <c r="AB39" s="49">
        <f t="shared" si="27"/>
        <v>0.98540941009635463</v>
      </c>
      <c r="AD39" s="52">
        <f t="shared" si="15"/>
        <v>0.84835805569177802</v>
      </c>
      <c r="AE39" s="53">
        <f>INDEX('доля годы'!$A$2:$L$15,MATCH('cross-sectoral correlation'!$P39,'доля годы'!$A$2:$A$15,0),MATCH('cross-sectoral correlation'!AE$1,'доля годы'!$A$2:$L$2,0))</f>
        <v>4.1212936786212335</v>
      </c>
      <c r="AF39" s="53">
        <f>INDEX('доля годы'!$A$2:$L$15,MATCH('cross-sectoral correlation'!$P39,'доля годы'!$A$2:$A$15,0),MATCH('cross-sectoral correlation'!AF$1,'доля годы'!$A$2:$L$2,0))</f>
        <v>11.97114552727316</v>
      </c>
      <c r="AG39" s="53">
        <f>INDEX('доля годы'!$A$2:$L$15,MATCH('cross-sectoral correlation'!$P39,'доля годы'!$A$2:$A$15,0),MATCH('cross-sectoral correlation'!AG$1,'доля годы'!$A$2:$L$2,0))</f>
        <v>12.826874397219687</v>
      </c>
      <c r="AH39" s="53">
        <f>INDEX('доля годы'!$A$2:$L$15,MATCH('cross-sectoral correlation'!$P39,'доля годы'!$A$2:$A$15,0),MATCH('cross-sectoral correlation'!AH$1,'доля годы'!$A$2:$L$2,0))</f>
        <v>2.6231189284451855</v>
      </c>
      <c r="AI39" s="53">
        <f>INDEX('доля годы'!$A$2:$L$15,MATCH('cross-sectoral correlation'!$P39,'доля годы'!$A$2:$A$15,0),MATCH('cross-sectoral correlation'!AI$1,'доля годы'!$A$2:$L$2,0))</f>
        <v>4.4972548546919633</v>
      </c>
      <c r="AJ39" s="53">
        <f>INDEX('доля годы'!$A$2:$L$15,MATCH('cross-sectoral correlation'!$P39,'доля годы'!$A$2:$A$15,0),MATCH('cross-sectoral correlation'!AJ$1,'доля годы'!$A$2:$L$2,0))</f>
        <v>11.347255603726545</v>
      </c>
      <c r="AK39" s="53">
        <f>INDEX('доля годы'!$A$2:$L$15,MATCH('cross-sectoral correlation'!$P39,'доля годы'!$A$2:$A$15,0),MATCH('cross-sectoral correlation'!AK$1,'доля годы'!$A$2:$L$2,0))</f>
        <v>5.4372697125697131</v>
      </c>
      <c r="AL39" s="53">
        <f>INDEX('доля годы'!$A$2:$L$15,MATCH('cross-sectoral correlation'!$P39,'доля годы'!$A$2:$A$15,0),MATCH('cross-sectoral correlation'!AL$1,'доля годы'!$A$2:$L$2,0))</f>
        <v>4.461390048889986</v>
      </c>
      <c r="AM39" s="53">
        <f>INDEX('доля годы'!$A$2:$L$15,MATCH('cross-sectoral correlation'!$P39,'доля годы'!$A$2:$A$15,0),MATCH('cross-sectoral correlation'!AM$1,'доля годы'!$A$2:$L$2,0))</f>
        <v>9.3995592931187861</v>
      </c>
      <c r="AN39" s="53">
        <f>INDEX('доля годы'!$A$2:$L$15,MATCH('cross-sectoral correlation'!$P39,'доля годы'!$A$2:$A$15,0),MATCH('cross-sectoral correlation'!AN$1,'доля годы'!$A$2:$L$2,0))</f>
        <v>22.574051857151449</v>
      </c>
      <c r="AO39" s="53">
        <f>INDEX('доля годы'!$A$2:$L$15,MATCH('cross-sectoral correlation'!$P39,'доля годы'!$A$2:$A$15,0),MATCH('cross-sectoral correlation'!AO$1,'доля годы'!$A$2:$L$2,0))</f>
        <v>10.740786098292286</v>
      </c>
    </row>
    <row r="40" spans="1:41" x14ac:dyDescent="0.2">
      <c r="A40" s="35">
        <f t="shared" si="0"/>
        <v>44075</v>
      </c>
      <c r="B40" s="49">
        <f>QoQ!B39</f>
        <v>6.6044258208526117</v>
      </c>
      <c r="C40" s="49">
        <f>QoQ!C39</f>
        <v>-1.7867895347805529E-2</v>
      </c>
      <c r="D40" s="49">
        <f>QoQ!D39</f>
        <v>-0.46167553362946023</v>
      </c>
      <c r="E40" s="49">
        <f>QoQ!E39</f>
        <v>7.6452164983392947</v>
      </c>
      <c r="F40" s="49">
        <f>QoQ!F39</f>
        <v>0.7892011725184318</v>
      </c>
      <c r="G40" s="49">
        <f>QoQ!G39</f>
        <v>6.6004785556299055</v>
      </c>
      <c r="H40" s="49">
        <f>QoQ!H39</f>
        <v>16.737196805774417</v>
      </c>
      <c r="I40" s="49">
        <f>QoQ!I39</f>
        <v>12.132879026209338</v>
      </c>
      <c r="J40" s="49">
        <f>QoQ!J39</f>
        <v>6.5911109511284707</v>
      </c>
      <c r="K40" s="49">
        <f>QoQ!K39</f>
        <v>3.2370016325546942</v>
      </c>
      <c r="L40" s="49">
        <f>QoQ!L39</f>
        <v>12.814701711731004</v>
      </c>
      <c r="M40" s="49">
        <f>QoQ!M39</f>
        <v>0.44092239179440185</v>
      </c>
      <c r="O40" s="35">
        <v>44075</v>
      </c>
      <c r="P40" s="50">
        <f t="shared" si="2"/>
        <v>2020</v>
      </c>
      <c r="Q40" s="49">
        <f t="shared" si="16"/>
        <v>0.99999999999999989</v>
      </c>
      <c r="R40" s="49">
        <f t="shared" si="17"/>
        <v>-4.5313019002845775E-2</v>
      </c>
      <c r="S40" s="49">
        <f t="shared" si="18"/>
        <v>0.75113050886757315</v>
      </c>
      <c r="T40" s="49">
        <f t="shared" si="19"/>
        <v>0.94848571332625642</v>
      </c>
      <c r="U40" s="49">
        <f t="shared" si="20"/>
        <v>0.36626328346645209</v>
      </c>
      <c r="V40" s="49">
        <f t="shared" si="21"/>
        <v>0.8349701575454862</v>
      </c>
      <c r="W40" s="49">
        <f t="shared" si="22"/>
        <v>0.95318830484758765</v>
      </c>
      <c r="X40" s="49">
        <f t="shared" si="23"/>
        <v>0.95638872763163707</v>
      </c>
      <c r="Y40" s="49">
        <f t="shared" si="24"/>
        <v>0.82434306521544221</v>
      </c>
      <c r="Z40" s="49">
        <f t="shared" si="25"/>
        <v>0.88405884650314825</v>
      </c>
      <c r="AA40" s="49">
        <f t="shared" si="26"/>
        <v>0.97007669889205006</v>
      </c>
      <c r="AB40" s="49">
        <f t="shared" si="27"/>
        <v>0.8313259266070564</v>
      </c>
      <c r="AD40" s="52">
        <f t="shared" si="15"/>
        <v>0.84518427183419287</v>
      </c>
      <c r="AE40" s="53">
        <f>INDEX('доля годы'!$A$2:$L$15,MATCH('cross-sectoral correlation'!$P40,'доля годы'!$A$2:$A$15,0),MATCH('cross-sectoral correlation'!AE$1,'доля годы'!$A$2:$L$2,0))</f>
        <v>4.1212936786212335</v>
      </c>
      <c r="AF40" s="53">
        <f>INDEX('доля годы'!$A$2:$L$15,MATCH('cross-sectoral correlation'!$P40,'доля годы'!$A$2:$A$15,0),MATCH('cross-sectoral correlation'!AF$1,'доля годы'!$A$2:$L$2,0))</f>
        <v>11.97114552727316</v>
      </c>
      <c r="AG40" s="53">
        <f>INDEX('доля годы'!$A$2:$L$15,MATCH('cross-sectoral correlation'!$P40,'доля годы'!$A$2:$A$15,0),MATCH('cross-sectoral correlation'!AG$1,'доля годы'!$A$2:$L$2,0))</f>
        <v>12.826874397219687</v>
      </c>
      <c r="AH40" s="53">
        <f>INDEX('доля годы'!$A$2:$L$15,MATCH('cross-sectoral correlation'!$P40,'доля годы'!$A$2:$A$15,0),MATCH('cross-sectoral correlation'!AH$1,'доля годы'!$A$2:$L$2,0))</f>
        <v>2.6231189284451855</v>
      </c>
      <c r="AI40" s="53">
        <f>INDEX('доля годы'!$A$2:$L$15,MATCH('cross-sectoral correlation'!$P40,'доля годы'!$A$2:$A$15,0),MATCH('cross-sectoral correlation'!AI$1,'доля годы'!$A$2:$L$2,0))</f>
        <v>4.4972548546919633</v>
      </c>
      <c r="AJ40" s="53">
        <f>INDEX('доля годы'!$A$2:$L$15,MATCH('cross-sectoral correlation'!$P40,'доля годы'!$A$2:$A$15,0),MATCH('cross-sectoral correlation'!AJ$1,'доля годы'!$A$2:$L$2,0))</f>
        <v>11.347255603726545</v>
      </c>
      <c r="AK40" s="53">
        <f>INDEX('доля годы'!$A$2:$L$15,MATCH('cross-sectoral correlation'!$P40,'доля годы'!$A$2:$A$15,0),MATCH('cross-sectoral correlation'!AK$1,'доля годы'!$A$2:$L$2,0))</f>
        <v>5.4372697125697131</v>
      </c>
      <c r="AL40" s="53">
        <f>INDEX('доля годы'!$A$2:$L$15,MATCH('cross-sectoral correlation'!$P40,'доля годы'!$A$2:$A$15,0),MATCH('cross-sectoral correlation'!AL$1,'доля годы'!$A$2:$L$2,0))</f>
        <v>4.461390048889986</v>
      </c>
      <c r="AM40" s="53">
        <f>INDEX('доля годы'!$A$2:$L$15,MATCH('cross-sectoral correlation'!$P40,'доля годы'!$A$2:$A$15,0),MATCH('cross-sectoral correlation'!AM$1,'доля годы'!$A$2:$L$2,0))</f>
        <v>9.3995592931187861</v>
      </c>
      <c r="AN40" s="53">
        <f>INDEX('доля годы'!$A$2:$L$15,MATCH('cross-sectoral correlation'!$P40,'доля годы'!$A$2:$A$15,0),MATCH('cross-sectoral correlation'!AN$1,'доля годы'!$A$2:$L$2,0))</f>
        <v>22.574051857151449</v>
      </c>
      <c r="AO40" s="53">
        <f>INDEX('доля годы'!$A$2:$L$15,MATCH('cross-sectoral correlation'!$P40,'доля годы'!$A$2:$A$15,0),MATCH('cross-sectoral correlation'!AO$1,'доля годы'!$A$2:$L$2,0))</f>
        <v>10.740786098292286</v>
      </c>
    </row>
    <row r="41" spans="1:41" x14ac:dyDescent="0.2">
      <c r="A41" s="35">
        <f t="shared" si="0"/>
        <v>44166</v>
      </c>
      <c r="B41" s="49">
        <f>QoQ!B40</f>
        <v>0.78222653198669434</v>
      </c>
      <c r="C41" s="49">
        <f>QoQ!C40</f>
        <v>1.1352559197567871</v>
      </c>
      <c r="D41" s="49">
        <f>QoQ!D40</f>
        <v>3.0068051426359546</v>
      </c>
      <c r="E41" s="49">
        <f>QoQ!E40</f>
        <v>2.6526518114160353</v>
      </c>
      <c r="F41" s="49">
        <f>QoQ!F40</f>
        <v>3.4812926727956892</v>
      </c>
      <c r="G41" s="49">
        <f>QoQ!G40</f>
        <v>4.8360254213310157</v>
      </c>
      <c r="H41" s="49">
        <f>QoQ!H40</f>
        <v>1.5977790867379298</v>
      </c>
      <c r="I41" s="49">
        <f>QoQ!I40</f>
        <v>5.8387036501542866E-2</v>
      </c>
      <c r="J41" s="49">
        <f>QoQ!J40</f>
        <v>0.348764691137049</v>
      </c>
      <c r="K41" s="49">
        <f>QoQ!K40</f>
        <v>0.90770583283179462</v>
      </c>
      <c r="L41" s="49">
        <f>QoQ!L40</f>
        <v>-1.1586472920278794</v>
      </c>
      <c r="M41" s="49">
        <f>QoQ!M40</f>
        <v>1.1824018835879428</v>
      </c>
      <c r="O41" s="35">
        <v>44166</v>
      </c>
      <c r="P41" s="50">
        <f t="shared" si="2"/>
        <v>2020</v>
      </c>
      <c r="Q41" s="49">
        <f t="shared" si="16"/>
        <v>1</v>
      </c>
      <c r="R41" s="49">
        <f t="shared" si="17"/>
        <v>2.1621214450309043E-2</v>
      </c>
      <c r="S41" s="49">
        <f t="shared" si="18"/>
        <v>0.72602022101324426</v>
      </c>
      <c r="T41" s="49">
        <f t="shared" si="19"/>
        <v>0.96355521346798312</v>
      </c>
      <c r="U41" s="49">
        <f t="shared" si="20"/>
        <v>0.26691329824866655</v>
      </c>
      <c r="V41" s="49">
        <f t="shared" si="21"/>
        <v>0.81196589179682299</v>
      </c>
      <c r="W41" s="49">
        <f t="shared" si="22"/>
        <v>0.96576599501440663</v>
      </c>
      <c r="X41" s="49">
        <f t="shared" si="23"/>
        <v>0.95733846700670633</v>
      </c>
      <c r="Y41" s="49">
        <f t="shared" si="24"/>
        <v>0.6501951989201239</v>
      </c>
      <c r="Z41" s="49">
        <f t="shared" si="25"/>
        <v>0.88347081215415402</v>
      </c>
      <c r="AA41" s="49">
        <f t="shared" si="26"/>
        <v>0.95825126869254573</v>
      </c>
      <c r="AB41" s="49">
        <f t="shared" si="27"/>
        <v>0.82456768947623915</v>
      </c>
      <c r="AD41" s="52">
        <f t="shared" si="15"/>
        <v>0.83348796398392522</v>
      </c>
      <c r="AE41" s="53">
        <f>INDEX('доля годы'!$A$2:$L$15,MATCH('cross-sectoral correlation'!$P41,'доля годы'!$A$2:$A$15,0),MATCH('cross-sectoral correlation'!AE$1,'доля годы'!$A$2:$L$2,0))</f>
        <v>4.1212936786212335</v>
      </c>
      <c r="AF41" s="53">
        <f>INDEX('доля годы'!$A$2:$L$15,MATCH('cross-sectoral correlation'!$P41,'доля годы'!$A$2:$A$15,0),MATCH('cross-sectoral correlation'!AF$1,'доля годы'!$A$2:$L$2,0))</f>
        <v>11.97114552727316</v>
      </c>
      <c r="AG41" s="53">
        <f>INDEX('доля годы'!$A$2:$L$15,MATCH('cross-sectoral correlation'!$P41,'доля годы'!$A$2:$A$15,0),MATCH('cross-sectoral correlation'!AG$1,'доля годы'!$A$2:$L$2,0))</f>
        <v>12.826874397219687</v>
      </c>
      <c r="AH41" s="53">
        <f>INDEX('доля годы'!$A$2:$L$15,MATCH('cross-sectoral correlation'!$P41,'доля годы'!$A$2:$A$15,0),MATCH('cross-sectoral correlation'!AH$1,'доля годы'!$A$2:$L$2,0))</f>
        <v>2.6231189284451855</v>
      </c>
      <c r="AI41" s="53">
        <f>INDEX('доля годы'!$A$2:$L$15,MATCH('cross-sectoral correlation'!$P41,'доля годы'!$A$2:$A$15,0),MATCH('cross-sectoral correlation'!AI$1,'доля годы'!$A$2:$L$2,0))</f>
        <v>4.4972548546919633</v>
      </c>
      <c r="AJ41" s="53">
        <f>INDEX('доля годы'!$A$2:$L$15,MATCH('cross-sectoral correlation'!$P41,'доля годы'!$A$2:$A$15,0),MATCH('cross-sectoral correlation'!AJ$1,'доля годы'!$A$2:$L$2,0))</f>
        <v>11.347255603726545</v>
      </c>
      <c r="AK41" s="53">
        <f>INDEX('доля годы'!$A$2:$L$15,MATCH('cross-sectoral correlation'!$P41,'доля годы'!$A$2:$A$15,0),MATCH('cross-sectoral correlation'!AK$1,'доля годы'!$A$2:$L$2,0))</f>
        <v>5.4372697125697131</v>
      </c>
      <c r="AL41" s="53">
        <f>INDEX('доля годы'!$A$2:$L$15,MATCH('cross-sectoral correlation'!$P41,'доля годы'!$A$2:$A$15,0),MATCH('cross-sectoral correlation'!AL$1,'доля годы'!$A$2:$L$2,0))</f>
        <v>4.461390048889986</v>
      </c>
      <c r="AM41" s="53">
        <f>INDEX('доля годы'!$A$2:$L$15,MATCH('cross-sectoral correlation'!$P41,'доля годы'!$A$2:$A$15,0),MATCH('cross-sectoral correlation'!AM$1,'доля годы'!$A$2:$L$2,0))</f>
        <v>9.3995592931187861</v>
      </c>
      <c r="AN41" s="53">
        <f>INDEX('доля годы'!$A$2:$L$15,MATCH('cross-sectoral correlation'!$P41,'доля годы'!$A$2:$A$15,0),MATCH('cross-sectoral correlation'!AN$1,'доля годы'!$A$2:$L$2,0))</f>
        <v>22.574051857151449</v>
      </c>
      <c r="AO41" s="53">
        <f>INDEX('доля годы'!$A$2:$L$15,MATCH('cross-sectoral correlation'!$P41,'доля годы'!$A$2:$A$15,0),MATCH('cross-sectoral correlation'!AO$1,'доля годы'!$A$2:$L$2,0))</f>
        <v>10.740786098292286</v>
      </c>
    </row>
    <row r="42" spans="1:41" x14ac:dyDescent="0.2">
      <c r="A42" s="35">
        <f t="shared" si="0"/>
        <v>44256</v>
      </c>
      <c r="B42" s="49">
        <f>QoQ!B41</f>
        <v>1.5899704412459386</v>
      </c>
      <c r="C42" s="49">
        <f>QoQ!C41</f>
        <v>0.3460874024799665</v>
      </c>
      <c r="D42" s="49">
        <f>QoQ!D41</f>
        <v>0.98785746644922767</v>
      </c>
      <c r="E42" s="49">
        <f>QoQ!E41</f>
        <v>-1.055922185980549</v>
      </c>
      <c r="F42" s="49">
        <f>QoQ!F41</f>
        <v>3.1397646404073782</v>
      </c>
      <c r="G42" s="49">
        <f>QoQ!G41</f>
        <v>-1.298848403180088</v>
      </c>
      <c r="H42" s="49">
        <f>QoQ!H41</f>
        <v>-1.6348672417382772</v>
      </c>
      <c r="I42" s="49">
        <f>QoQ!I41</f>
        <v>-0.15572325213025806</v>
      </c>
      <c r="J42" s="49">
        <f>QoQ!J41</f>
        <v>5.90876905300901</v>
      </c>
      <c r="K42" s="49">
        <f>QoQ!K41</f>
        <v>0.45550775703321733</v>
      </c>
      <c r="L42" s="49">
        <f>QoQ!L41</f>
        <v>5.0327640498746717</v>
      </c>
      <c r="M42" s="49">
        <f>QoQ!M41</f>
        <v>8.4032721315367098E-2</v>
      </c>
      <c r="O42" s="35">
        <v>44256</v>
      </c>
      <c r="P42" s="50">
        <f t="shared" si="2"/>
        <v>2021</v>
      </c>
      <c r="Q42" s="49">
        <f t="shared" si="16"/>
        <v>1.0000000000000002</v>
      </c>
      <c r="R42" s="49">
        <f t="shared" si="17"/>
        <v>7.9154059889123326E-3</v>
      </c>
      <c r="S42" s="49">
        <f t="shared" si="18"/>
        <v>0.73638598256882837</v>
      </c>
      <c r="T42" s="49">
        <f t="shared" si="19"/>
        <v>0.91677243742264813</v>
      </c>
      <c r="U42" s="49">
        <f t="shared" si="20"/>
        <v>0.29494245402633085</v>
      </c>
      <c r="V42" s="49">
        <f t="shared" si="21"/>
        <v>0.83987913884016274</v>
      </c>
      <c r="W42" s="49">
        <f t="shared" si="22"/>
        <v>0.95155200208984136</v>
      </c>
      <c r="X42" s="49">
        <f t="shared" si="23"/>
        <v>0.95404343075590814</v>
      </c>
      <c r="Y42" s="49">
        <f t="shared" si="24"/>
        <v>0.62365149468542458</v>
      </c>
      <c r="Z42" s="49">
        <f t="shared" si="25"/>
        <v>0.88782334706757804</v>
      </c>
      <c r="AA42" s="49">
        <f t="shared" si="26"/>
        <v>0.9519310691872479</v>
      </c>
      <c r="AB42" s="49">
        <f t="shared" si="27"/>
        <v>0.84670386345202064</v>
      </c>
      <c r="AD42" s="52">
        <f t="shared" si="15"/>
        <v>0.83046715342449351</v>
      </c>
      <c r="AE42" s="53">
        <f>INDEX('доля годы'!$A$2:$L$15,MATCH('cross-sectoral correlation'!$P42,'доля годы'!$A$2:$A$15,0),MATCH('cross-sectoral correlation'!AE$1,'доля годы'!$A$2:$L$2,0))</f>
        <v>3.8700019709271603</v>
      </c>
      <c r="AF42" s="53">
        <f>INDEX('доля годы'!$A$2:$L$15,MATCH('cross-sectoral correlation'!$P42,'доля годы'!$A$2:$A$15,0),MATCH('cross-sectoral correlation'!AF$1,'доля годы'!$A$2:$L$2,0))</f>
        <v>11.760795020061034</v>
      </c>
      <c r="AG42" s="53">
        <f>INDEX('доля годы'!$A$2:$L$15,MATCH('cross-sectoral correlation'!$P42,'доля годы'!$A$2:$A$15,0),MATCH('cross-sectoral correlation'!AG$1,'доля годы'!$A$2:$L$2,0))</f>
        <v>12.871055893981897</v>
      </c>
      <c r="AH42" s="53">
        <f>INDEX('доля годы'!$A$2:$L$15,MATCH('cross-sectoral correlation'!$P42,'доля годы'!$A$2:$A$15,0),MATCH('cross-sectoral correlation'!AH$1,'доля годы'!$A$2:$L$2,0))</f>
        <v>2.652620011691178</v>
      </c>
      <c r="AI42" s="53">
        <f>INDEX('доля годы'!$A$2:$L$15,MATCH('cross-sectoral correlation'!$P42,'доля годы'!$A$2:$A$15,0),MATCH('cross-sectoral correlation'!AI$1,'доля годы'!$A$2:$L$2,0))</f>
        <v>4.4876697147778444</v>
      </c>
      <c r="AJ42" s="53">
        <f>INDEX('доля годы'!$A$2:$L$15,MATCH('cross-sectoral correlation'!$P42,'доля годы'!$A$2:$A$15,0),MATCH('cross-sectoral correlation'!AJ$1,'доля годы'!$A$2:$L$2,0))</f>
        <v>11.374782596015667</v>
      </c>
      <c r="AK42" s="53">
        <f>INDEX('доля годы'!$A$2:$L$15,MATCH('cross-sectoral correlation'!$P42,'доля годы'!$A$2:$A$15,0),MATCH('cross-sectoral correlation'!AK$1,'доля годы'!$A$2:$L$2,0))</f>
        <v>5.5390644841300718</v>
      </c>
      <c r="AL42" s="53">
        <f>INDEX('доля годы'!$A$2:$L$15,MATCH('cross-sectoral correlation'!$P42,'доля годы'!$A$2:$A$15,0),MATCH('cross-sectoral correlation'!AL$1,'доля годы'!$A$2:$L$2,0))</f>
        <v>4.8350506009513436</v>
      </c>
      <c r="AM42" s="53">
        <f>INDEX('доля годы'!$A$2:$L$15,MATCH('cross-sectoral correlation'!$P42,'доля годы'!$A$2:$A$15,0),MATCH('cross-sectoral correlation'!AM$1,'доля годы'!$A$2:$L$2,0))</f>
        <v>9.3692865829593899</v>
      </c>
      <c r="AN42" s="53">
        <f>INDEX('доля годы'!$A$2:$L$15,MATCH('cross-sectoral correlation'!$P42,'доля годы'!$A$2:$A$15,0),MATCH('cross-sectoral correlation'!AN$1,'доля годы'!$A$2:$L$2,0))</f>
        <v>22.981467370904923</v>
      </c>
      <c r="AO42" s="53">
        <f>INDEX('доля годы'!$A$2:$L$15,MATCH('cross-sectoral correlation'!$P42,'доля годы'!$A$2:$A$15,0),MATCH('cross-sectoral correlation'!AO$1,'доля годы'!$A$2:$L$2,0))</f>
        <v>10.258205753599491</v>
      </c>
    </row>
    <row r="43" spans="1:41" x14ac:dyDescent="0.2">
      <c r="A43" s="35">
        <f t="shared" si="0"/>
        <v>44348</v>
      </c>
      <c r="B43" s="49">
        <f>QoQ!B42</f>
        <v>1.6590804902057954</v>
      </c>
      <c r="C43" s="49">
        <f>QoQ!C42</f>
        <v>0.92365016218562346</v>
      </c>
      <c r="D43" s="49">
        <f>QoQ!D42</f>
        <v>3.4844250052675534</v>
      </c>
      <c r="E43" s="49">
        <f>QoQ!E42</f>
        <v>-0.40987071110913575</v>
      </c>
      <c r="F43" s="49">
        <f>QoQ!F42</f>
        <v>1.0229106427818095</v>
      </c>
      <c r="G43" s="49">
        <f>QoQ!G42</f>
        <v>-1.8936561144126927</v>
      </c>
      <c r="H43" s="49">
        <f>QoQ!H42</f>
        <v>1.2190855271700229</v>
      </c>
      <c r="I43" s="49">
        <f>QoQ!I42</f>
        <v>7.2921277406304625</v>
      </c>
      <c r="J43" s="49">
        <f>QoQ!J42</f>
        <v>5.0991098793620182</v>
      </c>
      <c r="K43" s="49">
        <f>QoQ!K42</f>
        <v>0.54014815697365748</v>
      </c>
      <c r="L43" s="49">
        <f>QoQ!L42</f>
        <v>-5.1933668747478237</v>
      </c>
      <c r="M43" s="49">
        <f>QoQ!M42</f>
        <v>7.1296768207573393</v>
      </c>
      <c r="O43" s="35">
        <v>44348</v>
      </c>
      <c r="P43" s="50">
        <f t="shared" si="2"/>
        <v>2021</v>
      </c>
      <c r="Q43" s="49">
        <f t="shared" si="16"/>
        <v>1</v>
      </c>
      <c r="R43" s="49">
        <f t="shared" si="17"/>
        <v>7.4558075262320972E-2</v>
      </c>
      <c r="S43" s="49">
        <f t="shared" si="18"/>
        <v>0.73404954524807697</v>
      </c>
      <c r="T43" s="49">
        <f t="shared" si="19"/>
        <v>0.92514724464375275</v>
      </c>
      <c r="U43" s="49">
        <f t="shared" si="20"/>
        <v>0.30557538597015566</v>
      </c>
      <c r="V43" s="49">
        <f t="shared" si="21"/>
        <v>0.8041552781566127</v>
      </c>
      <c r="W43" s="49">
        <f t="shared" si="22"/>
        <v>0.94863377448836028</v>
      </c>
      <c r="X43" s="49">
        <f t="shared" si="23"/>
        <v>0.92252588044148842</v>
      </c>
      <c r="Y43" s="49">
        <f t="shared" si="24"/>
        <v>0.63600631747652803</v>
      </c>
      <c r="Z43" s="49">
        <f t="shared" si="25"/>
        <v>0.88575546149666573</v>
      </c>
      <c r="AA43" s="49">
        <f t="shared" si="26"/>
        <v>0.86624230043948147</v>
      </c>
      <c r="AB43" s="49">
        <f t="shared" si="27"/>
        <v>0.68583206939692121</v>
      </c>
      <c r="AD43" s="52">
        <f t="shared" si="15"/>
        <v>0.7946590512201801</v>
      </c>
      <c r="AE43" s="53">
        <f>INDEX('доля годы'!$A$2:$L$15,MATCH('cross-sectoral correlation'!$P43,'доля годы'!$A$2:$A$15,0),MATCH('cross-sectoral correlation'!AE$1,'доля годы'!$A$2:$L$2,0))</f>
        <v>3.8700019709271603</v>
      </c>
      <c r="AF43" s="53">
        <f>INDEX('доля годы'!$A$2:$L$15,MATCH('cross-sectoral correlation'!$P43,'доля годы'!$A$2:$A$15,0),MATCH('cross-sectoral correlation'!AF$1,'доля годы'!$A$2:$L$2,0))</f>
        <v>11.760795020061034</v>
      </c>
      <c r="AG43" s="53">
        <f>INDEX('доля годы'!$A$2:$L$15,MATCH('cross-sectoral correlation'!$P43,'доля годы'!$A$2:$A$15,0),MATCH('cross-sectoral correlation'!AG$1,'доля годы'!$A$2:$L$2,0))</f>
        <v>12.871055893981897</v>
      </c>
      <c r="AH43" s="53">
        <f>INDEX('доля годы'!$A$2:$L$15,MATCH('cross-sectoral correlation'!$P43,'доля годы'!$A$2:$A$15,0),MATCH('cross-sectoral correlation'!AH$1,'доля годы'!$A$2:$L$2,0))</f>
        <v>2.652620011691178</v>
      </c>
      <c r="AI43" s="53">
        <f>INDEX('доля годы'!$A$2:$L$15,MATCH('cross-sectoral correlation'!$P43,'доля годы'!$A$2:$A$15,0),MATCH('cross-sectoral correlation'!AI$1,'доля годы'!$A$2:$L$2,0))</f>
        <v>4.4876697147778444</v>
      </c>
      <c r="AJ43" s="53">
        <f>INDEX('доля годы'!$A$2:$L$15,MATCH('cross-sectoral correlation'!$P43,'доля годы'!$A$2:$A$15,0),MATCH('cross-sectoral correlation'!AJ$1,'доля годы'!$A$2:$L$2,0))</f>
        <v>11.374782596015667</v>
      </c>
      <c r="AK43" s="53">
        <f>INDEX('доля годы'!$A$2:$L$15,MATCH('cross-sectoral correlation'!$P43,'доля годы'!$A$2:$A$15,0),MATCH('cross-sectoral correlation'!AK$1,'доля годы'!$A$2:$L$2,0))</f>
        <v>5.5390644841300718</v>
      </c>
      <c r="AL43" s="53">
        <f>INDEX('доля годы'!$A$2:$L$15,MATCH('cross-sectoral correlation'!$P43,'доля годы'!$A$2:$A$15,0),MATCH('cross-sectoral correlation'!AL$1,'доля годы'!$A$2:$L$2,0))</f>
        <v>4.8350506009513436</v>
      </c>
      <c r="AM43" s="53">
        <f>INDEX('доля годы'!$A$2:$L$15,MATCH('cross-sectoral correlation'!$P43,'доля годы'!$A$2:$A$15,0),MATCH('cross-sectoral correlation'!AM$1,'доля годы'!$A$2:$L$2,0))</f>
        <v>9.3692865829593899</v>
      </c>
      <c r="AN43" s="53">
        <f>INDEX('доля годы'!$A$2:$L$15,MATCH('cross-sectoral correlation'!$P43,'доля годы'!$A$2:$A$15,0),MATCH('cross-sectoral correlation'!AN$1,'доля годы'!$A$2:$L$2,0))</f>
        <v>22.981467370904923</v>
      </c>
      <c r="AO43" s="53">
        <f>INDEX('доля годы'!$A$2:$L$15,MATCH('cross-sectoral correlation'!$P43,'доля годы'!$A$2:$A$15,0),MATCH('cross-sectoral correlation'!AO$1,'доля годы'!$A$2:$L$2,0))</f>
        <v>10.258205753599491</v>
      </c>
    </row>
    <row r="44" spans="1:41" x14ac:dyDescent="0.2">
      <c r="A44" s="35">
        <f t="shared" si="0"/>
        <v>44440</v>
      </c>
      <c r="B44" s="49">
        <f>QoQ!B43</f>
        <v>0.68189106536775057</v>
      </c>
      <c r="C44" s="49">
        <f>QoQ!C43</f>
        <v>0.58970012842532071</v>
      </c>
      <c r="D44" s="49">
        <f>QoQ!D43</f>
        <v>0.55083707160925144</v>
      </c>
      <c r="E44" s="49">
        <f>QoQ!E43</f>
        <v>2.7617131479903634</v>
      </c>
      <c r="F44" s="49">
        <f>QoQ!F43</f>
        <v>1.0653717511285095</v>
      </c>
      <c r="G44" s="49">
        <f>QoQ!G43</f>
        <v>1.6862063125538498</v>
      </c>
      <c r="H44" s="49">
        <f>QoQ!H43</f>
        <v>2.1806233469710889</v>
      </c>
      <c r="I44" s="49">
        <f>QoQ!I43</f>
        <v>-5.1262818894997508E-2</v>
      </c>
      <c r="J44" s="49">
        <f>QoQ!J43</f>
        <v>1.8664030838399128</v>
      </c>
      <c r="K44" s="49">
        <f>QoQ!K43</f>
        <v>0.5095046350362793</v>
      </c>
      <c r="L44" s="49">
        <f>QoQ!L43</f>
        <v>5.178764326769894</v>
      </c>
      <c r="M44" s="49">
        <f>QoQ!M43</f>
        <v>-6.3145202191920902</v>
      </c>
      <c r="O44" s="35">
        <v>44440</v>
      </c>
      <c r="P44" s="50">
        <f t="shared" si="2"/>
        <v>2021</v>
      </c>
      <c r="Q44" s="49">
        <f t="shared" si="16"/>
        <v>0.99999999999999989</v>
      </c>
      <c r="R44" s="49">
        <f t="shared" si="17"/>
        <v>7.8802327201037636E-2</v>
      </c>
      <c r="S44" s="49">
        <f t="shared" si="18"/>
        <v>0.73402987872260539</v>
      </c>
      <c r="T44" s="49">
        <f t="shared" si="19"/>
        <v>0.90840034156216709</v>
      </c>
      <c r="U44" s="49">
        <f t="shared" si="20"/>
        <v>0.32595172321534399</v>
      </c>
      <c r="V44" s="49">
        <f t="shared" si="21"/>
        <v>0.84746782037518686</v>
      </c>
      <c r="W44" s="49">
        <f t="shared" si="22"/>
        <v>0.94768545997992004</v>
      </c>
      <c r="X44" s="49">
        <f t="shared" si="23"/>
        <v>0.92562938866900168</v>
      </c>
      <c r="Y44" s="49">
        <f t="shared" si="24"/>
        <v>0.60763744461738634</v>
      </c>
      <c r="Z44" s="49">
        <f t="shared" si="25"/>
        <v>0.88479591975817085</v>
      </c>
      <c r="AA44" s="49">
        <f t="shared" si="26"/>
        <v>0.84358705842402504</v>
      </c>
      <c r="AB44" s="49">
        <f t="shared" si="27"/>
        <v>0.57817541878707746</v>
      </c>
      <c r="AD44" s="52">
        <f t="shared" si="15"/>
        <v>0.7775020555539639</v>
      </c>
      <c r="AE44" s="53">
        <f>INDEX('доля годы'!$A$2:$L$15,MATCH('cross-sectoral correlation'!$P44,'доля годы'!$A$2:$A$15,0),MATCH('cross-sectoral correlation'!AE$1,'доля годы'!$A$2:$L$2,0))</f>
        <v>3.8700019709271603</v>
      </c>
      <c r="AF44" s="53">
        <f>INDEX('доля годы'!$A$2:$L$15,MATCH('cross-sectoral correlation'!$P44,'доля годы'!$A$2:$A$15,0),MATCH('cross-sectoral correlation'!AF$1,'доля годы'!$A$2:$L$2,0))</f>
        <v>11.760795020061034</v>
      </c>
      <c r="AG44" s="53">
        <f>INDEX('доля годы'!$A$2:$L$15,MATCH('cross-sectoral correlation'!$P44,'доля годы'!$A$2:$A$15,0),MATCH('cross-sectoral correlation'!AG$1,'доля годы'!$A$2:$L$2,0))</f>
        <v>12.871055893981897</v>
      </c>
      <c r="AH44" s="53">
        <f>INDEX('доля годы'!$A$2:$L$15,MATCH('cross-sectoral correlation'!$P44,'доля годы'!$A$2:$A$15,0),MATCH('cross-sectoral correlation'!AH$1,'доля годы'!$A$2:$L$2,0))</f>
        <v>2.652620011691178</v>
      </c>
      <c r="AI44" s="53">
        <f>INDEX('доля годы'!$A$2:$L$15,MATCH('cross-sectoral correlation'!$P44,'доля годы'!$A$2:$A$15,0),MATCH('cross-sectoral correlation'!AI$1,'доля годы'!$A$2:$L$2,0))</f>
        <v>4.4876697147778444</v>
      </c>
      <c r="AJ44" s="53">
        <f>INDEX('доля годы'!$A$2:$L$15,MATCH('cross-sectoral correlation'!$P44,'доля годы'!$A$2:$A$15,0),MATCH('cross-sectoral correlation'!AJ$1,'доля годы'!$A$2:$L$2,0))</f>
        <v>11.374782596015667</v>
      </c>
      <c r="AK44" s="53">
        <f>INDEX('доля годы'!$A$2:$L$15,MATCH('cross-sectoral correlation'!$P44,'доля годы'!$A$2:$A$15,0),MATCH('cross-sectoral correlation'!AK$1,'доля годы'!$A$2:$L$2,0))</f>
        <v>5.5390644841300718</v>
      </c>
      <c r="AL44" s="53">
        <f>INDEX('доля годы'!$A$2:$L$15,MATCH('cross-sectoral correlation'!$P44,'доля годы'!$A$2:$A$15,0),MATCH('cross-sectoral correlation'!AL$1,'доля годы'!$A$2:$L$2,0))</f>
        <v>4.8350506009513436</v>
      </c>
      <c r="AM44" s="53">
        <f>INDEX('доля годы'!$A$2:$L$15,MATCH('cross-sectoral correlation'!$P44,'доля годы'!$A$2:$A$15,0),MATCH('cross-sectoral correlation'!AM$1,'доля годы'!$A$2:$L$2,0))</f>
        <v>9.3692865829593899</v>
      </c>
      <c r="AN44" s="53">
        <f>INDEX('доля годы'!$A$2:$L$15,MATCH('cross-sectoral correlation'!$P44,'доля годы'!$A$2:$A$15,0),MATCH('cross-sectoral correlation'!AN$1,'доля годы'!$A$2:$L$2,0))</f>
        <v>22.981467370904923</v>
      </c>
      <c r="AO44" s="53">
        <f>INDEX('доля годы'!$A$2:$L$15,MATCH('cross-sectoral correlation'!$P44,'доля годы'!$A$2:$A$15,0),MATCH('cross-sectoral correlation'!AO$1,'доля годы'!$A$2:$L$2,0))</f>
        <v>10.258205753599491</v>
      </c>
    </row>
    <row r="45" spans="1:41" x14ac:dyDescent="0.2">
      <c r="A45" s="35">
        <f t="shared" si="0"/>
        <v>44531</v>
      </c>
      <c r="B45" s="49">
        <f>QoQ!B44</f>
        <v>1.0157644588409909</v>
      </c>
      <c r="C45" s="49">
        <f>QoQ!C44</f>
        <v>1.7543195657629269</v>
      </c>
      <c r="D45" s="49">
        <f>QoQ!D44</f>
        <v>2.8083290772504625</v>
      </c>
      <c r="E45" s="49">
        <f>QoQ!E44</f>
        <v>1.8276461883223902</v>
      </c>
      <c r="F45" s="49">
        <f>QoQ!F44</f>
        <v>-0.5795452420440057</v>
      </c>
      <c r="G45" s="49">
        <f>QoQ!G44</f>
        <v>5.6460513171010973</v>
      </c>
      <c r="H45" s="49">
        <f>QoQ!H44</f>
        <v>1.3252586868696312</v>
      </c>
      <c r="I45" s="49">
        <f>QoQ!I44</f>
        <v>-0.52087687076229372</v>
      </c>
      <c r="J45" s="49">
        <f>QoQ!J44</f>
        <v>-1.4511317545859583</v>
      </c>
      <c r="K45" s="49">
        <f>QoQ!K44</f>
        <v>0.60762267686773441</v>
      </c>
      <c r="L45" s="49">
        <f>QoQ!L44</f>
        <v>1.177959410423199</v>
      </c>
      <c r="M45" s="49">
        <f>QoQ!M44</f>
        <v>-0.44047136481208327</v>
      </c>
      <c r="O45" s="35">
        <v>44531</v>
      </c>
      <c r="P45" s="50">
        <f t="shared" si="2"/>
        <v>2021</v>
      </c>
      <c r="Q45" s="49">
        <f t="shared" si="16"/>
        <v>1.0000000000000002</v>
      </c>
      <c r="R45" s="49">
        <f t="shared" si="17"/>
        <v>9.5031507404410173E-2</v>
      </c>
      <c r="S45" s="49">
        <f t="shared" si="18"/>
        <v>0.72350248022260477</v>
      </c>
      <c r="T45" s="49">
        <f t="shared" si="19"/>
        <v>0.90957884502565178</v>
      </c>
      <c r="U45" s="49">
        <f t="shared" si="20"/>
        <v>0.31701435374594716</v>
      </c>
      <c r="V45" s="49">
        <f t="shared" si="21"/>
        <v>0.80749386012730395</v>
      </c>
      <c r="W45" s="49">
        <f t="shared" si="22"/>
        <v>0.95192897495807705</v>
      </c>
      <c r="X45" s="49">
        <f t="shared" si="23"/>
        <v>0.92393776919047144</v>
      </c>
      <c r="Y45" s="49">
        <f t="shared" si="24"/>
        <v>0.45313609085257484</v>
      </c>
      <c r="Z45" s="49">
        <f t="shared" si="25"/>
        <v>0.89027353487875482</v>
      </c>
      <c r="AA45" s="49">
        <f t="shared" si="26"/>
        <v>0.84244117638679705</v>
      </c>
      <c r="AB45" s="49">
        <f t="shared" si="27"/>
        <v>0.58413716673728344</v>
      </c>
      <c r="AD45" s="52">
        <f t="shared" si="15"/>
        <v>0.76879294486883876</v>
      </c>
      <c r="AE45" s="53">
        <f>INDEX('доля годы'!$A$2:$L$15,MATCH('cross-sectoral correlation'!$P45,'доля годы'!$A$2:$A$15,0),MATCH('cross-sectoral correlation'!AE$1,'доля годы'!$A$2:$L$2,0))</f>
        <v>3.8700019709271603</v>
      </c>
      <c r="AF45" s="53">
        <f>INDEX('доля годы'!$A$2:$L$15,MATCH('cross-sectoral correlation'!$P45,'доля годы'!$A$2:$A$15,0),MATCH('cross-sectoral correlation'!AF$1,'доля годы'!$A$2:$L$2,0))</f>
        <v>11.760795020061034</v>
      </c>
      <c r="AG45" s="53">
        <f>INDEX('доля годы'!$A$2:$L$15,MATCH('cross-sectoral correlation'!$P45,'доля годы'!$A$2:$A$15,0),MATCH('cross-sectoral correlation'!AG$1,'доля годы'!$A$2:$L$2,0))</f>
        <v>12.871055893981897</v>
      </c>
      <c r="AH45" s="53">
        <f>INDEX('доля годы'!$A$2:$L$15,MATCH('cross-sectoral correlation'!$P45,'доля годы'!$A$2:$A$15,0),MATCH('cross-sectoral correlation'!AH$1,'доля годы'!$A$2:$L$2,0))</f>
        <v>2.652620011691178</v>
      </c>
      <c r="AI45" s="53">
        <f>INDEX('доля годы'!$A$2:$L$15,MATCH('cross-sectoral correlation'!$P45,'доля годы'!$A$2:$A$15,0),MATCH('cross-sectoral correlation'!AI$1,'доля годы'!$A$2:$L$2,0))</f>
        <v>4.4876697147778444</v>
      </c>
      <c r="AJ45" s="53">
        <f>INDEX('доля годы'!$A$2:$L$15,MATCH('cross-sectoral correlation'!$P45,'доля годы'!$A$2:$A$15,0),MATCH('cross-sectoral correlation'!AJ$1,'доля годы'!$A$2:$L$2,0))</f>
        <v>11.374782596015667</v>
      </c>
      <c r="AK45" s="53">
        <f>INDEX('доля годы'!$A$2:$L$15,MATCH('cross-sectoral correlation'!$P45,'доля годы'!$A$2:$A$15,0),MATCH('cross-sectoral correlation'!AK$1,'доля годы'!$A$2:$L$2,0))</f>
        <v>5.5390644841300718</v>
      </c>
      <c r="AL45" s="53">
        <f>INDEX('доля годы'!$A$2:$L$15,MATCH('cross-sectoral correlation'!$P45,'доля годы'!$A$2:$A$15,0),MATCH('cross-sectoral correlation'!AL$1,'доля годы'!$A$2:$L$2,0))</f>
        <v>4.8350506009513436</v>
      </c>
      <c r="AM45" s="53">
        <f>INDEX('доля годы'!$A$2:$L$15,MATCH('cross-sectoral correlation'!$P45,'доля годы'!$A$2:$A$15,0),MATCH('cross-sectoral correlation'!AM$1,'доля годы'!$A$2:$L$2,0))</f>
        <v>9.3692865829593899</v>
      </c>
      <c r="AN45" s="53">
        <f>INDEX('доля годы'!$A$2:$L$15,MATCH('cross-sectoral correlation'!$P45,'доля годы'!$A$2:$A$15,0),MATCH('cross-sectoral correlation'!AN$1,'доля годы'!$A$2:$L$2,0))</f>
        <v>22.981467370904923</v>
      </c>
      <c r="AO45" s="53">
        <f>INDEX('доля годы'!$A$2:$L$15,MATCH('cross-sectoral correlation'!$P45,'доля годы'!$A$2:$A$15,0),MATCH('cross-sectoral correlation'!AO$1,'доля годы'!$A$2:$L$2,0))</f>
        <v>10.258205753599491</v>
      </c>
    </row>
    <row r="46" spans="1:41" x14ac:dyDescent="0.2">
      <c r="A46" s="35">
        <f t="shared" si="0"/>
        <v>44621</v>
      </c>
      <c r="B46" s="49">
        <f>QoQ!B45</f>
        <v>2.6264933142812197E-2</v>
      </c>
      <c r="C46" s="49">
        <f>QoQ!C45</f>
        <v>-5.7986038445633881E-2</v>
      </c>
      <c r="D46" s="49">
        <f>QoQ!D45</f>
        <v>-0.40339735991821613</v>
      </c>
      <c r="E46" s="49">
        <f>QoQ!E45</f>
        <v>0.47766260261761317</v>
      </c>
      <c r="F46" s="49">
        <f>QoQ!F45</f>
        <v>-1.1882557084191774</v>
      </c>
      <c r="G46" s="49">
        <f>QoQ!G45</f>
        <v>-4.5830320418644988E-3</v>
      </c>
      <c r="H46" s="49">
        <f>QoQ!H45</f>
        <v>-1.8680370106530546</v>
      </c>
      <c r="I46" s="49">
        <f>QoQ!I45</f>
        <v>-2.1258629862321072</v>
      </c>
      <c r="J46" s="49">
        <f>QoQ!J45</f>
        <v>-0.79119742798343395</v>
      </c>
      <c r="K46" s="49">
        <f>QoQ!K45</f>
        <v>-2.1402714268369039</v>
      </c>
      <c r="L46" s="49">
        <f>QoQ!L45</f>
        <v>3.0988487696904627</v>
      </c>
      <c r="M46" s="49">
        <f>QoQ!M45</f>
        <v>0.86985832984215961</v>
      </c>
      <c r="O46" s="35">
        <v>44621</v>
      </c>
      <c r="P46" s="50">
        <f t="shared" si="2"/>
        <v>2022</v>
      </c>
      <c r="Q46" s="49">
        <f t="shared" si="16"/>
        <v>0.99999999999999989</v>
      </c>
      <c r="R46" s="49">
        <f t="shared" si="17"/>
        <v>9.6518183687888948E-2</v>
      </c>
      <c r="S46" s="49">
        <f t="shared" si="18"/>
        <v>0.74484381210083417</v>
      </c>
      <c r="T46" s="49">
        <f t="shared" si="19"/>
        <v>0.90863699798036202</v>
      </c>
      <c r="U46" s="49">
        <f t="shared" si="20"/>
        <v>0.30240959857318694</v>
      </c>
      <c r="V46" s="49">
        <f t="shared" si="21"/>
        <v>0.80584596744017434</v>
      </c>
      <c r="W46" s="49">
        <f t="shared" si="22"/>
        <v>0.94953496178283481</v>
      </c>
      <c r="X46" s="49">
        <f t="shared" si="23"/>
        <v>0.94620652158597995</v>
      </c>
      <c r="Y46" s="49">
        <f t="shared" si="24"/>
        <v>0.42980038908696011</v>
      </c>
      <c r="Z46" s="49">
        <f t="shared" si="25"/>
        <v>0.82785143847997988</v>
      </c>
      <c r="AA46" s="49">
        <f t="shared" si="26"/>
        <v>0.83025942964820021</v>
      </c>
      <c r="AB46" s="49">
        <f t="shared" si="27"/>
        <v>0.57452922453684163</v>
      </c>
      <c r="AD46" s="52">
        <f t="shared" si="15"/>
        <v>0.75727809924293576</v>
      </c>
      <c r="AE46" s="53">
        <f>INDEX('доля годы'!$A$2:$L$15,MATCH('cross-sectoral correlation'!$P46,'доля годы'!$A$2:$A$15,0),MATCH('cross-sectoral correlation'!AE$1,'доля годы'!$A$2:$L$2,0))</f>
        <v>4.2146054210899226</v>
      </c>
      <c r="AF46" s="53">
        <f>INDEX('доля годы'!$A$2:$L$15,MATCH('cross-sectoral correlation'!$P46,'доля годы'!$A$2:$A$15,0),MATCH('cross-sectoral correlation'!AF$1,'доля годы'!$A$2:$L$2,0))</f>
        <v>12.05206343982603</v>
      </c>
      <c r="AG46" s="53">
        <f>INDEX('доля годы'!$A$2:$L$15,MATCH('cross-sectoral correlation'!$P46,'доля годы'!$A$2:$A$15,0),MATCH('cross-sectoral correlation'!AG$1,'доля годы'!$A$2:$L$2,0))</f>
        <v>12.817176437934275</v>
      </c>
      <c r="AH46" s="53">
        <f>INDEX('доля годы'!$A$2:$L$15,MATCH('cross-sectoral correlation'!$P46,'доля годы'!$A$2:$A$15,0),MATCH('cross-sectoral correlation'!AH$1,'доля годы'!$A$2:$L$2,0))</f>
        <v>2.6796633150789941</v>
      </c>
      <c r="AI46" s="53">
        <f>INDEX('доля годы'!$A$2:$L$15,MATCH('cross-sectoral correlation'!$P46,'доля годы'!$A$2:$A$15,0),MATCH('cross-sectoral correlation'!AI$1,'доля годы'!$A$2:$L$2,0))</f>
        <v>4.8126962010131651</v>
      </c>
      <c r="AJ46" s="53">
        <f>INDEX('доля годы'!$A$2:$L$15,MATCH('cross-sectoral correlation'!$P46,'доля годы'!$A$2:$A$15,0),MATCH('cross-sectoral correlation'!AJ$1,'доля годы'!$A$2:$L$2,0))</f>
        <v>10.140400737975918</v>
      </c>
      <c r="AK46" s="53">
        <f>INDEX('доля годы'!$A$2:$L$15,MATCH('cross-sectoral correlation'!$P46,'доля годы'!$A$2:$A$15,0),MATCH('cross-sectoral correlation'!AK$1,'доля годы'!$A$2:$L$2,0))</f>
        <v>5.5550839867344148</v>
      </c>
      <c r="AL46" s="53">
        <f>INDEX('доля годы'!$A$2:$L$15,MATCH('cross-sectoral correlation'!$P46,'доля годы'!$A$2:$A$15,0),MATCH('cross-sectoral correlation'!AL$1,'доля годы'!$A$2:$L$2,0))</f>
        <v>5.1026714827208162</v>
      </c>
      <c r="AM46" s="53">
        <f>INDEX('доля годы'!$A$2:$L$15,MATCH('cross-sectoral correlation'!$P46,'доля годы'!$A$2:$A$15,0),MATCH('cross-sectoral correlation'!AM$1,'доля годы'!$A$2:$L$2,0))</f>
        <v>9.6020375369118582</v>
      </c>
      <c r="AN46" s="53">
        <f>INDEX('доля годы'!$A$2:$L$15,MATCH('cross-sectoral correlation'!$P46,'доля годы'!$A$2:$A$15,0),MATCH('cross-sectoral correlation'!AN$1,'доля годы'!$A$2:$L$2,0))</f>
        <v>23.498099898362625</v>
      </c>
      <c r="AO46" s="53">
        <f>INDEX('доля годы'!$A$2:$L$15,MATCH('cross-sectoral correlation'!$P46,'доля годы'!$A$2:$A$15,0),MATCH('cross-sectoral correlation'!AO$1,'доля годы'!$A$2:$L$2,0))</f>
        <v>9.5255015423519538</v>
      </c>
    </row>
    <row r="47" spans="1:41" x14ac:dyDescent="0.2">
      <c r="A47" s="35">
        <f t="shared" si="0"/>
        <v>44713</v>
      </c>
      <c r="B47" s="49">
        <f>QoQ!B46</f>
        <v>-5.5181914727493506</v>
      </c>
      <c r="C47" s="49">
        <f>QoQ!C46</f>
        <v>0.64460052941291224</v>
      </c>
      <c r="D47" s="49">
        <f>QoQ!D46</f>
        <v>-4.4666056404507231</v>
      </c>
      <c r="E47" s="49">
        <f>QoQ!E46</f>
        <v>-5.802080887293144</v>
      </c>
      <c r="F47" s="49">
        <f>QoQ!F46</f>
        <v>-0.24107875308224891</v>
      </c>
      <c r="G47" s="49">
        <f>QoQ!G46</f>
        <v>-2.0045444284398712</v>
      </c>
      <c r="H47" s="49">
        <f>QoQ!H46</f>
        <v>-15.981200833679921</v>
      </c>
      <c r="I47" s="49">
        <f>QoQ!I46</f>
        <v>-0.49568357208671898</v>
      </c>
      <c r="J47" s="49">
        <f>QoQ!J46</f>
        <v>2.2337883751334005</v>
      </c>
      <c r="K47" s="49">
        <f>QoQ!K46</f>
        <v>1.6280723063048583</v>
      </c>
      <c r="L47" s="49">
        <f>QoQ!L46</f>
        <v>-7.0679183470743681</v>
      </c>
      <c r="M47" s="49">
        <f>QoQ!M46</f>
        <v>-12.217500466341818</v>
      </c>
      <c r="O47" s="35">
        <v>44713</v>
      </c>
      <c r="P47" s="50">
        <f t="shared" si="2"/>
        <v>2022</v>
      </c>
      <c r="Q47" s="49">
        <f t="shared" si="16"/>
        <v>1</v>
      </c>
      <c r="R47" s="49">
        <f t="shared" si="17"/>
        <v>-0.22013008456342265</v>
      </c>
      <c r="S47" s="49">
        <f t="shared" si="18"/>
        <v>0.50069487049725836</v>
      </c>
      <c r="T47" s="49">
        <f t="shared" si="19"/>
        <v>0.89393245369678309</v>
      </c>
      <c r="U47" s="49">
        <f t="shared" si="20"/>
        <v>0.25100124314171723</v>
      </c>
      <c r="V47" s="49">
        <f t="shared" si="21"/>
        <v>0.59488235387247423</v>
      </c>
      <c r="W47" s="49">
        <f t="shared" si="22"/>
        <v>0.97590383536405489</v>
      </c>
      <c r="X47" s="49">
        <f t="shared" si="23"/>
        <v>0.70269039308300829</v>
      </c>
      <c r="Y47" s="49">
        <f t="shared" si="24"/>
        <v>0.45320025884206178</v>
      </c>
      <c r="Z47" s="49">
        <f t="shared" si="25"/>
        <v>0.31278974544229404</v>
      </c>
      <c r="AA47" s="49">
        <f t="shared" si="26"/>
        <v>0.78858108417614325</v>
      </c>
      <c r="AB47" s="49">
        <f t="shared" si="27"/>
        <v>0.65273470707772763</v>
      </c>
      <c r="AD47" s="52">
        <f t="shared" si="15"/>
        <v>0.63963215335093015</v>
      </c>
      <c r="AE47" s="53">
        <f>INDEX('доля годы'!$A$2:$L$15,MATCH('cross-sectoral correlation'!$P47,'доля годы'!$A$2:$A$15,0),MATCH('cross-sectoral correlation'!AE$1,'доля годы'!$A$2:$L$2,0))</f>
        <v>4.2146054210899226</v>
      </c>
      <c r="AF47" s="53">
        <f>INDEX('доля годы'!$A$2:$L$15,MATCH('cross-sectoral correlation'!$P47,'доля годы'!$A$2:$A$15,0),MATCH('cross-sectoral correlation'!AF$1,'доля годы'!$A$2:$L$2,0))</f>
        <v>12.05206343982603</v>
      </c>
      <c r="AG47" s="53">
        <f>INDEX('доля годы'!$A$2:$L$15,MATCH('cross-sectoral correlation'!$P47,'доля годы'!$A$2:$A$15,0),MATCH('cross-sectoral correlation'!AG$1,'доля годы'!$A$2:$L$2,0))</f>
        <v>12.817176437934275</v>
      </c>
      <c r="AH47" s="53">
        <f>INDEX('доля годы'!$A$2:$L$15,MATCH('cross-sectoral correlation'!$P47,'доля годы'!$A$2:$A$15,0),MATCH('cross-sectoral correlation'!AH$1,'доля годы'!$A$2:$L$2,0))</f>
        <v>2.6796633150789941</v>
      </c>
      <c r="AI47" s="53">
        <f>INDEX('доля годы'!$A$2:$L$15,MATCH('cross-sectoral correlation'!$P47,'доля годы'!$A$2:$A$15,0),MATCH('cross-sectoral correlation'!AI$1,'доля годы'!$A$2:$L$2,0))</f>
        <v>4.8126962010131651</v>
      </c>
      <c r="AJ47" s="53">
        <f>INDEX('доля годы'!$A$2:$L$15,MATCH('cross-sectoral correlation'!$P47,'доля годы'!$A$2:$A$15,0),MATCH('cross-sectoral correlation'!AJ$1,'доля годы'!$A$2:$L$2,0))</f>
        <v>10.140400737975918</v>
      </c>
      <c r="AK47" s="53">
        <f>INDEX('доля годы'!$A$2:$L$15,MATCH('cross-sectoral correlation'!$P47,'доля годы'!$A$2:$A$15,0),MATCH('cross-sectoral correlation'!AK$1,'доля годы'!$A$2:$L$2,0))</f>
        <v>5.5550839867344148</v>
      </c>
      <c r="AL47" s="53">
        <f>INDEX('доля годы'!$A$2:$L$15,MATCH('cross-sectoral correlation'!$P47,'доля годы'!$A$2:$A$15,0),MATCH('cross-sectoral correlation'!AL$1,'доля годы'!$A$2:$L$2,0))</f>
        <v>5.1026714827208162</v>
      </c>
      <c r="AM47" s="53">
        <f>INDEX('доля годы'!$A$2:$L$15,MATCH('cross-sectoral correlation'!$P47,'доля годы'!$A$2:$A$15,0),MATCH('cross-sectoral correlation'!AM$1,'доля годы'!$A$2:$L$2,0))</f>
        <v>9.6020375369118582</v>
      </c>
      <c r="AN47" s="53">
        <f>INDEX('доля годы'!$A$2:$L$15,MATCH('cross-sectoral correlation'!$P47,'доля годы'!$A$2:$A$15,0),MATCH('cross-sectoral correlation'!AN$1,'доля годы'!$A$2:$L$2,0))</f>
        <v>23.498099898362625</v>
      </c>
      <c r="AO47" s="53">
        <f>INDEX('доля годы'!$A$2:$L$15,MATCH('cross-sectoral correlation'!$P47,'доля годы'!$A$2:$A$15,0),MATCH('cross-sectoral correlation'!AO$1,'доля годы'!$A$2:$L$2,0))</f>
        <v>9.5255015423519538</v>
      </c>
    </row>
    <row r="48" spans="1:41" x14ac:dyDescent="0.2">
      <c r="A48" s="37">
        <f t="shared" si="0"/>
        <v>44805</v>
      </c>
      <c r="B48" s="49">
        <f>QoQ!B47</f>
        <v>1.1196254119864903</v>
      </c>
      <c r="C48" s="49">
        <f>QoQ!C47</f>
        <v>0.41138059932796978</v>
      </c>
      <c r="D48" s="49">
        <f>QoQ!D47</f>
        <v>2.303889475990502</v>
      </c>
      <c r="E48" s="49">
        <f>QoQ!E47</f>
        <v>2.5943544982859379</v>
      </c>
      <c r="F48" s="49">
        <f>QoQ!F47</f>
        <v>-0.63188332712584838</v>
      </c>
      <c r="G48" s="49">
        <f>QoQ!G47</f>
        <v>3.8851970250015597</v>
      </c>
      <c r="H48" s="49">
        <f>QoQ!H47</f>
        <v>-4.1237689943857276</v>
      </c>
      <c r="I48" s="49">
        <f>QoQ!I47</f>
        <v>-0.23568489276915727</v>
      </c>
      <c r="J48" s="49">
        <f>QoQ!J47</f>
        <v>2.097550166545787</v>
      </c>
      <c r="K48" s="49">
        <f>QoQ!K47</f>
        <v>1.3429651571298677</v>
      </c>
      <c r="L48" s="49">
        <f>QoQ!L47</f>
        <v>3.076292294289189</v>
      </c>
      <c r="M48" s="49">
        <f>QoQ!M47</f>
        <v>0.81867516628931014</v>
      </c>
      <c r="O48" s="37">
        <v>44805</v>
      </c>
      <c r="P48" s="50">
        <f t="shared" si="2"/>
        <v>2022</v>
      </c>
      <c r="Q48" s="49">
        <f t="shared" si="16"/>
        <v>1.0000000000000002</v>
      </c>
      <c r="R48" s="49">
        <f t="shared" si="17"/>
        <v>0.11848809538819455</v>
      </c>
      <c r="S48" s="49">
        <f t="shared" si="18"/>
        <v>0.90449323612171306</v>
      </c>
      <c r="T48" s="49">
        <f t="shared" si="19"/>
        <v>0.79260682515979275</v>
      </c>
      <c r="U48" s="49">
        <f t="shared" si="20"/>
        <v>0.31335639106442625</v>
      </c>
      <c r="V48" s="49">
        <f t="shared" si="21"/>
        <v>0.37083347954976537</v>
      </c>
      <c r="W48" s="49">
        <f t="shared" si="22"/>
        <v>0.90942572807414257</v>
      </c>
      <c r="X48" s="49">
        <f t="shared" si="23"/>
        <v>0.27969592049314268</v>
      </c>
      <c r="Y48" s="49">
        <f t="shared" si="24"/>
        <v>0.12428756248148017</v>
      </c>
      <c r="Z48" s="49">
        <f t="shared" si="25"/>
        <v>-0.25980332948652735</v>
      </c>
      <c r="AA48" s="49">
        <f t="shared" si="26"/>
        <v>0.59232540378099485</v>
      </c>
      <c r="AB48" s="49">
        <f t="shared" si="27"/>
        <v>0.81945121246302832</v>
      </c>
      <c r="AD48" s="52">
        <f t="shared" si="15"/>
        <v>0.5482320869024575</v>
      </c>
      <c r="AE48" s="53">
        <f>INDEX('доля годы'!$A$2:$L$15,MATCH('cross-sectoral correlation'!$P48,'доля годы'!$A$2:$A$15,0),MATCH('cross-sectoral correlation'!AE$1,'доля годы'!$A$2:$L$2,0))</f>
        <v>4.2146054210899226</v>
      </c>
      <c r="AF48" s="53">
        <f>INDEX('доля годы'!$A$2:$L$15,MATCH('cross-sectoral correlation'!$P48,'доля годы'!$A$2:$A$15,0),MATCH('cross-sectoral correlation'!AF$1,'доля годы'!$A$2:$L$2,0))</f>
        <v>12.05206343982603</v>
      </c>
      <c r="AG48" s="53">
        <f>INDEX('доля годы'!$A$2:$L$15,MATCH('cross-sectoral correlation'!$P48,'доля годы'!$A$2:$A$15,0),MATCH('cross-sectoral correlation'!AG$1,'доля годы'!$A$2:$L$2,0))</f>
        <v>12.817176437934275</v>
      </c>
      <c r="AH48" s="53">
        <f>INDEX('доля годы'!$A$2:$L$15,MATCH('cross-sectoral correlation'!$P48,'доля годы'!$A$2:$A$15,0),MATCH('cross-sectoral correlation'!AH$1,'доля годы'!$A$2:$L$2,0))</f>
        <v>2.6796633150789941</v>
      </c>
      <c r="AI48" s="53">
        <f>INDEX('доля годы'!$A$2:$L$15,MATCH('cross-sectoral correlation'!$P48,'доля годы'!$A$2:$A$15,0),MATCH('cross-sectoral correlation'!AI$1,'доля годы'!$A$2:$L$2,0))</f>
        <v>4.8126962010131651</v>
      </c>
      <c r="AJ48" s="53">
        <f>INDEX('доля годы'!$A$2:$L$15,MATCH('cross-sectoral correlation'!$P48,'доля годы'!$A$2:$A$15,0),MATCH('cross-sectoral correlation'!AJ$1,'доля годы'!$A$2:$L$2,0))</f>
        <v>10.140400737975918</v>
      </c>
      <c r="AK48" s="53">
        <f>INDEX('доля годы'!$A$2:$L$15,MATCH('cross-sectoral correlation'!$P48,'доля годы'!$A$2:$A$15,0),MATCH('cross-sectoral correlation'!AK$1,'доля годы'!$A$2:$L$2,0))</f>
        <v>5.5550839867344148</v>
      </c>
      <c r="AL48" s="53">
        <f>INDEX('доля годы'!$A$2:$L$15,MATCH('cross-sectoral correlation'!$P48,'доля годы'!$A$2:$A$15,0),MATCH('cross-sectoral correlation'!AL$1,'доля годы'!$A$2:$L$2,0))</f>
        <v>5.1026714827208162</v>
      </c>
      <c r="AM48" s="53">
        <f>INDEX('доля годы'!$A$2:$L$15,MATCH('cross-sectoral correlation'!$P48,'доля годы'!$A$2:$A$15,0),MATCH('cross-sectoral correlation'!AM$1,'доля годы'!$A$2:$L$2,0))</f>
        <v>9.6020375369118582</v>
      </c>
      <c r="AN48" s="53">
        <f>INDEX('доля годы'!$A$2:$L$15,MATCH('cross-sectoral correlation'!$P48,'доля годы'!$A$2:$A$15,0),MATCH('cross-sectoral correlation'!AN$1,'доля годы'!$A$2:$L$2,0))</f>
        <v>23.498099898362625</v>
      </c>
      <c r="AO48" s="53">
        <f>INDEX('доля годы'!$A$2:$L$15,MATCH('cross-sectoral correlation'!$P48,'доля годы'!$A$2:$A$15,0),MATCH('cross-sectoral correlation'!AO$1,'доля годы'!$A$2:$L$2,0))</f>
        <v>9.5255015423519538</v>
      </c>
    </row>
    <row r="49" spans="1:41" x14ac:dyDescent="0.2">
      <c r="A49" s="37">
        <f t="shared" si="0"/>
        <v>44896</v>
      </c>
      <c r="B49" s="49">
        <f>QoQ!B48</f>
        <v>1.3904308148298554</v>
      </c>
      <c r="C49" s="49">
        <f>QoQ!C48</f>
        <v>0.79657563307368662</v>
      </c>
      <c r="D49" s="49">
        <f>QoQ!D48</f>
        <v>-0.19871543775774114</v>
      </c>
      <c r="E49" s="49">
        <f>QoQ!E48</f>
        <v>2.0181899374219512</v>
      </c>
      <c r="F49" s="49">
        <f>QoQ!F48</f>
        <v>-0.31121713503871717</v>
      </c>
      <c r="G49" s="49">
        <f>QoQ!G48</f>
        <v>7.2225206135643703</v>
      </c>
      <c r="H49" s="49">
        <f>QoQ!H48</f>
        <v>3.1156955202104655</v>
      </c>
      <c r="I49" s="49">
        <f>QoQ!I48</f>
        <v>-3.9454125474762236E-2</v>
      </c>
      <c r="J49" s="49">
        <f>QoQ!J48</f>
        <v>1.4942437927762313</v>
      </c>
      <c r="K49" s="49">
        <f>QoQ!K48</f>
        <v>1.6955011531210715</v>
      </c>
      <c r="L49" s="49">
        <f>QoQ!L48</f>
        <v>1.6169038576576469</v>
      </c>
      <c r="M49" s="49">
        <f>QoQ!M48</f>
        <v>2.7102786214364727</v>
      </c>
      <c r="O49" s="37">
        <v>44896</v>
      </c>
      <c r="P49" s="50">
        <f t="shared" si="2"/>
        <v>2022</v>
      </c>
      <c r="Q49" s="49">
        <f t="shared" si="16"/>
        <v>0.99999999999999978</v>
      </c>
      <c r="R49" s="49">
        <f t="shared" si="17"/>
        <v>0.10703713661474952</v>
      </c>
      <c r="S49" s="49">
        <f t="shared" si="18"/>
        <v>0.86978322263694852</v>
      </c>
      <c r="T49" s="49">
        <f t="shared" si="19"/>
        <v>0.81316451601292217</v>
      </c>
      <c r="U49" s="49">
        <f t="shared" si="20"/>
        <v>0.27483528681413322</v>
      </c>
      <c r="V49" s="49">
        <f t="shared" si="21"/>
        <v>0.39975298951324079</v>
      </c>
      <c r="W49" s="49">
        <f t="shared" si="22"/>
        <v>0.91326570625031489</v>
      </c>
      <c r="X49" s="49">
        <f t="shared" si="23"/>
        <v>0.26808041888641482</v>
      </c>
      <c r="Y49" s="49">
        <f t="shared" si="24"/>
        <v>0.13438554389880314</v>
      </c>
      <c r="Z49" s="49">
        <f t="shared" si="25"/>
        <v>-0.18366645973776458</v>
      </c>
      <c r="AA49" s="49">
        <f t="shared" si="26"/>
        <v>0.61769697607185803</v>
      </c>
      <c r="AB49" s="49">
        <f t="shared" si="27"/>
        <v>0.82513036326525291</v>
      </c>
      <c r="AD49" s="52">
        <f t="shared" si="15"/>
        <v>0.56063359003083446</v>
      </c>
      <c r="AE49" s="53">
        <f>INDEX('доля годы'!$A$2:$L$15,MATCH('cross-sectoral correlation'!$P49,'доля годы'!$A$2:$A$15,0),MATCH('cross-sectoral correlation'!AE$1,'доля годы'!$A$2:$L$2,0))</f>
        <v>4.2146054210899226</v>
      </c>
      <c r="AF49" s="53">
        <f>INDEX('доля годы'!$A$2:$L$15,MATCH('cross-sectoral correlation'!$P49,'доля годы'!$A$2:$A$15,0),MATCH('cross-sectoral correlation'!AF$1,'доля годы'!$A$2:$L$2,0))</f>
        <v>12.05206343982603</v>
      </c>
      <c r="AG49" s="53">
        <f>INDEX('доля годы'!$A$2:$L$15,MATCH('cross-sectoral correlation'!$P49,'доля годы'!$A$2:$A$15,0),MATCH('cross-sectoral correlation'!AG$1,'доля годы'!$A$2:$L$2,0))</f>
        <v>12.817176437934275</v>
      </c>
      <c r="AH49" s="53">
        <f>INDEX('доля годы'!$A$2:$L$15,MATCH('cross-sectoral correlation'!$P49,'доля годы'!$A$2:$A$15,0),MATCH('cross-sectoral correlation'!AH$1,'доля годы'!$A$2:$L$2,0))</f>
        <v>2.6796633150789941</v>
      </c>
      <c r="AI49" s="53">
        <f>INDEX('доля годы'!$A$2:$L$15,MATCH('cross-sectoral correlation'!$P49,'доля годы'!$A$2:$A$15,0),MATCH('cross-sectoral correlation'!AI$1,'доля годы'!$A$2:$L$2,0))</f>
        <v>4.8126962010131651</v>
      </c>
      <c r="AJ49" s="53">
        <f>INDEX('доля годы'!$A$2:$L$15,MATCH('cross-sectoral correlation'!$P49,'доля годы'!$A$2:$A$15,0),MATCH('cross-sectoral correlation'!AJ$1,'доля годы'!$A$2:$L$2,0))</f>
        <v>10.140400737975918</v>
      </c>
      <c r="AK49" s="53">
        <f>INDEX('доля годы'!$A$2:$L$15,MATCH('cross-sectoral correlation'!$P49,'доля годы'!$A$2:$A$15,0),MATCH('cross-sectoral correlation'!AK$1,'доля годы'!$A$2:$L$2,0))</f>
        <v>5.5550839867344148</v>
      </c>
      <c r="AL49" s="53">
        <f>INDEX('доля годы'!$A$2:$L$15,MATCH('cross-sectoral correlation'!$P49,'доля годы'!$A$2:$A$15,0),MATCH('cross-sectoral correlation'!AL$1,'доля годы'!$A$2:$L$2,0))</f>
        <v>5.1026714827208162</v>
      </c>
      <c r="AM49" s="53">
        <f>INDEX('доля годы'!$A$2:$L$15,MATCH('cross-sectoral correlation'!$P49,'доля годы'!$A$2:$A$15,0),MATCH('cross-sectoral correlation'!AM$1,'доля годы'!$A$2:$L$2,0))</f>
        <v>9.6020375369118582</v>
      </c>
      <c r="AN49" s="53">
        <f>INDEX('доля годы'!$A$2:$L$15,MATCH('cross-sectoral correlation'!$P49,'доля годы'!$A$2:$A$15,0),MATCH('cross-sectoral correlation'!AN$1,'доля годы'!$A$2:$L$2,0))</f>
        <v>23.498099898362625</v>
      </c>
      <c r="AO49" s="53">
        <f>INDEX('доля годы'!$A$2:$L$15,MATCH('cross-sectoral correlation'!$P49,'доля годы'!$A$2:$A$15,0),MATCH('cross-sectoral correlation'!AO$1,'доля годы'!$A$2:$L$2,0))</f>
        <v>9.5255015423519538</v>
      </c>
    </row>
    <row r="50" spans="1:41" x14ac:dyDescent="0.2">
      <c r="A50" s="37">
        <f t="shared" si="0"/>
        <v>44986</v>
      </c>
      <c r="B50" s="49">
        <f>QoQ!B49</f>
        <v>1.3056927286224891</v>
      </c>
      <c r="C50" s="49">
        <f>QoQ!C49</f>
        <v>0.28121677996276162</v>
      </c>
      <c r="D50" s="49">
        <f>QoQ!D49</f>
        <v>-2.5495486105495502</v>
      </c>
      <c r="E50" s="49">
        <f>QoQ!E49</f>
        <v>1.6033499720751365</v>
      </c>
      <c r="F50" s="49">
        <f>QoQ!F49</f>
        <v>0.33975697729708543</v>
      </c>
      <c r="G50" s="49">
        <f>QoQ!G49</f>
        <v>-1.281119393246982</v>
      </c>
      <c r="H50" s="49">
        <f>QoQ!H49</f>
        <v>9.0957711274141957</v>
      </c>
      <c r="I50" s="49">
        <f>QoQ!I49</f>
        <v>1.6889629722985404</v>
      </c>
      <c r="J50" s="49">
        <f>QoQ!J49</f>
        <v>0.19416992435317582</v>
      </c>
      <c r="K50" s="49">
        <f>QoQ!K49</f>
        <v>-1.2286986004092171</v>
      </c>
      <c r="L50" s="49">
        <f>QoQ!L49</f>
        <v>0.22168104126623689</v>
      </c>
      <c r="M50" s="49">
        <f>QoQ!M49</f>
        <v>1.7144902117267833</v>
      </c>
      <c r="O50" s="37">
        <v>44986</v>
      </c>
      <c r="P50" s="50">
        <f t="shared" si="2"/>
        <v>2023</v>
      </c>
      <c r="Q50" s="49">
        <f t="shared" si="16"/>
        <v>1</v>
      </c>
      <c r="R50" s="49">
        <f t="shared" si="17"/>
        <v>0.10928179573701602</v>
      </c>
      <c r="S50" s="49">
        <f t="shared" si="18"/>
        <v>0.71504030410452868</v>
      </c>
      <c r="T50" s="49">
        <f t="shared" si="19"/>
        <v>0.89885323525881367</v>
      </c>
      <c r="U50" s="49">
        <f t="shared" si="20"/>
        <v>0.19034883802563232</v>
      </c>
      <c r="V50" s="49">
        <f t="shared" si="21"/>
        <v>0.41802252170762189</v>
      </c>
      <c r="W50" s="49">
        <f t="shared" si="22"/>
        <v>0.87304049441995435</v>
      </c>
      <c r="X50" s="49">
        <f t="shared" si="23"/>
        <v>0.31505073392855054</v>
      </c>
      <c r="Y50" s="49">
        <f t="shared" si="24"/>
        <v>-4.9005013467755897E-2</v>
      </c>
      <c r="Z50" s="49">
        <f t="shared" si="25"/>
        <v>-0.24312606517249902</v>
      </c>
      <c r="AA50" s="49">
        <f t="shared" si="26"/>
        <v>0.57860662823477438</v>
      </c>
      <c r="AB50" s="49">
        <f t="shared" si="27"/>
        <v>0.83815303471228064</v>
      </c>
      <c r="AD50" s="52">
        <f t="shared" si="15"/>
        <v>0.52765807372462836</v>
      </c>
      <c r="AE50" s="53">
        <f>INDEX('доля годы'!$A$2:$L$15,MATCH('cross-sectoral correlation'!$P50,'доля годы'!$A$2:$A$15,0),MATCH('cross-sectoral correlation'!AE$1,'доля годы'!$A$2:$L$2,0))</f>
        <v>4.1801866306398745</v>
      </c>
      <c r="AF50" s="53">
        <f>INDEX('доля годы'!$A$2:$L$15,MATCH('cross-sectoral correlation'!$P50,'доля годы'!$A$2:$A$15,0),MATCH('cross-sectoral correlation'!AF$1,'доля годы'!$A$2:$L$2,0))</f>
        <v>11.781695995286242</v>
      </c>
      <c r="AG50" s="53">
        <f>INDEX('доля годы'!$A$2:$L$15,MATCH('cross-sectoral correlation'!$P50,'доля годы'!$A$2:$A$15,0),MATCH('cross-sectoral correlation'!AG$1,'доля годы'!$A$2:$L$2,0))</f>
        <v>13.199535301028661</v>
      </c>
      <c r="AH50" s="53">
        <f>INDEX('доля годы'!$A$2:$L$15,MATCH('cross-sectoral correlation'!$P50,'доля годы'!$A$2:$A$15,0),MATCH('cross-sectoral correlation'!AH$1,'доля годы'!$A$2:$L$2,0))</f>
        <v>2.5892996030240796</v>
      </c>
      <c r="AI50" s="53">
        <f>INDEX('доля годы'!$A$2:$L$15,MATCH('cross-sectoral correlation'!$P50,'доля годы'!$A$2:$A$15,0),MATCH('cross-sectoral correlation'!AI$1,'доля годы'!$A$2:$L$2,0))</f>
        <v>4.2188074160216642</v>
      </c>
      <c r="AJ50" s="53">
        <f>INDEX('доля годы'!$A$2:$L$15,MATCH('cross-sectoral correlation'!$P50,'доля годы'!$A$2:$A$15,0),MATCH('cross-sectoral correlation'!AJ$1,'доля годы'!$A$2:$L$2,0))</f>
        <v>10.624048363680204</v>
      </c>
      <c r="AK50" s="53">
        <f>INDEX('доля годы'!$A$2:$L$15,MATCH('cross-sectoral correlation'!$P50,'доля годы'!$A$2:$A$15,0),MATCH('cross-sectoral correlation'!AK$1,'доля годы'!$A$2:$L$2,0))</f>
        <v>5.6512116621717894</v>
      </c>
      <c r="AL50" s="53">
        <f>INDEX('доля годы'!$A$2:$L$15,MATCH('cross-sectoral correlation'!$P50,'доля годы'!$A$2:$A$15,0),MATCH('cross-sectoral correlation'!AL$1,'доля годы'!$A$2:$L$2,0))</f>
        <v>5.302407801921559</v>
      </c>
      <c r="AM50" s="53">
        <f>INDEX('доля годы'!$A$2:$L$15,MATCH('cross-sectoral correlation'!$P50,'доля годы'!$A$2:$A$15,0),MATCH('cross-sectoral correlation'!AM$1,'доля годы'!$A$2:$L$2,0))</f>
        <v>9.8086850381896191</v>
      </c>
      <c r="AN50" s="53">
        <f>INDEX('доля годы'!$A$2:$L$15,MATCH('cross-sectoral correlation'!$P50,'доля годы'!$A$2:$A$15,0),MATCH('cross-sectoral correlation'!AN$1,'доля годы'!$A$2:$L$2,0))</f>
        <v>23.148428538446929</v>
      </c>
      <c r="AO50" s="53">
        <f>INDEX('доля годы'!$A$2:$L$15,MATCH('cross-sectoral correlation'!$P50,'доля годы'!$A$2:$A$15,0),MATCH('cross-sectoral correlation'!AO$1,'доля годы'!$A$2:$L$2,0))</f>
        <v>9.4956936495893931</v>
      </c>
    </row>
    <row r="51" spans="1:41" x14ac:dyDescent="0.2">
      <c r="A51" s="37">
        <f t="shared" si="0"/>
        <v>45078</v>
      </c>
      <c r="B51" s="49">
        <f>QoQ!B50</f>
        <v>1.1756557978253852</v>
      </c>
      <c r="C51" s="49">
        <f>QoQ!C50</f>
        <v>0.80221663028223134</v>
      </c>
      <c r="D51" s="49">
        <f>QoQ!D50</f>
        <v>1.1731825008807704</v>
      </c>
      <c r="E51" s="49">
        <f>QoQ!E50</f>
        <v>2.7236670783566694</v>
      </c>
      <c r="F51" s="49">
        <f>QoQ!F50</f>
        <v>-1.1656126755752894E-2</v>
      </c>
      <c r="G51" s="49">
        <f>QoQ!G50</f>
        <v>3.3034484359331344</v>
      </c>
      <c r="H51" s="49">
        <f>QoQ!H50</f>
        <v>2.7650342430029866</v>
      </c>
      <c r="I51" s="49">
        <f>QoQ!I50</f>
        <v>0.48044509620339682</v>
      </c>
      <c r="J51" s="49">
        <f>QoQ!J50</f>
        <v>-1.3532987678801902</v>
      </c>
      <c r="K51" s="49">
        <f>QoQ!K50</f>
        <v>1.7290392577252476</v>
      </c>
      <c r="L51" s="49">
        <f>QoQ!L50</f>
        <v>-1.3415489365157356</v>
      </c>
      <c r="M51" s="49">
        <f>QoQ!M50</f>
        <v>1.7747347731431802</v>
      </c>
      <c r="O51" s="37">
        <v>45078</v>
      </c>
      <c r="P51" s="50">
        <f t="shared" si="2"/>
        <v>2023</v>
      </c>
      <c r="Q51" s="49">
        <f t="shared" si="16"/>
        <v>0.99999999999999978</v>
      </c>
      <c r="R51" s="49">
        <f t="shared" si="17"/>
        <v>8.3639549892903314E-2</v>
      </c>
      <c r="S51" s="49">
        <f t="shared" si="18"/>
        <v>0.71356327011388299</v>
      </c>
      <c r="T51" s="49">
        <f t="shared" si="19"/>
        <v>0.97608994984102715</v>
      </c>
      <c r="U51" s="49">
        <f t="shared" si="20"/>
        <v>8.6333819937120387E-2</v>
      </c>
      <c r="V51" s="49">
        <f t="shared" si="21"/>
        <v>0.59123227644030074</v>
      </c>
      <c r="W51" s="49">
        <f t="shared" si="22"/>
        <v>0.88328333907028622</v>
      </c>
      <c r="X51" s="49">
        <f t="shared" si="23"/>
        <v>0.27346188200316601</v>
      </c>
      <c r="Y51" s="49">
        <f t="shared" si="24"/>
        <v>-0.39257972302784694</v>
      </c>
      <c r="Z51" s="49">
        <f t="shared" si="25"/>
        <v>-0.18512031184640834</v>
      </c>
      <c r="AA51" s="49">
        <f t="shared" si="26"/>
        <v>0.77803855846481285</v>
      </c>
      <c r="AB51" s="49">
        <f t="shared" si="27"/>
        <v>0.86548896412629706</v>
      </c>
      <c r="AD51" s="52">
        <f t="shared" si="15"/>
        <v>0.57619206739915763</v>
      </c>
      <c r="AE51" s="53">
        <f>INDEX('доля годы'!$A$2:$L$15,MATCH('cross-sectoral correlation'!$P51,'доля годы'!$A$2:$A$15,0),MATCH('cross-sectoral correlation'!AE$1,'доля годы'!$A$2:$L$2,0))</f>
        <v>4.1801866306398745</v>
      </c>
      <c r="AF51" s="53">
        <f>INDEX('доля годы'!$A$2:$L$15,MATCH('cross-sectoral correlation'!$P51,'доля годы'!$A$2:$A$15,0),MATCH('cross-sectoral correlation'!AF$1,'доля годы'!$A$2:$L$2,0))</f>
        <v>11.781695995286242</v>
      </c>
      <c r="AG51" s="53">
        <f>INDEX('доля годы'!$A$2:$L$15,MATCH('cross-sectoral correlation'!$P51,'доля годы'!$A$2:$A$15,0),MATCH('cross-sectoral correlation'!AG$1,'доля годы'!$A$2:$L$2,0))</f>
        <v>13.199535301028661</v>
      </c>
      <c r="AH51" s="53">
        <f>INDEX('доля годы'!$A$2:$L$15,MATCH('cross-sectoral correlation'!$P51,'доля годы'!$A$2:$A$15,0),MATCH('cross-sectoral correlation'!AH$1,'доля годы'!$A$2:$L$2,0))</f>
        <v>2.5892996030240796</v>
      </c>
      <c r="AI51" s="53">
        <f>INDEX('доля годы'!$A$2:$L$15,MATCH('cross-sectoral correlation'!$P51,'доля годы'!$A$2:$A$15,0),MATCH('cross-sectoral correlation'!AI$1,'доля годы'!$A$2:$L$2,0))</f>
        <v>4.2188074160216642</v>
      </c>
      <c r="AJ51" s="53">
        <f>INDEX('доля годы'!$A$2:$L$15,MATCH('cross-sectoral correlation'!$P51,'доля годы'!$A$2:$A$15,0),MATCH('cross-sectoral correlation'!AJ$1,'доля годы'!$A$2:$L$2,0))</f>
        <v>10.624048363680204</v>
      </c>
      <c r="AK51" s="53">
        <f>INDEX('доля годы'!$A$2:$L$15,MATCH('cross-sectoral correlation'!$P51,'доля годы'!$A$2:$A$15,0),MATCH('cross-sectoral correlation'!AK$1,'доля годы'!$A$2:$L$2,0))</f>
        <v>5.6512116621717894</v>
      </c>
      <c r="AL51" s="53">
        <f>INDEX('доля годы'!$A$2:$L$15,MATCH('cross-sectoral correlation'!$P51,'доля годы'!$A$2:$A$15,0),MATCH('cross-sectoral correlation'!AL$1,'доля годы'!$A$2:$L$2,0))</f>
        <v>5.302407801921559</v>
      </c>
      <c r="AM51" s="53">
        <f>INDEX('доля годы'!$A$2:$L$15,MATCH('cross-sectoral correlation'!$P51,'доля годы'!$A$2:$A$15,0),MATCH('cross-sectoral correlation'!AM$1,'доля годы'!$A$2:$L$2,0))</f>
        <v>9.8086850381896191</v>
      </c>
      <c r="AN51" s="53">
        <f>INDEX('доля годы'!$A$2:$L$15,MATCH('cross-sectoral correlation'!$P51,'доля годы'!$A$2:$A$15,0),MATCH('cross-sectoral correlation'!AN$1,'доля годы'!$A$2:$L$2,0))</f>
        <v>23.148428538446929</v>
      </c>
      <c r="AO51" s="53">
        <f>INDEX('доля годы'!$A$2:$L$15,MATCH('cross-sectoral correlation'!$P51,'доля годы'!$A$2:$A$15,0),MATCH('cross-sectoral correlation'!AO$1,'доля годы'!$A$2:$L$2,0))</f>
        <v>9.4956936495893931</v>
      </c>
    </row>
    <row r="52" spans="1:41" x14ac:dyDescent="0.2">
      <c r="A52" s="37">
        <f t="shared" si="0"/>
        <v>45170</v>
      </c>
      <c r="B52" s="49">
        <f>QoQ!B51</f>
        <v>1.5300640864171839</v>
      </c>
      <c r="C52" s="49">
        <f>QoQ!C51</f>
        <v>0.40355524567803513</v>
      </c>
      <c r="D52" s="49">
        <f>QoQ!D51</f>
        <v>0.35846522679716486</v>
      </c>
      <c r="E52" s="49">
        <f>QoQ!E51</f>
        <v>0.91203838244855717</v>
      </c>
      <c r="F52" s="49">
        <f>QoQ!F51</f>
        <v>-0.39865204830238099</v>
      </c>
      <c r="G52" s="49">
        <f>QoQ!G51</f>
        <v>0.96031444712991743</v>
      </c>
      <c r="H52" s="49">
        <f>QoQ!H51</f>
        <v>1.2650021077455875</v>
      </c>
      <c r="I52" s="49">
        <f>QoQ!I51</f>
        <v>0.50384608363313532</v>
      </c>
      <c r="J52" s="49">
        <f>QoQ!J51</f>
        <v>2.8432260871566797</v>
      </c>
      <c r="K52" s="49">
        <f>QoQ!K51</f>
        <v>1.5858549111952129</v>
      </c>
      <c r="L52" s="49">
        <f>QoQ!L51</f>
        <v>3.0258953412301253</v>
      </c>
      <c r="M52" s="49">
        <f>QoQ!M51</f>
        <v>2.0468692466881038</v>
      </c>
      <c r="O52" s="37">
        <v>45170</v>
      </c>
      <c r="P52" s="50">
        <f t="shared" si="2"/>
        <v>2023</v>
      </c>
      <c r="Q52" s="49">
        <f t="shared" si="16"/>
        <v>1.0000000000000002</v>
      </c>
      <c r="R52" s="49">
        <f t="shared" si="17"/>
        <v>4.8355029617552454E-2</v>
      </c>
      <c r="S52" s="49">
        <f t="shared" si="18"/>
        <v>0.7090013206128023</v>
      </c>
      <c r="T52" s="49">
        <f t="shared" si="19"/>
        <v>0.96785692159148018</v>
      </c>
      <c r="U52" s="49">
        <f t="shared" si="20"/>
        <v>2.1623571533425253E-2</v>
      </c>
      <c r="V52" s="49">
        <f t="shared" si="21"/>
        <v>0.54831602705441096</v>
      </c>
      <c r="W52" s="49">
        <f t="shared" si="22"/>
        <v>0.87928420688674358</v>
      </c>
      <c r="X52" s="49">
        <f t="shared" si="23"/>
        <v>0.30581069570798525</v>
      </c>
      <c r="Y52" s="49">
        <f t="shared" si="24"/>
        <v>-0.26913727882145511</v>
      </c>
      <c r="Z52" s="49">
        <f t="shared" si="25"/>
        <v>-0.12130335309961156</v>
      </c>
      <c r="AA52" s="49">
        <f t="shared" si="26"/>
        <v>0.8474752628315162</v>
      </c>
      <c r="AB52" s="49">
        <f t="shared" si="27"/>
        <v>0.98027704081304257</v>
      </c>
      <c r="AD52" s="52">
        <f t="shared" si="15"/>
        <v>0.61078850246176974</v>
      </c>
      <c r="AE52" s="53">
        <f>INDEX('доля годы'!$A$2:$L$15,MATCH('cross-sectoral correlation'!$P52,'доля годы'!$A$2:$A$15,0),MATCH('cross-sectoral correlation'!AE$1,'доля годы'!$A$2:$L$2,0))</f>
        <v>4.1801866306398745</v>
      </c>
      <c r="AF52" s="53">
        <f>INDEX('доля годы'!$A$2:$L$15,MATCH('cross-sectoral correlation'!$P52,'доля годы'!$A$2:$A$15,0),MATCH('cross-sectoral correlation'!AF$1,'доля годы'!$A$2:$L$2,0))</f>
        <v>11.781695995286242</v>
      </c>
      <c r="AG52" s="53">
        <f>INDEX('доля годы'!$A$2:$L$15,MATCH('cross-sectoral correlation'!$P52,'доля годы'!$A$2:$A$15,0),MATCH('cross-sectoral correlation'!AG$1,'доля годы'!$A$2:$L$2,0))</f>
        <v>13.199535301028661</v>
      </c>
      <c r="AH52" s="53">
        <f>INDEX('доля годы'!$A$2:$L$15,MATCH('cross-sectoral correlation'!$P52,'доля годы'!$A$2:$A$15,0),MATCH('cross-sectoral correlation'!AH$1,'доля годы'!$A$2:$L$2,0))</f>
        <v>2.5892996030240796</v>
      </c>
      <c r="AI52" s="53">
        <f>INDEX('доля годы'!$A$2:$L$15,MATCH('cross-sectoral correlation'!$P52,'доля годы'!$A$2:$A$15,0),MATCH('cross-sectoral correlation'!AI$1,'доля годы'!$A$2:$L$2,0))</f>
        <v>4.2188074160216642</v>
      </c>
      <c r="AJ52" s="53">
        <f>INDEX('доля годы'!$A$2:$L$15,MATCH('cross-sectoral correlation'!$P52,'доля годы'!$A$2:$A$15,0),MATCH('cross-sectoral correlation'!AJ$1,'доля годы'!$A$2:$L$2,0))</f>
        <v>10.624048363680204</v>
      </c>
      <c r="AK52" s="53">
        <f>INDEX('доля годы'!$A$2:$L$15,MATCH('cross-sectoral correlation'!$P52,'доля годы'!$A$2:$A$15,0),MATCH('cross-sectoral correlation'!AK$1,'доля годы'!$A$2:$L$2,0))</f>
        <v>5.6512116621717894</v>
      </c>
      <c r="AL52" s="53">
        <f>INDEX('доля годы'!$A$2:$L$15,MATCH('cross-sectoral correlation'!$P52,'доля годы'!$A$2:$A$15,0),MATCH('cross-sectoral correlation'!AL$1,'доля годы'!$A$2:$L$2,0))</f>
        <v>5.302407801921559</v>
      </c>
      <c r="AM52" s="53">
        <f>INDEX('доля годы'!$A$2:$L$15,MATCH('cross-sectoral correlation'!$P52,'доля годы'!$A$2:$A$15,0),MATCH('cross-sectoral correlation'!AM$1,'доля годы'!$A$2:$L$2,0))</f>
        <v>9.8086850381896191</v>
      </c>
      <c r="AN52" s="53">
        <f>INDEX('доля годы'!$A$2:$L$15,MATCH('cross-sectoral correlation'!$P52,'доля годы'!$A$2:$A$15,0),MATCH('cross-sectoral correlation'!AN$1,'доля годы'!$A$2:$L$2,0))</f>
        <v>23.148428538446929</v>
      </c>
      <c r="AO52" s="53">
        <f>INDEX('доля годы'!$A$2:$L$15,MATCH('cross-sectoral correlation'!$P52,'доля годы'!$A$2:$A$15,0),MATCH('cross-sectoral correlation'!AO$1,'доля годы'!$A$2:$L$2,0))</f>
        <v>9.4956936495893931</v>
      </c>
    </row>
  </sheetData>
  <conditionalFormatting sqref="Q10:AB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2D32-AB85-4C4F-A605-83C86E11C61F}">
  <dimension ref="A1:E52"/>
  <sheetViews>
    <sheetView topLeftCell="A26" workbookViewId="0">
      <selection sqref="A1:A51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63</v>
      </c>
      <c r="B1" t="s">
        <v>35</v>
      </c>
      <c r="C1" t="s">
        <v>118</v>
      </c>
      <c r="D1" t="s">
        <v>119</v>
      </c>
      <c r="E1" t="s">
        <v>120</v>
      </c>
    </row>
    <row r="2" spans="1:5" x14ac:dyDescent="0.25">
      <c r="A2" s="46">
        <v>40695</v>
      </c>
      <c r="B2" s="47">
        <v>1.3576691255935032</v>
      </c>
      <c r="C2" s="47">
        <v>4.4547464725652333</v>
      </c>
      <c r="D2" s="47">
        <v>-0.4766727843651779</v>
      </c>
      <c r="E2">
        <v>4.9314192569304112</v>
      </c>
    </row>
    <row r="3" spans="1:5" x14ac:dyDescent="0.25">
      <c r="A3" s="46">
        <v>40787</v>
      </c>
      <c r="B3" s="47">
        <v>1.5075570975756136</v>
      </c>
      <c r="C3" s="47">
        <v>3.2431877339178783</v>
      </c>
      <c r="D3" s="47">
        <v>-0.95900140440443238</v>
      </c>
      <c r="E3">
        <v>4.2021891383223107</v>
      </c>
    </row>
    <row r="4" spans="1:5" x14ac:dyDescent="0.25">
      <c r="A4" s="46">
        <v>40878</v>
      </c>
      <c r="B4" s="47">
        <v>1.228870910654777</v>
      </c>
      <c r="C4" s="47">
        <v>3.6053043092156116</v>
      </c>
      <c r="D4" s="47">
        <v>-0.81753139527866381</v>
      </c>
      <c r="E4">
        <v>4.4228357044942754</v>
      </c>
    </row>
    <row r="5" spans="1:5" x14ac:dyDescent="0.25">
      <c r="A5" s="46">
        <v>40969</v>
      </c>
      <c r="B5" s="47">
        <v>1.4641556982320765</v>
      </c>
      <c r="C5" s="47">
        <v>6.5548467648329165</v>
      </c>
      <c r="D5" s="47">
        <v>-5.8202503336545419E-2</v>
      </c>
      <c r="E5">
        <v>6.6130492681694619</v>
      </c>
    </row>
    <row r="6" spans="1:5" x14ac:dyDescent="0.25">
      <c r="A6" s="46">
        <v>41061</v>
      </c>
      <c r="B6" s="47">
        <v>0.37212951382299764</v>
      </c>
      <c r="C6" s="47">
        <v>4.7770065574780176</v>
      </c>
      <c r="D6" s="47">
        <v>-1.3593259607782073</v>
      </c>
      <c r="E6">
        <v>6.1363325182562249</v>
      </c>
    </row>
    <row r="7" spans="1:5" x14ac:dyDescent="0.25">
      <c r="A7" s="46">
        <v>41153</v>
      </c>
      <c r="B7" s="47">
        <v>0.41167198316315989</v>
      </c>
      <c r="C7" s="47">
        <v>0.7686853561879019</v>
      </c>
      <c r="D7" s="47">
        <v>-3.5620393634040255</v>
      </c>
      <c r="E7">
        <v>4.3307247195919274</v>
      </c>
    </row>
    <row r="8" spans="1:5" x14ac:dyDescent="0.25">
      <c r="A8" s="46">
        <v>41244</v>
      </c>
      <c r="B8" s="47">
        <v>2.9497340059663202E-3</v>
      </c>
      <c r="C8" s="47">
        <v>0.98666894817007744</v>
      </c>
      <c r="D8" s="47">
        <v>-2.1089369098948083</v>
      </c>
      <c r="E8">
        <v>3.0956058580648858</v>
      </c>
    </row>
    <row r="9" spans="1:5" x14ac:dyDescent="0.25">
      <c r="A9" s="46">
        <v>41334</v>
      </c>
      <c r="B9" s="47">
        <v>0.93291499110246434</v>
      </c>
      <c r="C9" s="47">
        <v>4.5439073391776503</v>
      </c>
      <c r="D9" s="47">
        <v>-0.74541623493571763</v>
      </c>
      <c r="E9">
        <v>5.289323574113368</v>
      </c>
    </row>
    <row r="10" spans="1:5" x14ac:dyDescent="0.25">
      <c r="A10" s="46">
        <v>41426</v>
      </c>
      <c r="B10" s="47">
        <v>0.39323457262079842</v>
      </c>
      <c r="C10" s="47">
        <v>3.0116622846938697</v>
      </c>
      <c r="D10" s="47">
        <v>-6.3188340554390265E-2</v>
      </c>
      <c r="E10">
        <v>3.0748506252482599</v>
      </c>
    </row>
    <row r="11" spans="1:5" x14ac:dyDescent="0.25">
      <c r="A11" s="46">
        <v>41518</v>
      </c>
      <c r="B11" s="47">
        <v>-0.12763535550472227</v>
      </c>
      <c r="C11" s="47">
        <v>1.3755956041955386</v>
      </c>
      <c r="D11" s="47">
        <v>-3.8145407095579174</v>
      </c>
      <c r="E11">
        <v>5.190136313753456</v>
      </c>
    </row>
    <row r="12" spans="1:5" x14ac:dyDescent="0.25">
      <c r="A12" s="46">
        <v>41609</v>
      </c>
      <c r="B12" s="47">
        <v>0.61912185135766151</v>
      </c>
      <c r="C12" s="47">
        <v>2.0586673430193798</v>
      </c>
      <c r="D12" s="47">
        <v>-1.8993307071040704</v>
      </c>
      <c r="E12">
        <v>3.9579980501234502</v>
      </c>
    </row>
    <row r="13" spans="1:5" x14ac:dyDescent="0.25">
      <c r="A13" s="46">
        <v>41699</v>
      </c>
      <c r="B13" s="47">
        <v>-0.10808958685862535</v>
      </c>
      <c r="C13" s="47">
        <v>2.9800930881254573</v>
      </c>
      <c r="D13" s="47">
        <v>-1.339783291960515</v>
      </c>
      <c r="E13">
        <v>4.3198763800859723</v>
      </c>
    </row>
    <row r="14" spans="1:5" x14ac:dyDescent="0.25">
      <c r="A14" s="46">
        <v>41791</v>
      </c>
      <c r="B14" s="47">
        <v>0.64934444491120757</v>
      </c>
      <c r="C14" s="47">
        <v>3.6475045138604827</v>
      </c>
      <c r="D14" s="47">
        <v>-0.32414992235779039</v>
      </c>
      <c r="E14">
        <v>3.9716544362182731</v>
      </c>
    </row>
    <row r="15" spans="1:5" x14ac:dyDescent="0.25">
      <c r="A15" s="46">
        <v>41883</v>
      </c>
      <c r="B15" s="47">
        <v>-0.29071009489254607</v>
      </c>
      <c r="C15" s="47">
        <v>0.51925545209951451</v>
      </c>
      <c r="D15" s="47">
        <v>-2.4785247107061679</v>
      </c>
      <c r="E15">
        <v>2.9977801628056824</v>
      </c>
    </row>
    <row r="16" spans="1:5" x14ac:dyDescent="0.25">
      <c r="A16" s="46">
        <v>41974</v>
      </c>
      <c r="B16" s="47">
        <v>-0.1573734840885237</v>
      </c>
      <c r="C16" s="47">
        <v>2.0402354492411661</v>
      </c>
      <c r="D16" s="47">
        <v>-1.6632893719656181</v>
      </c>
      <c r="E16">
        <v>3.7035248212067842</v>
      </c>
    </row>
    <row r="17" spans="1:5" x14ac:dyDescent="0.25">
      <c r="A17" s="46">
        <v>42064</v>
      </c>
      <c r="B17" s="47">
        <v>-1.3112674589401365</v>
      </c>
      <c r="C17" s="47">
        <v>-0.10038542540033291</v>
      </c>
      <c r="D17" s="47">
        <v>-3.6473259318929365</v>
      </c>
      <c r="E17">
        <v>3.5469405064926036</v>
      </c>
    </row>
    <row r="18" spans="1:5" x14ac:dyDescent="0.25">
      <c r="A18" s="46">
        <v>42156</v>
      </c>
      <c r="B18" s="47">
        <v>-0.6927835977779182</v>
      </c>
      <c r="C18" s="47">
        <v>0.65494133813683675</v>
      </c>
      <c r="D18" s="47">
        <v>-1.7416159127443649</v>
      </c>
      <c r="E18">
        <v>2.3965572508812016</v>
      </c>
    </row>
    <row r="19" spans="1:5" x14ac:dyDescent="0.25">
      <c r="A19" s="46">
        <v>42248</v>
      </c>
      <c r="B19" s="47">
        <v>0.37440873957734766</v>
      </c>
      <c r="C19" s="47">
        <v>1.4040186895930731</v>
      </c>
      <c r="D19" s="47">
        <v>-0.33687334368534039</v>
      </c>
      <c r="E19">
        <v>1.7408920332784135</v>
      </c>
    </row>
    <row r="20" spans="1:5" x14ac:dyDescent="0.25">
      <c r="A20" s="46">
        <v>42339</v>
      </c>
      <c r="B20" s="47">
        <v>-0.13024285587006545</v>
      </c>
      <c r="C20" s="47">
        <v>1.5856526794042765</v>
      </c>
      <c r="D20" s="47">
        <v>-3.9231597139294507</v>
      </c>
      <c r="E20">
        <v>5.5088123933337272</v>
      </c>
    </row>
    <row r="21" spans="1:5" x14ac:dyDescent="0.25">
      <c r="A21" s="46">
        <v>42430</v>
      </c>
      <c r="B21" s="47">
        <v>6.1034586527512147E-2</v>
      </c>
      <c r="C21" s="47">
        <v>1.8725062742158514</v>
      </c>
      <c r="D21" s="47">
        <v>-2.5385624171525194</v>
      </c>
      <c r="E21">
        <v>4.4110686913683708</v>
      </c>
    </row>
    <row r="22" spans="1:5" x14ac:dyDescent="0.25">
      <c r="A22" s="46">
        <v>42522</v>
      </c>
      <c r="B22" s="47">
        <v>-3.8827644253274229E-2</v>
      </c>
      <c r="C22" s="47">
        <v>1.3616754080129283</v>
      </c>
      <c r="D22" s="47">
        <v>-0.25614815459954343</v>
      </c>
      <c r="E22">
        <v>1.6178235626124717</v>
      </c>
    </row>
    <row r="23" spans="1:5" x14ac:dyDescent="0.25">
      <c r="A23" s="46">
        <v>42614</v>
      </c>
      <c r="B23" s="47">
        <v>0.1350101125830605</v>
      </c>
      <c r="C23" s="47">
        <v>1.8355674949664689</v>
      </c>
      <c r="D23" s="47">
        <v>-0.92181390269718122</v>
      </c>
      <c r="E23">
        <v>2.7573813976636501</v>
      </c>
    </row>
    <row r="24" spans="1:5" x14ac:dyDescent="0.25">
      <c r="A24" s="46">
        <v>42705</v>
      </c>
      <c r="B24" s="47">
        <v>0.84740827729309842</v>
      </c>
      <c r="C24" s="47">
        <v>2.7420251434223246</v>
      </c>
      <c r="D24" s="47">
        <v>-1.477102683649008</v>
      </c>
      <c r="E24">
        <v>4.2191278270713326</v>
      </c>
    </row>
    <row r="25" spans="1:5" x14ac:dyDescent="0.25">
      <c r="A25" s="46">
        <v>42795</v>
      </c>
      <c r="B25" s="47">
        <v>0.27922290224755386</v>
      </c>
      <c r="C25" s="47">
        <v>1.8658373941588167</v>
      </c>
      <c r="D25" s="47">
        <v>-2.993009622817226</v>
      </c>
      <c r="E25">
        <v>4.8588470169760427</v>
      </c>
    </row>
    <row r="26" spans="1:5" x14ac:dyDescent="0.25">
      <c r="A26" s="46">
        <v>42887</v>
      </c>
      <c r="B26" s="47">
        <v>0.69651989867800523</v>
      </c>
      <c r="C26" s="47">
        <v>1.4603227649860884</v>
      </c>
      <c r="D26" s="47">
        <v>0.12025334562184753</v>
      </c>
      <c r="E26">
        <v>1.3400694193642408</v>
      </c>
    </row>
    <row r="27" spans="1:5" x14ac:dyDescent="0.25">
      <c r="A27" s="46">
        <v>42979</v>
      </c>
      <c r="B27" s="47">
        <v>0.59733678530574252</v>
      </c>
      <c r="C27" s="47">
        <v>1.1142637730411735</v>
      </c>
      <c r="D27" s="47">
        <v>-0.60102878626044287</v>
      </c>
      <c r="E27">
        <v>1.7152925593016164</v>
      </c>
    </row>
    <row r="28" spans="1:5" x14ac:dyDescent="0.25">
      <c r="A28" s="46">
        <v>43070</v>
      </c>
      <c r="B28" s="47">
        <v>-0.13012144157059424</v>
      </c>
      <c r="C28" s="47">
        <v>1.6704503896206404</v>
      </c>
      <c r="D28" s="47">
        <v>-1.2565309309458712</v>
      </c>
      <c r="E28">
        <v>2.9269813205665116</v>
      </c>
    </row>
    <row r="29" spans="1:5" x14ac:dyDescent="0.25">
      <c r="A29" s="46">
        <v>43160</v>
      </c>
      <c r="B29" s="47">
        <v>1.5531240770803976</v>
      </c>
      <c r="C29" s="47">
        <v>2.0093622300936715</v>
      </c>
      <c r="D29" s="47">
        <v>0.96187732619981148</v>
      </c>
      <c r="E29">
        <v>1.0474849038938601</v>
      </c>
    </row>
    <row r="30" spans="1:5" x14ac:dyDescent="0.25">
      <c r="A30" s="46">
        <v>43252</v>
      </c>
      <c r="B30" s="47">
        <v>0.6312227474856229</v>
      </c>
      <c r="C30" s="47">
        <v>1.5214790260455402</v>
      </c>
      <c r="D30" s="47">
        <v>-0.26486206774083598</v>
      </c>
      <c r="E30">
        <v>1.7863410937863762</v>
      </c>
    </row>
    <row r="31" spans="1:5" x14ac:dyDescent="0.25">
      <c r="A31" s="46">
        <v>43344</v>
      </c>
      <c r="B31" s="47">
        <v>0.28044755952336686</v>
      </c>
      <c r="C31" s="47">
        <v>2.8975035876522384</v>
      </c>
      <c r="D31" s="47">
        <v>-0.36630954528203574</v>
      </c>
      <c r="E31">
        <v>3.2638131329342741</v>
      </c>
    </row>
    <row r="32" spans="1:5" x14ac:dyDescent="0.25">
      <c r="A32" s="46">
        <v>43435</v>
      </c>
      <c r="B32" s="47">
        <v>0.42318583052511372</v>
      </c>
      <c r="C32" s="47">
        <v>1.7937386572792917</v>
      </c>
      <c r="D32" s="47">
        <v>-2.2593750807413926</v>
      </c>
      <c r="E32">
        <v>4.0531137380206843</v>
      </c>
    </row>
    <row r="33" spans="1:5" x14ac:dyDescent="0.25">
      <c r="A33" s="46">
        <v>43525</v>
      </c>
      <c r="B33" s="47">
        <v>0.38571886716034953</v>
      </c>
      <c r="C33" s="47">
        <v>1.4834700024290584</v>
      </c>
      <c r="D33" s="47">
        <v>-2.7702238981622003</v>
      </c>
      <c r="E33">
        <v>4.2536939005912586</v>
      </c>
    </row>
    <row r="34" spans="1:5" x14ac:dyDescent="0.25">
      <c r="A34" s="46">
        <v>43617</v>
      </c>
      <c r="B34" s="47">
        <v>0.71199124322474461</v>
      </c>
      <c r="C34" s="47">
        <v>3.5318695953421013</v>
      </c>
      <c r="D34" s="47">
        <v>-0.99732552740393032</v>
      </c>
      <c r="E34">
        <v>4.5291951227460316</v>
      </c>
    </row>
    <row r="35" spans="1:5" x14ac:dyDescent="0.25">
      <c r="A35" s="46">
        <v>43709</v>
      </c>
      <c r="B35" s="47">
        <v>1.3820959487208455</v>
      </c>
      <c r="C35" s="47">
        <v>3.4134702760404707</v>
      </c>
      <c r="D35" s="47">
        <v>7.2449737359846722E-2</v>
      </c>
      <c r="E35">
        <v>3.341020538680624</v>
      </c>
    </row>
    <row r="36" spans="1:5" x14ac:dyDescent="0.25">
      <c r="A36" s="46">
        <v>43800</v>
      </c>
      <c r="B36" s="47">
        <v>-0.30367353155273236</v>
      </c>
      <c r="C36" s="47">
        <v>1.3180566646332466</v>
      </c>
      <c r="D36" s="47">
        <v>-2.3554212961383456</v>
      </c>
      <c r="E36">
        <v>3.6734779607715922</v>
      </c>
    </row>
    <row r="37" spans="1:5" x14ac:dyDescent="0.25">
      <c r="A37" s="46">
        <v>43891</v>
      </c>
      <c r="B37" s="47">
        <v>-0.53552654767000263</v>
      </c>
      <c r="C37" s="47">
        <v>1.4299577634439515</v>
      </c>
      <c r="D37" s="47">
        <v>-2.0297680736310042</v>
      </c>
      <c r="E37">
        <v>3.4597258370749557</v>
      </c>
    </row>
    <row r="38" spans="1:5" x14ac:dyDescent="0.25">
      <c r="A38" s="46">
        <v>43983</v>
      </c>
      <c r="B38" s="47">
        <v>-7.7342912842295419</v>
      </c>
      <c r="C38" s="47">
        <v>7.5879307505871907E-2</v>
      </c>
      <c r="D38" s="47">
        <v>-13.054692625735925</v>
      </c>
      <c r="E38">
        <v>13.130571933241797</v>
      </c>
    </row>
    <row r="39" spans="1:5" x14ac:dyDescent="0.25">
      <c r="A39" s="46">
        <v>44075</v>
      </c>
      <c r="B39" s="47">
        <v>6.6044258208526117</v>
      </c>
      <c r="C39" s="47">
        <v>12.814701711731004</v>
      </c>
      <c r="D39" s="47">
        <v>-1.7867895347805529E-2</v>
      </c>
      <c r="E39">
        <v>12.83256960707881</v>
      </c>
    </row>
    <row r="40" spans="1:5" x14ac:dyDescent="0.25">
      <c r="A40" s="46">
        <v>44166</v>
      </c>
      <c r="B40" s="47">
        <v>0.78222653198669434</v>
      </c>
      <c r="C40" s="47">
        <v>3.4812926727956892</v>
      </c>
      <c r="D40" s="47">
        <v>5.8387036501542866E-2</v>
      </c>
      <c r="E40">
        <v>3.4229056362941463</v>
      </c>
    </row>
    <row r="41" spans="1:5" x14ac:dyDescent="0.25">
      <c r="A41" s="46">
        <v>44256</v>
      </c>
      <c r="B41" s="47">
        <v>1.5899704412459386</v>
      </c>
      <c r="C41" s="47">
        <v>5.0327640498746717</v>
      </c>
      <c r="D41" s="47">
        <v>-1.298848403180088</v>
      </c>
      <c r="E41">
        <v>6.3316124530547597</v>
      </c>
    </row>
    <row r="42" spans="1:5" x14ac:dyDescent="0.25">
      <c r="A42" s="46">
        <v>44348</v>
      </c>
      <c r="B42" s="47">
        <v>1.6590804902057954</v>
      </c>
      <c r="C42" s="47">
        <v>7.1296768207573393</v>
      </c>
      <c r="D42" s="47">
        <v>-1.8936561144126927</v>
      </c>
      <c r="E42">
        <v>9.023332935170032</v>
      </c>
    </row>
    <row r="43" spans="1:5" x14ac:dyDescent="0.25">
      <c r="A43" s="46">
        <v>44440</v>
      </c>
      <c r="B43" s="47">
        <v>0.68189106536775057</v>
      </c>
      <c r="C43" s="47">
        <v>2.7617131479903634</v>
      </c>
      <c r="D43" s="47">
        <v>-5.1262818894997508E-2</v>
      </c>
      <c r="E43">
        <v>2.8129759668853609</v>
      </c>
    </row>
    <row r="44" spans="1:5" x14ac:dyDescent="0.25">
      <c r="A44" s="46">
        <v>44531</v>
      </c>
      <c r="B44" s="47">
        <v>1.0157644588409909</v>
      </c>
      <c r="C44" s="47">
        <v>2.8083290772504625</v>
      </c>
      <c r="D44" s="47">
        <v>-0.5795452420440057</v>
      </c>
      <c r="E44">
        <v>3.3878743192944683</v>
      </c>
    </row>
    <row r="45" spans="1:5" x14ac:dyDescent="0.25">
      <c r="A45" s="46">
        <v>44621</v>
      </c>
      <c r="B45" s="47">
        <v>2.6264933142812197E-2</v>
      </c>
      <c r="C45" s="47">
        <v>0.86985832984215961</v>
      </c>
      <c r="D45" s="47">
        <v>-2.1258629862321072</v>
      </c>
      <c r="E45">
        <v>2.9957213160742668</v>
      </c>
    </row>
    <row r="46" spans="1:5" x14ac:dyDescent="0.25">
      <c r="A46" s="46">
        <v>44713</v>
      </c>
      <c r="B46" s="47">
        <v>-5.5181914727493506</v>
      </c>
      <c r="C46" s="47">
        <v>1.6280723063048583</v>
      </c>
      <c r="D46" s="47">
        <v>-12.217500466341818</v>
      </c>
      <c r="E46">
        <v>13.845572772646676</v>
      </c>
    </row>
    <row r="47" spans="1:5" x14ac:dyDescent="0.25">
      <c r="A47" s="46">
        <v>44805</v>
      </c>
      <c r="B47" s="47">
        <v>1.1196254119864903</v>
      </c>
      <c r="C47" s="47">
        <v>3.076292294289189</v>
      </c>
      <c r="D47" s="47">
        <v>-0.63188332712584838</v>
      </c>
      <c r="E47">
        <v>3.7081756214150374</v>
      </c>
    </row>
    <row r="48" spans="1:5" x14ac:dyDescent="0.25">
      <c r="A48" s="46">
        <v>44896</v>
      </c>
      <c r="B48" s="47">
        <v>1.3904308148298554</v>
      </c>
      <c r="C48" s="47">
        <v>3.1156955202104655</v>
      </c>
      <c r="D48" s="47">
        <v>-0.19871543775774114</v>
      </c>
      <c r="E48">
        <v>3.3144109579682066</v>
      </c>
    </row>
    <row r="49" spans="1:5" x14ac:dyDescent="0.25">
      <c r="A49" s="46">
        <v>44986</v>
      </c>
      <c r="B49" s="47">
        <v>1.3056927286224891</v>
      </c>
      <c r="C49" s="47">
        <v>1.7144902117267833</v>
      </c>
      <c r="D49" s="47">
        <v>-1.281119393246982</v>
      </c>
      <c r="E49">
        <v>2.9956096049737653</v>
      </c>
    </row>
    <row r="50" spans="1:5" x14ac:dyDescent="0.25">
      <c r="A50" s="46">
        <v>45078</v>
      </c>
      <c r="B50" s="47">
        <v>1.1756557978253852</v>
      </c>
      <c r="C50" s="47">
        <v>2.7650342430029866</v>
      </c>
      <c r="D50" s="47">
        <v>-1.3415489365157356</v>
      </c>
      <c r="E50">
        <v>4.1065831795187222</v>
      </c>
    </row>
    <row r="51" spans="1:5" x14ac:dyDescent="0.25">
      <c r="A51" s="46">
        <v>45170</v>
      </c>
      <c r="B51" s="47">
        <v>1.5300640864171839</v>
      </c>
      <c r="C51" s="47">
        <v>2.8432260871566797</v>
      </c>
      <c r="D51" s="47">
        <v>0.35846522679716486</v>
      </c>
      <c r="E51">
        <v>2.4847608603595148</v>
      </c>
    </row>
    <row r="52" spans="1:5" x14ac:dyDescent="0.25">
      <c r="A52" s="46"/>
      <c r="B52" s="47"/>
      <c r="C52" s="47"/>
      <c r="D52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38A7-CBD0-42BA-9B86-331E07B191D8}">
  <dimension ref="A1:B51"/>
  <sheetViews>
    <sheetView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63</v>
      </c>
      <c r="B1" t="s">
        <v>121</v>
      </c>
    </row>
    <row r="2" spans="1:2" x14ac:dyDescent="0.25">
      <c r="A2" s="46">
        <v>40695</v>
      </c>
    </row>
    <row r="3" spans="1:2" x14ac:dyDescent="0.25">
      <c r="A3" s="46">
        <v>40787</v>
      </c>
    </row>
    <row r="4" spans="1:2" x14ac:dyDescent="0.25">
      <c r="A4" s="46">
        <v>40878</v>
      </c>
    </row>
    <row r="5" spans="1:2" x14ac:dyDescent="0.25">
      <c r="A5" s="46">
        <v>40969</v>
      </c>
    </row>
    <row r="6" spans="1:2" x14ac:dyDescent="0.25">
      <c r="A6" s="46">
        <v>41061</v>
      </c>
    </row>
    <row r="7" spans="1:2" x14ac:dyDescent="0.25">
      <c r="A7" s="46">
        <v>41153</v>
      </c>
    </row>
    <row r="8" spans="1:2" x14ac:dyDescent="0.25">
      <c r="A8" s="46">
        <v>41244</v>
      </c>
    </row>
    <row r="9" spans="1:2" x14ac:dyDescent="0.25">
      <c r="A9" s="46">
        <v>41334</v>
      </c>
      <c r="B9" s="47">
        <v>0.46239998701400808</v>
      </c>
    </row>
    <row r="10" spans="1:2" x14ac:dyDescent="0.25">
      <c r="A10" s="46">
        <v>41426</v>
      </c>
      <c r="B10" s="47">
        <v>0.42780002999983269</v>
      </c>
    </row>
    <row r="11" spans="1:2" x14ac:dyDescent="0.25">
      <c r="A11" s="46">
        <v>41518</v>
      </c>
      <c r="B11" s="47">
        <v>0.39491335739236022</v>
      </c>
    </row>
    <row r="12" spans="1:2" x14ac:dyDescent="0.25">
      <c r="A12" s="46">
        <v>41609</v>
      </c>
      <c r="B12" s="47">
        <v>0.42379904126908263</v>
      </c>
    </row>
    <row r="13" spans="1:2" x14ac:dyDescent="0.25">
      <c r="A13" s="46">
        <v>41699</v>
      </c>
      <c r="B13" s="47">
        <v>0.42030233518549837</v>
      </c>
    </row>
    <row r="14" spans="1:2" x14ac:dyDescent="0.25">
      <c r="A14" s="46">
        <v>41791</v>
      </c>
      <c r="B14" s="47">
        <v>0.42987357281744182</v>
      </c>
    </row>
    <row r="15" spans="1:2" x14ac:dyDescent="0.25">
      <c r="A15" s="46">
        <v>41883</v>
      </c>
      <c r="B15" s="47">
        <v>0.40297693958562747</v>
      </c>
    </row>
    <row r="16" spans="1:2" x14ac:dyDescent="0.25">
      <c r="A16" s="46">
        <v>41974</v>
      </c>
      <c r="B16" s="47">
        <v>0.3979627998066374</v>
      </c>
    </row>
    <row r="17" spans="1:2" x14ac:dyDescent="0.25">
      <c r="A17" s="46">
        <v>42064</v>
      </c>
      <c r="B17" s="47">
        <v>0.44006940788884258</v>
      </c>
    </row>
    <row r="18" spans="1:2" x14ac:dyDescent="0.25">
      <c r="A18" s="46">
        <v>42156</v>
      </c>
      <c r="B18" s="47">
        <v>0.40524883843631399</v>
      </c>
    </row>
    <row r="19" spans="1:2" x14ac:dyDescent="0.25">
      <c r="A19" s="46">
        <v>42248</v>
      </c>
      <c r="B19" s="47">
        <v>0.43720945051942428</v>
      </c>
    </row>
    <row r="20" spans="1:2" x14ac:dyDescent="0.25">
      <c r="A20" s="46">
        <v>42339</v>
      </c>
      <c r="B20" s="47">
        <v>0.42750979950095042</v>
      </c>
    </row>
    <row r="21" spans="1:2" x14ac:dyDescent="0.25">
      <c r="A21" s="46">
        <v>42430</v>
      </c>
      <c r="B21" s="47">
        <v>0.38840827762307578</v>
      </c>
    </row>
    <row r="22" spans="1:2" x14ac:dyDescent="0.25">
      <c r="A22" s="46">
        <v>42522</v>
      </c>
      <c r="B22" s="47">
        <v>0.36053404233184416</v>
      </c>
    </row>
    <row r="23" spans="1:2" x14ac:dyDescent="0.25">
      <c r="A23" s="46">
        <v>42614</v>
      </c>
      <c r="B23" s="47">
        <v>0.38611517998258393</v>
      </c>
    </row>
    <row r="24" spans="1:2" x14ac:dyDescent="0.25">
      <c r="A24" s="46">
        <v>42705</v>
      </c>
      <c r="B24" s="47">
        <v>0.5403694923611172</v>
      </c>
    </row>
    <row r="25" spans="1:2" x14ac:dyDescent="0.25">
      <c r="A25" s="46">
        <v>42795</v>
      </c>
      <c r="B25" s="47">
        <v>0.31883030186609568</v>
      </c>
    </row>
    <row r="26" spans="1:2" x14ac:dyDescent="0.25">
      <c r="A26" s="46">
        <v>42887</v>
      </c>
      <c r="B26" s="47">
        <v>0.31389767742596364</v>
      </c>
    </row>
    <row r="27" spans="1:2" x14ac:dyDescent="0.25">
      <c r="A27" s="46">
        <v>42979</v>
      </c>
      <c r="B27" s="47">
        <v>0.36186844580761801</v>
      </c>
    </row>
    <row r="28" spans="1:2" x14ac:dyDescent="0.25">
      <c r="A28" s="46">
        <v>43070</v>
      </c>
      <c r="B28" s="47">
        <v>0.38666562596311138</v>
      </c>
    </row>
    <row r="29" spans="1:2" x14ac:dyDescent="0.25">
      <c r="A29" s="46">
        <v>43160</v>
      </c>
      <c r="B29" s="47">
        <v>0.46734982697235394</v>
      </c>
    </row>
    <row r="30" spans="1:2" x14ac:dyDescent="0.25">
      <c r="A30" s="46">
        <v>43252</v>
      </c>
      <c r="B30" s="47">
        <v>0.4312050399742911</v>
      </c>
    </row>
    <row r="31" spans="1:2" x14ac:dyDescent="0.25">
      <c r="A31" s="46">
        <v>43344</v>
      </c>
      <c r="B31" s="47">
        <v>0.39566495181865768</v>
      </c>
    </row>
    <row r="32" spans="1:2" x14ac:dyDescent="0.25">
      <c r="A32" s="46">
        <v>43435</v>
      </c>
      <c r="B32" s="47">
        <v>0.39848014883416766</v>
      </c>
    </row>
    <row r="33" spans="1:2" x14ac:dyDescent="0.25">
      <c r="A33" s="46">
        <v>43525</v>
      </c>
      <c r="B33" s="47">
        <v>0.37167080337968605</v>
      </c>
    </row>
    <row r="34" spans="1:2" x14ac:dyDescent="0.25">
      <c r="A34" s="46">
        <v>43617</v>
      </c>
      <c r="B34" s="47">
        <v>0.3363056102907836</v>
      </c>
    </row>
    <row r="35" spans="1:2" x14ac:dyDescent="0.25">
      <c r="A35" s="46">
        <v>43709</v>
      </c>
      <c r="B35" s="47">
        <v>0.44449963199218301</v>
      </c>
    </row>
    <row r="36" spans="1:2" x14ac:dyDescent="0.25">
      <c r="A36" s="46">
        <v>43800</v>
      </c>
      <c r="B36" s="47">
        <v>0.48653743620577977</v>
      </c>
    </row>
    <row r="37" spans="1:2" x14ac:dyDescent="0.25">
      <c r="A37" s="46">
        <v>43891</v>
      </c>
      <c r="B37" s="47">
        <v>0.48999146108874497</v>
      </c>
    </row>
    <row r="38" spans="1:2" x14ac:dyDescent="0.25">
      <c r="A38" s="46">
        <v>43983</v>
      </c>
      <c r="B38" s="47">
        <v>0.84835805569177802</v>
      </c>
    </row>
    <row r="39" spans="1:2" x14ac:dyDescent="0.25">
      <c r="A39" s="46">
        <v>44075</v>
      </c>
      <c r="B39" s="47">
        <v>0.84518427183419287</v>
      </c>
    </row>
    <row r="40" spans="1:2" x14ac:dyDescent="0.25">
      <c r="A40" s="46">
        <v>44166</v>
      </c>
      <c r="B40" s="47">
        <v>0.83348796398392522</v>
      </c>
    </row>
    <row r="41" spans="1:2" x14ac:dyDescent="0.25">
      <c r="A41" s="46">
        <v>44256</v>
      </c>
      <c r="B41" s="47">
        <v>0.83046715342449351</v>
      </c>
    </row>
    <row r="42" spans="1:2" x14ac:dyDescent="0.25">
      <c r="A42" s="46">
        <v>44348</v>
      </c>
      <c r="B42" s="47">
        <v>0.7946590512201801</v>
      </c>
    </row>
    <row r="43" spans="1:2" x14ac:dyDescent="0.25">
      <c r="A43" s="46">
        <v>44440</v>
      </c>
      <c r="B43" s="47">
        <v>0.7775020555539639</v>
      </c>
    </row>
    <row r="44" spans="1:2" x14ac:dyDescent="0.25">
      <c r="A44" s="46">
        <v>44531</v>
      </c>
      <c r="B44" s="47">
        <v>0.76879294486883876</v>
      </c>
    </row>
    <row r="45" spans="1:2" x14ac:dyDescent="0.25">
      <c r="A45" s="46">
        <v>44621</v>
      </c>
      <c r="B45" s="47">
        <v>0.75727809924293576</v>
      </c>
    </row>
    <row r="46" spans="1:2" x14ac:dyDescent="0.25">
      <c r="A46" s="46">
        <v>44713</v>
      </c>
      <c r="B46" s="47">
        <v>0.63963215335093015</v>
      </c>
    </row>
    <row r="47" spans="1:2" x14ac:dyDescent="0.25">
      <c r="A47" s="46">
        <v>44805</v>
      </c>
      <c r="B47" s="47">
        <v>0.5482320869024575</v>
      </c>
    </row>
    <row r="48" spans="1:2" x14ac:dyDescent="0.25">
      <c r="A48" s="46">
        <v>44896</v>
      </c>
      <c r="B48" s="47">
        <v>0.56063359003083446</v>
      </c>
    </row>
    <row r="49" spans="1:2" x14ac:dyDescent="0.25">
      <c r="A49" s="46">
        <v>44986</v>
      </c>
      <c r="B49" s="47">
        <v>0.52765807372462836</v>
      </c>
    </row>
    <row r="50" spans="1:2" x14ac:dyDescent="0.25">
      <c r="A50" s="46">
        <v>45078</v>
      </c>
      <c r="B50" s="47">
        <v>0.57619206739915763</v>
      </c>
    </row>
    <row r="51" spans="1:2" x14ac:dyDescent="0.25">
      <c r="A51" s="46">
        <v>45170</v>
      </c>
      <c r="B51" s="47">
        <v>0.61078850246176974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gdp</vt:lpstr>
      <vt:lpstr>доля годы</vt:lpstr>
      <vt:lpstr>QoQ</vt:lpstr>
      <vt:lpstr>cross-sectoral variation</vt:lpstr>
      <vt:lpstr>cross-sectoral correlation</vt:lpstr>
      <vt:lpstr>csv for graph</vt:lpstr>
      <vt:lpstr>csc for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Лысов Андрей Максимович</dc:creator>
  <cp:lastModifiedBy>Лысов Андрей Максимович</cp:lastModifiedBy>
  <dcterms:created xsi:type="dcterms:W3CDTF">2024-04-30T22:40:14Z</dcterms:created>
  <dcterms:modified xsi:type="dcterms:W3CDTF">2024-05-06T20:09:01Z</dcterms:modified>
</cp:coreProperties>
</file>