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4.xml" ContentType="application/vnd.openxmlformats-officedocument.drawing+xml"/>
  <Override PartName="/xl/tables/table15.xml" ContentType="application/vnd.openxmlformats-officedocument.spreadsheetml.table+xml"/>
  <Override PartName="/xl/drawings/drawing1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23.xml" ContentType="application/vnd.openxmlformats-officedocument.spreadsheetml.table+xml"/>
  <Override PartName="/xl/drawings/drawing22.xml" ContentType="application/vnd.openxmlformats-officedocument.drawing+xml"/>
  <Override PartName="/xl/tables/table24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3.xml" ContentType="application/vnd.openxmlformats-officedocument.drawing+xml"/>
  <Override PartName="/xl/tables/table25.xml" ContentType="application/vnd.openxmlformats-officedocument.spreadsheetml.table+xml"/>
  <Override PartName="/xl/queryTables/queryTable7.xml" ContentType="application/vnd.openxmlformats-officedocument.spreadsheetml.queryTable+xml"/>
  <Override PartName="/xl/tables/table26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24.xml" ContentType="application/vnd.openxmlformats-officedocument.drawing+xml"/>
  <Override PartName="/xl/tables/table27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28.xml" ContentType="application/vnd.openxmlformats-officedocument.spreadsheetml.table+xml"/>
  <Override PartName="/xl/drawings/drawing27.xml" ContentType="application/vnd.openxmlformats-officedocument.drawing+xml"/>
  <Override PartName="/xl/tables/table29.xml" ContentType="application/vnd.openxmlformats-officedocument.spreadsheetml.table+xml"/>
  <Override PartName="/xl/queryTables/queryTable10.xml" ContentType="application/vnd.openxmlformats-officedocument.spreadsheetml.queryTable+xml"/>
  <Override PartName="/xl/tables/table30.xml" ContentType="application/vnd.openxmlformats-officedocument.spreadsheetml.table+xml"/>
  <Override PartName="/xl/queryTables/queryTable11.xml" ContentType="application/vnd.openxmlformats-officedocument.spreadsheetml.queryTable+xml"/>
  <Override PartName="/xl/tables/table31.xml" ContentType="application/vnd.openxmlformats-officedocument.spreadsheetml.table+xml"/>
  <Override PartName="/xl/queryTables/queryTable12.xml" ContentType="application/vnd.openxmlformats-officedocument.spreadsheetml.queryTable+xml"/>
  <Override PartName="/xl/tables/table32.xml" ContentType="application/vnd.openxmlformats-officedocument.spreadsheetml.table+xml"/>
  <Override PartName="/xl/queryTables/queryTable13.xml" ContentType="application/vnd.openxmlformats-officedocument.spreadsheetml.queryTable+xml"/>
  <Override PartName="/xl/tables/table33.xml" ContentType="application/vnd.openxmlformats-officedocument.spreadsheetml.table+xml"/>
  <Override PartName="/xl/queryTables/queryTable14.xml" ContentType="application/vnd.openxmlformats-officedocument.spreadsheetml.queryTable+xml"/>
  <Override PartName="/xl/tables/table34.xml" ContentType="application/vnd.openxmlformats-officedocument.spreadsheetml.table+xml"/>
  <Override PartName="/xl/queryTables/queryTable15.xml" ContentType="application/vnd.openxmlformats-officedocument.spreadsheetml.queryTable+xml"/>
  <Override PartName="/xl/tables/table35.xml" ContentType="application/vnd.openxmlformats-officedocument.spreadsheetml.table+xml"/>
  <Override PartName="/xl/queryTables/queryTable16.xml" ContentType="application/vnd.openxmlformats-officedocument.spreadsheetml.queryTable+xml"/>
  <Override PartName="/xl/tables/table36.xml" ContentType="application/vnd.openxmlformats-officedocument.spreadsheetml.table+xml"/>
  <Override PartName="/xl/queryTables/queryTable17.xml" ContentType="application/vnd.openxmlformats-officedocument.spreadsheetml.queryTable+xml"/>
  <Override PartName="/xl/tables/table37.xml" ContentType="application/vnd.openxmlformats-officedocument.spreadsheetml.table+xml"/>
  <Override PartName="/xl/queryTables/queryTable18.xml" ContentType="application/vnd.openxmlformats-officedocument.spreadsheetml.queryTable+xml"/>
  <Override PartName="/xl/tables/table38.xml" ContentType="application/vnd.openxmlformats-officedocument.spreadsheetml.table+xml"/>
  <Override PartName="/xl/queryTables/queryTable19.xml" ContentType="application/vnd.openxmlformats-officedocument.spreadsheetml.queryTable+xml"/>
  <Override PartName="/xl/tables/table39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8.xml" ContentType="application/vnd.openxmlformats-officedocument.drawing+xml"/>
  <Override PartName="/xl/tables/table40.xml" ContentType="application/vnd.openxmlformats-officedocument.spreadsheetml.table+xml"/>
  <Override PartName="/xl/queryTables/queryTable21.xml" ContentType="application/vnd.openxmlformats-officedocument.spreadsheetml.queryTable+xml"/>
  <Override PartName="/xl/tables/table41.xml" ContentType="application/vnd.openxmlformats-officedocument.spreadsheetml.table+xml"/>
  <Override PartName="/xl/queryTables/queryTable22.xml" ContentType="application/vnd.openxmlformats-officedocument.spreadsheetml.queryTable+xml"/>
  <Override PartName="/xl/tables/table42.xml" ContentType="application/vnd.openxmlformats-officedocument.spreadsheetml.table+xml"/>
  <Override PartName="/xl/queryTables/queryTable23.xml" ContentType="application/vnd.openxmlformats-officedocument.spreadsheetml.queryTable+xml"/>
  <Override PartName="/xl/tables/table43.xml" ContentType="application/vnd.openxmlformats-officedocument.spreadsheetml.table+xml"/>
  <Override PartName="/xl/queryTables/queryTable24.xml" ContentType="application/vnd.openxmlformats-officedocument.spreadsheetml.queryTable+xml"/>
  <Override PartName="/xl/tables/table44.xml" ContentType="application/vnd.openxmlformats-officedocument.spreadsheetml.table+xml"/>
  <Override PartName="/xl/queryTables/queryTable25.xml" ContentType="application/vnd.openxmlformats-officedocument.spreadsheetml.queryTable+xml"/>
  <Override PartName="/xl/tables/table45.xml" ContentType="application/vnd.openxmlformats-officedocument.spreadsheetml.table+xml"/>
  <Override PartName="/xl/queryTables/queryTable26.xml" ContentType="application/vnd.openxmlformats-officedocument.spreadsheetml.queryTable+xml"/>
  <Override PartName="/xl/tables/table46.xml" ContentType="application/vnd.openxmlformats-officedocument.spreadsheetml.table+xml"/>
  <Override PartName="/xl/queryTables/queryTable27.xml" ContentType="application/vnd.openxmlformats-officedocument.spreadsheetml.queryTable+xml"/>
  <Override PartName="/xl/drawings/drawing29.xml" ContentType="application/vnd.openxmlformats-officedocument.drawing+xml"/>
  <Override PartName="/xl/tables/table47.xml" ContentType="application/vnd.openxmlformats-officedocument.spreadsheetml.table+xml"/>
  <Override PartName="/xl/queryTables/queryTable28.xml" ContentType="application/vnd.openxmlformats-officedocument.spreadsheetml.queryTab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858491AF-EB14-4629-BC64-4E40DEFD7C43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Project_Home" sheetId="1" r:id="rId1"/>
    <sheet name="Structures" sheetId="4" state="veryHidden" r:id="rId2"/>
    <sheet name="Soil_Profile" sheetId="11" state="veryHidden" r:id="rId3"/>
    <sheet name="Pile_Type_Design" sheetId="12" state="veryHidden" r:id="rId4"/>
    <sheet name="Lateral_Design" sheetId="18" state="veryHidden" r:id="rId5"/>
    <sheet name="Submittal_Home" sheetId="28" state="veryHidden" r:id="rId6"/>
    <sheet name="Submittal_Cover" sheetId="29" state="veryHidden" r:id="rId7"/>
    <sheet name="Submittal_TOC" sheetId="30" state="veryHidden" r:id="rId8"/>
    <sheet name="Submittal_Loads" sheetId="31" state="veryHidden" r:id="rId9"/>
    <sheet name="Submittal_IFQ" sheetId="32" state="veryHidden" r:id="rId10"/>
    <sheet name="Submittal_Soil" sheetId="33" state="veryHidden" r:id="rId11"/>
    <sheet name="Submittal_LPile" sheetId="34" state="veryHidden" r:id="rId12"/>
    <sheet name="Submittal_Design" sheetId="35" state="veryHidden" r:id="rId13"/>
    <sheet name="X1_Helpers_Home" sheetId="19" state="veryHidden" r:id="rId14"/>
    <sheet name="X1_10_Project_Home" sheetId="21" state="veryHidden" r:id="rId15"/>
    <sheet name="X1_11_IFQ" sheetId="22" state="veryHidden" r:id="rId16"/>
    <sheet name="X1_12_IFC" sheetId="23" state="veryHidden" r:id="rId17"/>
    <sheet name="X1_100_Pile_Type_XX" sheetId="25" state="veryHidden" r:id="rId18"/>
    <sheet name="X1_30_Structures" sheetId="5" state="veryHidden" r:id="rId19"/>
    <sheet name="X1_99_Template" sheetId="20" state="veryHidden" r:id="rId20"/>
    <sheet name="X2_Queries_Home" sheetId="6" state="veryHidden" r:id="rId21"/>
    <sheet name="X2_100_Part_Numbers" sheetId="26" state="veryHidden" r:id="rId22"/>
    <sheet name="X2_30_Structures" sheetId="13" state="veryHidden" r:id="rId23"/>
    <sheet name="X2_50_Pile_Type_Design" sheetId="16" state="veryHidden" r:id="rId24"/>
    <sheet name="X2_99_Template" sheetId="14" state="veryHidden" r:id="rId25"/>
    <sheet name="Y_Library_Home" sheetId="7" state="veryHidden" r:id="rId26"/>
    <sheet name="Y_Lib_03_Helicals_Design_Cond" sheetId="9" state="veryHidden" r:id="rId27"/>
    <sheet name="Y_Lib_04_Helicals_Geometry" sheetId="10" state="veryHidden" r:id="rId28"/>
    <sheet name="Y_Lib_05_Part_Generation" sheetId="17" state="veryHidden" r:id="rId29"/>
    <sheet name="Y_Lib_07_Template" sheetId="8" state="veryHidden" r:id="rId30"/>
    <sheet name="Z_Template" sheetId="3" state="veryHidden" r:id="rId31"/>
  </sheets>
  <functionGroups builtInGroupCount="19"/>
  <definedNames>
    <definedName name="Cll_Rng_10_City">Project_Home!$G$7</definedName>
    <definedName name="Cll_Rng_10_Company">Project_Home!$D$31</definedName>
    <definedName name="Cll_Rng_10_Customer">Project_Home!$D$29</definedName>
    <definedName name="Cll_Rng_10_Date">Project_Home!$D$35</definedName>
    <definedName name="Cll_Rng_10_Engineer">Project_Home!$D$9</definedName>
    <definedName name="Cll_Rng_10_Engineering_Firm">Project_Home!$G$29</definedName>
    <definedName name="Cll_Rng_10_Firm">Project_Home!$G$35</definedName>
    <definedName name="Cll_Rng_10_IFQ_Revision">Project_Home!$J$5</definedName>
    <definedName name="Cll_Rng_10_Max_S1">Project_Home!$G$17</definedName>
    <definedName name="Cll_Rng_10_Max_SS">Project_Home!$G$15</definedName>
    <definedName name="Cll_Rng_10_PE">Project_Home!$G$33</definedName>
    <definedName name="Cll_Rng_10_Project_Name">Project_Home!$D$5</definedName>
    <definedName name="Cll_Rng_10_Report">Project_Home!$D$33</definedName>
    <definedName name="Cll_Rng_10_Revenue">Project_Home!$D$11</definedName>
    <definedName name="Cll_Rng_10_Sds">Project_Home!$G$19</definedName>
    <definedName name="Cll_Rng_10_State">Project_Home!$G$9</definedName>
    <definedName name="Cll_Rng_10_TPN">Project_Home!$D$7</definedName>
    <definedName name="Cll_Rng_10_Wind_Speed">Project_Home!$G$23</definedName>
    <definedName name="Cll_Rng_10_Zip">Project_Home!$G$11</definedName>
    <definedName name="ExternalData_1" localSheetId="4" hidden="1">Lateral_Design!$K$3:$R$4</definedName>
    <definedName name="ExternalData_1" localSheetId="12" hidden="1">Submittal_Design!$C$3:$Y$4</definedName>
    <definedName name="ExternalData_1" localSheetId="21" hidden="1">X2_100_Part_Numbers!$C$6:$D$7</definedName>
    <definedName name="ExternalData_1" localSheetId="22" hidden="1">X2_30_Structures!$D$17:$G$22</definedName>
    <definedName name="ExternalData_1" localSheetId="23" hidden="1">X2_50_Pile_Type_Design!$C$4:$C$7</definedName>
    <definedName name="ExternalData_1" localSheetId="26" hidden="1">Y_Lib_03_Helicals_Design_Cond!$C$4:$C$7</definedName>
    <definedName name="ExternalData_1" localSheetId="27" hidden="1">Y_Lib_04_Helicals_Geometry!$Q$4:$Q$9</definedName>
    <definedName name="ExternalData_10" localSheetId="26" hidden="1">Y_Lib_03_Helicals_Design_Cond!$E$4:$I$17</definedName>
    <definedName name="ExternalData_11" localSheetId="26" hidden="1">Y_Lib_03_Helicals_Design_Cond!$AC$4:$AG$6</definedName>
    <definedName name="ExternalData_2" localSheetId="4" hidden="1">Lateral_Design!$M$8:$M$9</definedName>
    <definedName name="ExternalData_2" localSheetId="0" hidden="1">Project_Home!$O$5:$AA$6</definedName>
    <definedName name="ExternalData_2" localSheetId="22" hidden="1">X2_30_Structures!$BS$4:$CA$8</definedName>
    <definedName name="ExternalData_2" localSheetId="26" hidden="1">Y_Lib_03_Helicals_Design_Cond!$K$4:$L$7</definedName>
    <definedName name="ExternalData_2" localSheetId="27" hidden="1">Y_Lib_04_Helicals_Geometry!$D$4:$D$6</definedName>
    <definedName name="ExternalData_3" localSheetId="0" hidden="1">Project_Home!$I$9:$M$10</definedName>
    <definedName name="ExternalData_3" localSheetId="26" hidden="1">Y_Lib_03_Helicals_Design_Cond!$N$4:$O$8</definedName>
    <definedName name="ExternalData_3" localSheetId="27" hidden="1">Y_Lib_04_Helicals_Geometry!$F$4:$F$6</definedName>
    <definedName name="ExternalData_4" localSheetId="26" hidden="1">Y_Lib_03_Helicals_Design_Cond!$S$4:$S$6</definedName>
    <definedName name="ExternalData_4" localSheetId="27" hidden="1">Y_Lib_04_Helicals_Geometry!$F$19:$F$25</definedName>
    <definedName name="ExternalData_5" localSheetId="26" hidden="1">Y_Lib_03_Helicals_Design_Cond!$U$4:$U$6</definedName>
    <definedName name="ExternalData_5" localSheetId="27" hidden="1">Y_Lib_04_Helicals_Geometry!$F$9:$F$11</definedName>
    <definedName name="ExternalData_5" localSheetId="28" hidden="1">Y_Lib_05_Part_Generation!$D$4:$N$15</definedName>
    <definedName name="ExternalData_6" localSheetId="26" hidden="1">Y_Lib_03_Helicals_Design_Cond!$W$4:$W$9</definedName>
    <definedName name="ExternalData_6" localSheetId="27" hidden="1">Y_Lib_04_Helicals_Geometry!$S$4:$W$11</definedName>
    <definedName name="ExternalData_7" localSheetId="26" hidden="1">Y_Lib_03_Helicals_Design_Cond!$Y$4:$Y$6</definedName>
    <definedName name="ExternalData_7" localSheetId="27" hidden="1">Y_Lib_04_Helicals_Geometry!$Y$4:$AA$14</definedName>
    <definedName name="ExternalData_8" localSheetId="26" hidden="1">Y_Lib_03_Helicals_Design_Cond!$AA$4:$AA$9</definedName>
    <definedName name="ExternalData_9" localSheetId="26" hidden="1">Y_Lib_03_Helicals_Design_Cond!$Q$4:$Q$8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B5" i="13" l="1"/>
  <c r="CB6" i="13"/>
  <c r="CB7" i="13"/>
  <c r="CB8" i="13"/>
  <c r="CW5" i="12" l="1"/>
  <c r="CV5" i="12"/>
  <c r="CU5" i="12"/>
  <c r="CT5" i="12"/>
  <c r="CS5" i="12"/>
  <c r="CR5" i="12"/>
  <c r="CH5" i="12"/>
  <c r="CG5" i="12"/>
  <c r="CF5" i="12"/>
  <c r="CE5" i="12"/>
  <c r="CD5" i="12"/>
  <c r="CC5" i="12"/>
  <c r="BK5" i="12"/>
  <c r="BJ5" i="12"/>
  <c r="BI5" i="12"/>
  <c r="BH5" i="12"/>
  <c r="BG5" i="12"/>
  <c r="L13" i="4" l="1"/>
  <c r="AO13" i="4"/>
  <c r="L12" i="4"/>
  <c r="AO12" i="4"/>
  <c r="L11" i="4"/>
  <c r="AO11" i="4"/>
  <c r="L10" i="4"/>
  <c r="AO10" i="4"/>
  <c r="L9" i="4"/>
  <c r="AO9" i="4"/>
  <c r="L8" i="4"/>
  <c r="AO8" i="4"/>
  <c r="L7" i="4"/>
  <c r="AO7" i="4"/>
  <c r="Z13" i="4"/>
  <c r="AB13" i="4"/>
  <c r="P13" i="4"/>
  <c r="Y13" i="4"/>
  <c r="AA13" i="4"/>
  <c r="Z12" i="4"/>
  <c r="AB12" i="4"/>
  <c r="P12" i="4"/>
  <c r="Y12" i="4"/>
  <c r="AA12" i="4"/>
  <c r="Z11" i="4"/>
  <c r="AB11" i="4"/>
  <c r="P11" i="4"/>
  <c r="Y11" i="4"/>
  <c r="AA11" i="4"/>
  <c r="Z10" i="4"/>
  <c r="AB10" i="4"/>
  <c r="P10" i="4"/>
  <c r="Y10" i="4"/>
  <c r="AA10" i="4"/>
  <c r="Z9" i="4"/>
  <c r="AB9" i="4"/>
  <c r="P9" i="4"/>
  <c r="Y9" i="4"/>
  <c r="AA9" i="4"/>
  <c r="Z8" i="4"/>
  <c r="AB8" i="4"/>
  <c r="P8" i="4"/>
  <c r="Y8" i="4"/>
  <c r="AA8" i="4"/>
  <c r="Z7" i="4"/>
  <c r="AB7" i="4"/>
  <c r="P7" i="4"/>
  <c r="Y7" i="4"/>
  <c r="AA7" i="4"/>
  <c r="W13" i="4" l="1"/>
  <c r="AF13" i="4"/>
  <c r="W12" i="4"/>
  <c r="AF12" i="4"/>
  <c r="W11" i="4"/>
  <c r="AF11" i="4"/>
  <c r="W10" i="4"/>
  <c r="AF10" i="4"/>
  <c r="W9" i="4"/>
  <c r="AF9" i="4"/>
  <c r="W8" i="4"/>
  <c r="AF8" i="4"/>
  <c r="W7" i="4"/>
  <c r="AF7" i="4"/>
  <c r="AH13" i="4" l="1"/>
  <c r="AD13" i="4" a="1"/>
  <c r="AD13" i="4" s="1"/>
  <c r="AH12" i="4"/>
  <c r="AD12" i="4" a="1"/>
  <c r="AD12" i="4" s="1"/>
  <c r="AH11" i="4"/>
  <c r="AD11" i="4" a="1"/>
  <c r="AD11" i="4" s="1"/>
  <c r="AH10" i="4"/>
  <c r="AD10" i="4" a="1"/>
  <c r="AD10" i="4" s="1"/>
  <c r="AH9" i="4"/>
  <c r="AD9" i="4" a="1"/>
  <c r="AD9" i="4" s="1"/>
  <c r="AH8" i="4"/>
  <c r="AD8" i="4" a="1"/>
  <c r="AD8" i="4" s="1"/>
  <c r="AH7" i="4"/>
  <c r="AD7" i="4" a="1"/>
  <c r="AD7" i="4" s="1"/>
  <c r="CA5" i="12" l="1"/>
  <c r="AB12" i="25"/>
  <c r="N9" i="18" l="1"/>
  <c r="O9" i="18"/>
  <c r="P9" i="18"/>
  <c r="AB6" i="1" l="1"/>
  <c r="W5" i="12"/>
  <c r="BF5" i="12"/>
  <c r="CJ5" i="12"/>
  <c r="CK5" i="12"/>
  <c r="CL5" i="12"/>
  <c r="CM5" i="12"/>
  <c r="CN5" i="12"/>
  <c r="CO5" i="12"/>
  <c r="DK5" i="12"/>
  <c r="DU5" i="12"/>
  <c r="T5" i="12" s="1"/>
  <c r="DV5" i="12"/>
  <c r="S5" i="12" s="1"/>
  <c r="DM5" i="12"/>
  <c r="BB5" i="12"/>
  <c r="F5" i="12"/>
  <c r="DR5" i="12"/>
  <c r="H5" i="12"/>
  <c r="G5" i="12"/>
  <c r="BC5" i="12"/>
  <c r="I5" i="12"/>
  <c r="AD5" i="12" l="1"/>
  <c r="DB5" i="12"/>
  <c r="AC5" i="12"/>
  <c r="AE5" i="12" s="1" a="1"/>
  <c r="AE5" i="12" s="1"/>
  <c r="DE5" i="12"/>
  <c r="AX5" i="12"/>
  <c r="BE5" i="12" s="1"/>
  <c r="DL5" i="12"/>
  <c r="DO5" i="12" s="1"/>
  <c r="O5" i="12" s="1"/>
  <c r="AV5" i="12"/>
  <c r="AC6" i="1" s="1"/>
  <c r="DQ5" i="12"/>
  <c r="DS5" i="12" s="1"/>
  <c r="Q5" i="12" s="1"/>
  <c r="X5" i="12"/>
  <c r="Y5" i="12" s="1"/>
  <c r="E7" i="21"/>
  <c r="G7" i="21" s="1"/>
  <c r="BP5" i="12"/>
  <c r="BQ5" i="12"/>
  <c r="DC5" i="12"/>
  <c r="BR5" i="12"/>
  <c r="CB5" i="12"/>
  <c r="BN5" i="12"/>
  <c r="DX5" i="12" a="1"/>
  <c r="BS5" i="12"/>
  <c r="BO5" i="12"/>
  <c r="EA5" i="12" a="1"/>
  <c r="BM5" i="12" l="1"/>
  <c r="CZ5" i="12" s="1"/>
  <c r="CY5" i="12"/>
  <c r="BV5" i="12"/>
  <c r="BY5" i="12" s="1"/>
  <c r="DH5" i="12"/>
  <c r="L5" i="12" s="1"/>
  <c r="DX5" i="12"/>
  <c r="DY5" i="12" s="1"/>
  <c r="DZ5" i="12" s="1"/>
  <c r="EA5" i="12"/>
  <c r="DA5" i="12"/>
  <c r="EC5" i="12"/>
  <c r="CQ5" i="12" l="1"/>
  <c r="BU5" i="12"/>
  <c r="BX5" i="12" s="1"/>
  <c r="DD5" i="12"/>
  <c r="DJ5" i="12"/>
  <c r="DN5" i="12" s="1"/>
  <c r="N5" i="12" s="1"/>
  <c r="DG5" i="12"/>
  <c r="K5" i="12" s="1"/>
  <c r="U5" i="12"/>
  <c r="L6" i="4" l="1"/>
  <c r="AO6" i="4"/>
  <c r="P6" i="4"/>
  <c r="AA6" i="4"/>
  <c r="Y6" i="4"/>
  <c r="Z6" i="4"/>
  <c r="AB6" i="4"/>
  <c r="W6" i="4" l="1"/>
  <c r="AF6" i="4" s="1"/>
  <c r="AH6" i="4" l="1"/>
  <c r="AD6" i="4" a="1"/>
  <c r="AD6" i="4" s="1"/>
  <c r="D8" i="29" l="1"/>
  <c r="D14" i="29"/>
  <c r="D20" i="29"/>
  <c r="D21" i="29"/>
  <c r="D15" i="29"/>
  <c r="D9" i="29"/>
  <c r="J5" i="1" l="1"/>
  <c r="F6" i="18" l="1"/>
  <c r="I20" i="29" l="1"/>
  <c r="I14" i="29"/>
  <c r="I9" i="29"/>
  <c r="D8" i="5"/>
  <c r="G8" i="5" s="1"/>
  <c r="E8" i="5"/>
  <c r="D7" i="5"/>
  <c r="D9" i="5"/>
  <c r="E9" i="5" s="1"/>
  <c r="E7" i="5"/>
  <c r="G7" i="5"/>
  <c r="F7" i="5"/>
  <c r="F9" i="5"/>
  <c r="L7" i="21"/>
  <c r="J7" i="1"/>
  <c r="D6" i="5"/>
  <c r="E6" i="5" s="1"/>
  <c r="G6" i="5"/>
  <c r="F6" i="5"/>
  <c r="F25" i="18"/>
  <c r="F32" i="18" s="1"/>
  <c r="F34" i="18" s="1"/>
  <c r="F35" i="18" s="1"/>
  <c r="D5" i="25"/>
  <c r="E21" i="18"/>
  <c r="E43" i="18"/>
  <c r="F7" i="18"/>
  <c r="F53" i="18"/>
  <c r="U5" i="11"/>
  <c r="T5" i="11"/>
  <c r="S5" i="11"/>
  <c r="R5" i="11"/>
  <c r="AA5" i="11"/>
  <c r="AA5" i="25"/>
  <c r="G9" i="5" l="1"/>
  <c r="F8" i="5"/>
  <c r="F28" i="18"/>
  <c r="Y5" i="11"/>
  <c r="V5" i="11"/>
  <c r="W5" i="11" s="1"/>
  <c r="X5" i="11" s="1"/>
  <c r="F9" i="18"/>
  <c r="F16" i="18" s="1"/>
  <c r="Q9" i="18" s="1"/>
  <c r="F17" i="18" l="1"/>
  <c r="F18" i="18" s="1"/>
  <c r="R9" i="18" s="1"/>
  <c r="F48" i="18"/>
  <c r="F39" i="18"/>
  <c r="F29" i="18"/>
  <c r="F37" i="18" s="1"/>
  <c r="Z5" i="11"/>
  <c r="E5" i="25"/>
  <c r="F55" i="18" l="1"/>
  <c r="F56" i="18" s="1"/>
  <c r="F49" i="18"/>
  <c r="Q5" i="25"/>
  <c r="G5" i="25"/>
  <c r="U5" i="25"/>
  <c r="I5" i="25"/>
  <c r="L5" i="25"/>
  <c r="Y5" i="25"/>
  <c r="Z5" i="25"/>
  <c r="V5" i="25"/>
  <c r="K5" i="25"/>
  <c r="F5" i="25"/>
  <c r="J5" i="25"/>
  <c r="O5" i="25"/>
  <c r="W5" i="25"/>
  <c r="T5" i="25"/>
  <c r="H5" i="25"/>
  <c r="X5" i="25"/>
  <c r="M5" i="25"/>
  <c r="N5" i="25"/>
  <c r="S5" i="25"/>
  <c r="R5" i="25"/>
  <c r="P5" i="25"/>
  <c r="AC5" i="25" l="1"/>
  <c r="AE5" i="25"/>
  <c r="AB5" i="25"/>
  <c r="AD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FD7C03-79D6-4AAF-B091-3960AE2951A6}" keepAlive="1" name="Query - Tbl_10_IFQ" description="Connection to the 'Tbl_10_IFQ' query in the workbook." type="5" refreshedVersion="6" saveData="1">
    <dbPr connection="Provider=Microsoft.Mashup.OleDb.1;Data Source=$Workbook$;Location=Tbl_10_IFQ;Extended Properties=&quot;&quot;" command="SELECT * FROM [Tbl_10_IFQ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575F710B-D0FF-405E-A42B-5A2DEE37B46B}" keepAlive="1" name="Query - Tbl_10_Summarize_Schedule" description="Connection to the 'Tbl_10_Summarize_Schedule' query in the workbook." type="5" refreshedVersion="6" saveData="1">
    <dbPr connection="Provider=Microsoft.Mashup.OleDb.1;Data Source=$Workbook$;Location=Tbl_10_Summarize_Schedule;Extended Properties=&quot;&quot;" command="SELECT * FROM [Tbl_10_Summarize_Schedule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E274AB97-F899-4408-AD27-812AAD5DD812}" keepAlive="1" name="Query - Tbl_60_LPile_Design_Parameters" description="Connection to the 'Tbl_60_LPile_Design_Parameters' query in the workbook." type="5" refreshedVersion="6" saveData="1">
    <dbPr connection="Provider=Microsoft.Mashup.OleDb.1;Data Source=$Workbook$;Location=Tbl_60_LPile_Design_Parameters;Extended Properties=&quot;&quot;" command="SELECT * FROM [Tbl_60_LPile_Design_Parameters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948EB8AF-0647-423E-87DF-75F54CF05DFC}" keepAlive="1" name="Query - Tbl_60_LPile_Output" description="Connection to the 'Tbl_60_LPile_Output' query in the workbook." type="5" refreshedVersion="6" saveData="1">
    <dbPr connection="Provider=Microsoft.Mashup.OleDb.1;Data Source=$Workbook$;Location=Tbl_60_LPile_Output;Extended Properties=&quot;&quot;" command="SELECT * FROM [Tbl_60_LPile_Output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082F439D-6E83-467F-B812-218B2F255D70}" keepAlive="1" name="Query - Tbl_71A_Pile_Type_Design" description="Connection to the 'Tbl_71A_Pile_Type_Design' query in the workbook." type="5" refreshedVersion="6" saveData="1">
    <dbPr connection="Provider=Microsoft.Mashup.OleDb.1;Data Source=$Workbook$;Location=Tbl_71A_Pile_Type_Design;Extended Properties=&quot;&quot;" command="SELECT * FROM [Tbl_71A_Pile_Type_Design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00000000-0015-0000-FFFF-FFFF00000000}" keepAlive="1" name="Query - Tbl_803_Coarse_grain" description="Connection to the 'Tbl_803_Coarse_grain' query in the workbook." type="5" refreshedVersion="6" saveData="1">
    <dbPr connection="Provider=Microsoft.Mashup.OleDb.1;Data Source=$Workbook$;Location=Tbl_803_Coarse_grain;Extended Properties=&quot;&quot;" command="SELECT * FROM [Tbl_803_Coarse_grain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00000000-0015-0000-FFFF-FFFF01000000}" keepAlive="1" name="Query - Tbl_803_Coarse_grain_Consistency" description="Connection to the 'Tbl_803_Coarse_grain_Consistency' query in the workbook." type="5" refreshedVersion="6" saveData="1">
    <dbPr connection="Provider=Microsoft.Mashup.OleDb.1;Data Source=$Workbook$;Location=Tbl_803_Coarse_grain_Consistency;Extended Properties=&quot;&quot;" command="SELECT * FROM [Tbl_803_Coarse_grain_Consistency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00000000-0015-0000-FFFF-FFFF02000000}" keepAlive="1" name="Query - Tbl_803_Connection_Type" description="Connection to the 'Tbl_803_Connection_Type' query in the workbook." type="5" refreshedVersion="6" saveData="1">
    <dbPr connection="Provider=Microsoft.Mashup.OleDb.1;Data Source=$Workbook$;Location=Tbl_803_Connection_Type;Extended Properties=&quot;&quot;" command="SELECT * FROM [Tbl_803_Connection_Type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00000000-0015-0000-FFFF-FFFF03000000}" keepAlive="1" name="Query - Tbl_803_Fine_And_Coarse_Grain" description="Connection to the 'Tbl_803_Fine_And_Coarse_Grain' query in the workbook." type="5" refreshedVersion="6" saveData="1">
    <dbPr connection="Provider=Microsoft.Mashup.OleDb.1;Data Source=$Workbook$;Location=Tbl_803_Fine_And_Coarse_Grain;Extended Properties=&quot;&quot;" command="SELECT * FROM [Tbl_803_Fine_And_Coarse_Grain]"/>
    <extLst>
      <ext xmlns:x15="http://schemas.microsoft.com/office/spreadsheetml/2010/11/main" uri="{DE250136-89BD-433C-8126-D09CA5730AF9}">
        <x15:connection id="" excludeFromRefreshAll="1"/>
      </ext>
    </extLst>
  </connection>
  <connection id="10" xr16:uid="{00000000-0015-0000-FFFF-FFFF04000000}" keepAlive="1" name="Query - Tbl_803_Fine_grain" description="Connection to the 'Tbl_803_Fine_grain' query in the workbook." type="5" refreshedVersion="6" saveData="1">
    <dbPr connection="Provider=Microsoft.Mashup.OleDb.1;Data Source=$Workbook$;Location=Tbl_803_Fine_grain;Extended Properties=&quot;&quot;" command="SELECT * FROM [Tbl_803_Fine_grain]"/>
    <extLst>
      <ext xmlns:x15="http://schemas.microsoft.com/office/spreadsheetml/2010/11/main" uri="{DE250136-89BD-433C-8126-D09CA5730AF9}">
        <x15:connection id="" excludeFromRefreshAll="1"/>
      </ext>
    </extLst>
  </connection>
  <connection id="11" xr16:uid="{00000000-0015-0000-FFFF-FFFF05000000}" keepAlive="1" name="Query - Tbl_803_Fine_grain_Consistency" description="Connection to the 'Tbl_803_Fine_grain_Consistency' query in the workbook." type="5" refreshedVersion="6" saveData="1">
    <dbPr connection="Provider=Microsoft.Mashup.OleDb.1;Data Source=$Workbook$;Location=Tbl_803_Fine_grain_Consistency;Extended Properties=&quot;&quot;" command="SELECT * FROM [Tbl_803_Fine_grain_Consistency]"/>
    <extLst>
      <ext xmlns:x15="http://schemas.microsoft.com/office/spreadsheetml/2010/11/main" uri="{DE250136-89BD-433C-8126-D09CA5730AF9}">
        <x15:connection id="" excludeFromRefreshAll="1"/>
      </ext>
    </extLst>
  </connection>
  <connection id="12" xr16:uid="{E47D13BA-50F8-4E95-A997-9124DE15E8A1}" keepAlive="1" name="Query - Tbl_803_Kt" description="Connection to the 'Tbl_803_Kt' query in the workbook." type="5" refreshedVersion="6" background="1" saveData="1">
    <dbPr connection="Provider=Microsoft.Mashup.OleDb.1;Data Source=$Workbook$;Location=Tbl_803_Kt;Extended Properties=&quot;&quot;" command="SELECT * FROM [Tbl_803_Kt]"/>
    <extLst>
      <ext xmlns:x15="http://schemas.microsoft.com/office/spreadsheetml/2010/11/main" uri="{DE250136-89BD-433C-8126-D09CA5730AF9}">
        <x15:connection id="" excludeFromRefreshAll="1"/>
      </ext>
    </extLst>
  </connection>
  <connection id="13" xr16:uid="{00000000-0015-0000-FFFF-FFFF06000000}" keepAlive="1" name="Query - Tbl_803_P_Y_Curve_Type" description="Connection to the 'Tbl_803_P_Y_Curve_Type' query in the workbook." type="5" refreshedVersion="6" saveData="1">
    <dbPr connection="Provider=Microsoft.Mashup.OleDb.1;Data Source=$Workbook$;Location=Tbl_803_P_Y_Curve_Type;Extended Properties=&quot;&quot;" command="SELECT * FROM [Tbl_803_P_Y_Curve_Type]"/>
    <extLst>
      <ext xmlns:x15="http://schemas.microsoft.com/office/spreadsheetml/2010/11/main" uri="{DE250136-89BD-433C-8126-D09CA5730AF9}">
        <x15:connection id="" excludeFromRefreshAll="1"/>
      </ext>
    </extLst>
  </connection>
  <connection id="14" xr16:uid="{00000000-0015-0000-FFFF-FFFF07000000}" keepAlive="1" name="Query - Tbl_803_Shaft_Type" description="Connection to the 'Tbl_803_Shaft_Type' query in the workbook." type="5" refreshedVersion="6" saveData="1">
    <dbPr connection="Provider=Microsoft.Mashup.OleDb.1;Data Source=$Workbook$;Location=Tbl_803_Shaft_Type;Extended Properties=&quot;&quot;" command="SELECT * FROM [Tbl_803_Shaft_Type]"/>
    <extLst>
      <ext xmlns:x15="http://schemas.microsoft.com/office/spreadsheetml/2010/11/main" uri="{DE250136-89BD-433C-8126-D09CA5730AF9}">
        <x15:connection id="" excludeFromRefreshAll="1"/>
      </ext>
    </extLst>
  </connection>
  <connection id="15" xr16:uid="{00000000-0015-0000-FFFF-FFFF08000000}" keepAlive="1" name="Query - Tbl_803_Soil_Classification(1)" description="Connection to the 'Tbl_803_Soil_Classification' query in the workbook." type="5" refreshedVersion="6" saveData="1">
    <dbPr connection="Provider=Microsoft.Mashup.OleDb.1;Data Source=$Workbook$;Location=Tbl_803_Soil_Classification;Extended Properties=&quot;&quot;" command="SELECT * FROM [Tbl_803_Soil_Classification]"/>
    <extLst>
      <ext xmlns:x15="http://schemas.microsoft.com/office/spreadsheetml/2010/11/main" uri="{DE250136-89BD-433C-8126-D09CA5730AF9}">
        <x15:connection id="" excludeFromRefreshAll="1"/>
      </ext>
    </extLst>
  </connection>
  <connection id="16" xr16:uid="{245570BD-7B3E-4FCC-9C7D-DF5E0E1C32E3}" keepAlive="1" name="Query - Tbl_803_SQ_Helix_Capacities" description="Connection to the 'Tbl_803_SQ_Helix_Capacities' query in the workbook." type="5" refreshedVersion="6" saveData="1">
    <dbPr connection="Provider=Microsoft.Mashup.OleDb.1;Data Source=$Workbook$;Location=Tbl_803_SQ_Helix_Capacities;Extended Properties=&quot;&quot;" command="SELECT * FROM [Tbl_803_SQ_Helix_Capacities]"/>
    <extLst>
      <ext xmlns:x15="http://schemas.microsoft.com/office/spreadsheetml/2010/11/main" uri="{DE250136-89BD-433C-8126-D09CA5730AF9}">
        <x15:connection id="" excludeFromRefreshAll="1"/>
      </ext>
    </extLst>
  </connection>
  <connection id="17" xr16:uid="{00000000-0015-0000-FFFF-FFFF09000000}" keepAlive="1" name="Query - Tbl_804_Diam_ANCH_SQ" description="Connection to the 'Tbl_804_Diam_ANCH_SQ' query in the workbook." type="5" refreshedVersion="6" saveData="1">
    <dbPr connection="Provider=Microsoft.Mashup.OleDb.1;Data Source=$Workbook$;Location=Tbl_804_Diam_ANCH_SQ;Extended Properties=&quot;&quot;" command="SELECT * FROM [Tbl_804_Diam_ANCH_SQ]"/>
    <extLst>
      <ext xmlns:x15="http://schemas.microsoft.com/office/spreadsheetml/2010/11/main" uri="{DE250136-89BD-433C-8126-D09CA5730AF9}">
        <x15:connection id="" excludeFromRefreshAll="1"/>
      </ext>
    </extLst>
  </connection>
  <connection id="18" xr16:uid="{00000000-0015-0000-FFFF-FFFF0A000000}" keepAlive="1" name="Query - Tbl_804_Diam_PILE_RD" description="Connection to the 'Tbl_804_Diam_PILE_RD' query in the workbook." type="5" refreshedVersion="6" saveData="1">
    <dbPr connection="Provider=Microsoft.Mashup.OleDb.1;Data Source=$Workbook$;Location=Tbl_804_Diam_PILE_RD;Extended Properties=&quot;&quot;" command="SELECT * FROM [Tbl_804_Diam_PILE_RD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00000000-0015-0000-FFFF-FFFF0B000000}" keepAlive="1" name="Query - Tbl_804_Diam_PILE_SQ" description="Connection to the 'Tbl_804_Diam_PILE_SQ' query in the workbook." type="5" refreshedVersion="6" saveData="1">
    <dbPr connection="Provider=Microsoft.Mashup.OleDb.1;Data Source=$Workbook$;Location=Tbl_804_Diam_PILE_SQ;Extended Properties=&quot;&quot;" command="SELECT * FROM [Tbl_804_Diam_PILE_SQ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00000000-0015-0000-FFFF-FFFF0C000000}" keepAlive="1" name="Query - Tbl_804_Diameter_TOPR" description="Connection to the 'Tbl_804_Diameter_TOPR' query in the workbook." type="5" refreshedVersion="6" saveData="1">
    <dbPr connection="Provider=Microsoft.Mashup.OleDb.1;Data Source=$Workbook$;Location=Tbl_804_Diameter_TOPR;Extended Properties=&quot;&quot;" command="SELECT * FROM [Tbl_804_Diameter_TOPR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00000000-0015-0000-FFFF-FFFF0D000000}" keepAlive="1" name="Query - Tbl_804_Pile_Shape" description="Connection to the 'Tbl_804_Pile_Shape' query in the workbook." type="5" refreshedVersion="6" saveData="1">
    <dbPr connection="Provider=Microsoft.Mashup.OleDb.1;Data Source=$Workbook$;Location=Tbl_804_Pile_Shape;Extended Properties=&quot;&quot;" command="SELECT * FROM [Tbl_804_Pile_Shape]"/>
    <extLst>
      <ext xmlns:x15="http://schemas.microsoft.com/office/spreadsheetml/2010/11/main" uri="{DE250136-89BD-433C-8126-D09CA5730AF9}">
        <x15:connection id="" excludeFromRefreshAll="1"/>
      </ext>
    </extLst>
  </connection>
  <connection id="22" xr16:uid="{00000000-0015-0000-FFFF-FFFF0E000000}" keepAlive="1" name="Query - Tbl_804_Pile_Std_Th" description="Connection to the 'Tbl_804_Pile_Std_Th' query in the workbook." type="5" refreshedVersion="6" saveData="1">
    <dbPr connection="Provider=Microsoft.Mashup.OleDb.1;Data Source=$Workbook$;Location=Tbl_804_Pile_Std_Th;Extended Properties=&quot;&quot;" command="SELECT * FROM [Tbl_804_Pile_Std_Th]"/>
    <extLst>
      <ext xmlns:x15="http://schemas.microsoft.com/office/spreadsheetml/2010/11/main" uri="{DE250136-89BD-433C-8126-D09CA5730AF9}">
        <x15:connection id="" excludeFromRefreshAll="1"/>
      </ext>
    </extLst>
  </connection>
  <connection id="23" xr16:uid="{00000000-0015-0000-FFFF-FFFF0F000000}" keepAlive="1" name="Query - Tbl_804_SQ_Helix_Area" description="Connection to the 'Tbl_804_SQ_Helix_Area' query in the workbook." type="5" refreshedVersion="6" saveData="1">
    <dbPr connection="Provider=Microsoft.Mashup.OleDb.1;Data Source=$Workbook$;Location=Tbl_804_SQ_Helix_Area;Extended Properties=&quot;&quot;" command="SELECT * FROM [Tbl_804_SQ_Helix_Area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00000000-0015-0000-FFFF-FFFF10000000}" keepAlive="1" name="Query - Tbl_805_Piles_Geometry" description="Connection to the 'Tbl_805_Piles_Geometry' query in the workbook." type="5" refreshedVersion="6" saveData="1">
    <dbPr connection="Provider=Microsoft.Mashup.OleDb.1;Data Source=$Workbook$;Location=Tbl_805_Piles_Geometry;Extended Properties=&quot;&quot;" command="SELECT * FROM [Tbl_805_Piles_Geometry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7316D8A8-DD06-463E-9534-22BA77536B6B}" keepAlive="1" name="Query - Tbl_X2_100_Part_Number" description="Connection to the 'Tbl_X2_100_Part_Number' query in the workbook." type="5" refreshedVersion="6" saveData="1">
    <dbPr connection="Provider=Microsoft.Mashup.OleDb.1;Data Source=$Workbook$;Location=Tbl_X2_100_Part_Number;Extended Properties=&quot;&quot;" command="SELECT * FROM [Tbl_X2_100_Part_Number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0000000-0015-0000-FFFF-FFFF11000000}" keepAlive="1" name="Query - Tbl_X2_30_Loads_Stick_Up" description="Connection to the 'Tbl_X2_30_Loads_Stick_Up' query in the workbook." type="5" refreshedVersion="6" saveData="1">
    <dbPr connection="Provider=Microsoft.Mashup.OleDb.1;Data Source=$Workbook$;Location=Tbl_X2_30_Loads_Stick_Up;Extended Properties=&quot;&quot;" command="SELECT * FROM [Tbl_X2_30_Loads_Stick_Up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12000000}" keepAlive="1" name="Query - Tbl_X2_30_Parent_Child_Shaft" description="Connection to the 'Tbl_X2_30_Parent_Child_Shaft' query in the workbook." type="5" refreshedVersion="6" saveData="1">
    <dbPr connection="Provider=Microsoft.Mashup.OleDb.1;Data Source=$Workbook$;Location=Tbl_X2_30_Parent_Child_Shaft;Extended Properties=&quot;&quot;" command="SELECT * FROM [Tbl_X2_30_Parent_Child_Shaft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00000000-0015-0000-FFFF-FFFF13000000}" keepAlive="1" name="Query - Tbl_X2_30_Parent_Shaft_Only" description="Connection to the 'Tbl_X2_30_Parent_Shaft_Only' query in the workbook." type="5" refreshedVersion="0" background="1">
    <dbPr connection="Provider=Microsoft.Mashup.OleDb.1;Data Source=$Workbook$;Location=Tbl_X2_30_Parent_Shaft_Only;Extended Properties=&quot;&quot;" command="SELECT * FROM [Tbl_X2_30_Parent_Shaft_Only]"/>
  </connection>
  <connection id="29" xr16:uid="{00000000-0015-0000-FFFF-FFFF14000000}" keepAlive="1" name="Query - Tbl_X2_50_Parent_Shaft_Not_Used_DropDown" description="Connection to the 'Tbl_X2_50_Parent_Shaft_Not_Used_DropDown' query in the workbook." type="5" refreshedVersion="6" saveData="1">
    <dbPr connection="Provider=Microsoft.Mashup.OleDb.1;Data Source=$Workbook$;Location=Tbl_X2_50_Parent_Shaft_Not_Used_DropDown;Extended Properties=&quot;&quot;" command="SELECT * FROM [Tbl_X2_50_Parent_Shaft_Not_Used_DropDown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<sst xmlns="http://schemas.openxmlformats.org/spreadsheetml/2006/main" count="791" uniqueCount="550">
  <si>
    <t>Engineer</t>
  </si>
  <si>
    <t>Zip</t>
  </si>
  <si>
    <t>Max SS</t>
  </si>
  <si>
    <t>Max S1</t>
  </si>
  <si>
    <t>Sds</t>
  </si>
  <si>
    <t>Site Coef</t>
  </si>
  <si>
    <t>Risk Category</t>
  </si>
  <si>
    <t>Wind Speed</t>
  </si>
  <si>
    <t>Structure Name</t>
  </si>
  <si>
    <t>No of Supports</t>
  </si>
  <si>
    <t>Shear</t>
  </si>
  <si>
    <t>Moment</t>
  </si>
  <si>
    <t>Comp</t>
  </si>
  <si>
    <t>Tension</t>
  </si>
  <si>
    <t>Shaft Type</t>
  </si>
  <si>
    <t>Connection Type</t>
  </si>
  <si>
    <t>Lpile Elevation</t>
  </si>
  <si>
    <t>Shaft_Type</t>
  </si>
  <si>
    <t>Pile Location DWG</t>
  </si>
  <si>
    <t>Pile Detail DWG</t>
  </si>
  <si>
    <t>Diameter</t>
  </si>
  <si>
    <t>Latest IFQ Rev</t>
  </si>
  <si>
    <t>Latest IFC Rev</t>
  </si>
  <si>
    <t>WorkSheet Name</t>
  </si>
  <si>
    <t>Home</t>
  </si>
  <si>
    <t>Y_Library_Home</t>
  </si>
  <si>
    <t>Navigate To</t>
  </si>
  <si>
    <t>01_Bds And Eng</t>
  </si>
  <si>
    <t>Y_Lib_01_Bds_And_Eng</t>
  </si>
  <si>
    <t>02_Buttons</t>
  </si>
  <si>
    <t>Y_Lib_02_Buttons</t>
  </si>
  <si>
    <t>03_Helicals Design Cond</t>
  </si>
  <si>
    <t>Y_Lib_03_Helicals_Design_Cond</t>
  </si>
  <si>
    <t>04_Helicals Geometry</t>
  </si>
  <si>
    <t>Y_Lib_04_Helicals_Geometry</t>
  </si>
  <si>
    <t>05_Part Generation</t>
  </si>
  <si>
    <t>Y_Lib_05_Part_Generation</t>
  </si>
  <si>
    <t>06_Paths</t>
  </si>
  <si>
    <t>Y_Lib_06_Paths</t>
  </si>
  <si>
    <t>07_Template</t>
  </si>
  <si>
    <t>Y_Lib_07_Template</t>
  </si>
  <si>
    <t>08_WorkSheets</t>
  </si>
  <si>
    <t>Y_Lib_08_WorkSheets</t>
  </si>
  <si>
    <t>Connection_Type</t>
  </si>
  <si>
    <t>STEEL</t>
  </si>
  <si>
    <t>SONO</t>
  </si>
  <si>
    <t>MAT</t>
  </si>
  <si>
    <r>
      <t>TO</t>
    </r>
    <r>
      <rPr>
        <vertAlign val="subscript"/>
        <sz val="12"/>
        <color theme="0"/>
        <rFont val="Segoe UI Light"/>
        <family val="2"/>
      </rPr>
      <t>Concrete</t>
    </r>
  </si>
  <si>
    <r>
      <t>TO</t>
    </r>
    <r>
      <rPr>
        <vertAlign val="subscript"/>
        <sz val="12"/>
        <color theme="0"/>
        <rFont val="Segoe UI Light"/>
        <family val="2"/>
      </rPr>
      <t>Pile</t>
    </r>
  </si>
  <si>
    <t>TPN.</t>
  </si>
  <si>
    <t>Shaft_Type_Short</t>
  </si>
  <si>
    <t>Pile</t>
  </si>
  <si>
    <t>PILE</t>
  </si>
  <si>
    <t>Pile and Anchor</t>
  </si>
  <si>
    <t>PLAN</t>
  </si>
  <si>
    <t>Anchor</t>
  </si>
  <si>
    <t>12.75</t>
  </si>
  <si>
    <t>16.00</t>
  </si>
  <si>
    <t>20.00</t>
  </si>
  <si>
    <t>24.00</t>
  </si>
  <si>
    <t>26.00</t>
  </si>
  <si>
    <t>Pile_Shape</t>
  </si>
  <si>
    <t>05.50</t>
  </si>
  <si>
    <t>07.00</t>
  </si>
  <si>
    <t>10.75</t>
  </si>
  <si>
    <t>03.00</t>
  </si>
  <si>
    <t>04.00</t>
  </si>
  <si>
    <t>01.50</t>
  </si>
  <si>
    <t>01.75</t>
  </si>
  <si>
    <t>RD</t>
  </si>
  <si>
    <t>SQ</t>
  </si>
  <si>
    <t>Shaft_Diam</t>
  </si>
  <si>
    <t>Shaft_Diam_CP</t>
  </si>
  <si>
    <t>Shaft_Diam_CH</t>
  </si>
  <si>
    <t>p-y Curve Type</t>
  </si>
  <si>
    <t>Top (ft)</t>
  </si>
  <si>
    <t>Bottom (ft)</t>
  </si>
  <si>
    <t>Undrained Cohesion (psf)</t>
  </si>
  <si>
    <t>General Properties</t>
  </si>
  <si>
    <t>Value</t>
  </si>
  <si>
    <t>Active Zone Depth</t>
  </si>
  <si>
    <t>Water Table Depth</t>
  </si>
  <si>
    <t>Soil Resistivity</t>
  </si>
  <si>
    <t>Install Bellow soft layer</t>
  </si>
  <si>
    <t>Friction Angle</t>
  </si>
  <si>
    <t>Soil Type</t>
  </si>
  <si>
    <t>Soil Description</t>
  </si>
  <si>
    <t>N Value (bpf)</t>
  </si>
  <si>
    <t>Soil Profile for Axial Analysis</t>
  </si>
  <si>
    <t>N-Values for Soil Profile</t>
  </si>
  <si>
    <t>Soil Profile for Lateral Analysis</t>
  </si>
  <si>
    <t>Corrosion Properties</t>
  </si>
  <si>
    <t>Soil PH</t>
  </si>
  <si>
    <t>API Sand</t>
  </si>
  <si>
    <t>Stiff Clay w/ free Water</t>
  </si>
  <si>
    <t>Soft Clay</t>
  </si>
  <si>
    <t>Sand Resse</t>
  </si>
  <si>
    <t>Soil Classification</t>
  </si>
  <si>
    <t>Coarse-grain</t>
  </si>
  <si>
    <t>Fine-grain</t>
  </si>
  <si>
    <t>Clay</t>
  </si>
  <si>
    <t>Silt</t>
  </si>
  <si>
    <t>Coarse-grain Consistency</t>
  </si>
  <si>
    <t>Very Loose</t>
  </si>
  <si>
    <t>Loose</t>
  </si>
  <si>
    <t>Medium</t>
  </si>
  <si>
    <t>Dense</t>
  </si>
  <si>
    <t>Very Dense</t>
  </si>
  <si>
    <t>Sand</t>
  </si>
  <si>
    <t>Gravel</t>
  </si>
  <si>
    <t>Fine-grain Consistency</t>
  </si>
  <si>
    <t>Very Soft</t>
  </si>
  <si>
    <t>Soft</t>
  </si>
  <si>
    <t>Stiff</t>
  </si>
  <si>
    <t>Very Stiff</t>
  </si>
  <si>
    <t>Fine And Coarse Grain</t>
  </si>
  <si>
    <t>Type</t>
  </si>
  <si>
    <t>Unit Weight (pcf)</t>
  </si>
  <si>
    <t>Depth (ft)</t>
  </si>
  <si>
    <t>N_Value_(bpf)</t>
  </si>
  <si>
    <t>Unit_Weight_(pcf)</t>
  </si>
  <si>
    <t>Undrained_Cohesion_(psf)</t>
  </si>
  <si>
    <t>Friction_Angle</t>
  </si>
  <si>
    <t>γ</t>
  </si>
  <si>
    <t>Φ°</t>
  </si>
  <si>
    <t>Total Stress (psf)</t>
  </si>
  <si>
    <t>Effective Stress (psf)</t>
  </si>
  <si>
    <t>Qult (psf)</t>
  </si>
  <si>
    <t>Shear Strenght (psf)</t>
  </si>
  <si>
    <t>Shaft Adhesion (psf)</t>
  </si>
  <si>
    <t>T
(Perko Eq 4.26)</t>
  </si>
  <si>
    <t>Kh
(Perko Eq 4.25)</t>
  </si>
  <si>
    <t>Laterar Earth Pressure (psf)</t>
  </si>
  <si>
    <t>Shaft Adhesion Neglection</t>
  </si>
  <si>
    <t>Fr  OR α = 2/3 T 
(Perko Eq 4.27)</t>
  </si>
  <si>
    <t>Qult 
(Perko Eq 4.17)</t>
  </si>
  <si>
    <t>γ 
Interpolated</t>
  </si>
  <si>
    <t>C = Su
Interpolated</t>
  </si>
  <si>
    <t>Φ°
Interpolated</t>
  </si>
  <si>
    <t>C = Su
(Perko Eq 3.8 &amp; 3.9)</t>
  </si>
  <si>
    <r>
      <t>σ</t>
    </r>
    <r>
      <rPr>
        <b/>
        <vertAlign val="subscript"/>
        <sz val="10"/>
        <color theme="9" tint="-0.249977111117893"/>
        <rFont val="Segoe UI Light"/>
        <family val="2"/>
      </rPr>
      <t>v</t>
    </r>
    <r>
      <rPr>
        <b/>
        <sz val="10"/>
        <color theme="9" tint="-0.249977111117893"/>
        <rFont val="Segoe UI Light"/>
        <family val="2"/>
      </rPr>
      <t xml:space="preserve"> </t>
    </r>
  </si>
  <si>
    <r>
      <t>σ'</t>
    </r>
    <r>
      <rPr>
        <b/>
        <vertAlign val="subscript"/>
        <sz val="10"/>
        <color theme="9" tint="-0.249977111117893"/>
        <rFont val="Segoe UI Light"/>
        <family val="2"/>
      </rPr>
      <t>v</t>
    </r>
    <r>
      <rPr>
        <b/>
        <sz val="10"/>
        <color theme="9" tint="-0.249977111117893"/>
        <rFont val="Segoe UI Light"/>
        <family val="2"/>
      </rPr>
      <t xml:space="preserve"> </t>
    </r>
  </si>
  <si>
    <t>ID</t>
  </si>
  <si>
    <t>Child Shaft Type</t>
  </si>
  <si>
    <t>ANCH</t>
  </si>
  <si>
    <t>X2_Queries_Home</t>
  </si>
  <si>
    <t>Queries Home</t>
  </si>
  <si>
    <t>X2_30_Structures</t>
  </si>
  <si>
    <t>10_Queries Project Home</t>
  </si>
  <si>
    <t>20_Queries Loads</t>
  </si>
  <si>
    <t>30_Queries Structures</t>
  </si>
  <si>
    <t>40_Queries Soil Profile</t>
  </si>
  <si>
    <t>X2_10_Project_Home</t>
  </si>
  <si>
    <t>X2_40_Soil_Profile</t>
  </si>
  <si>
    <t>X2_20_Loads</t>
  </si>
  <si>
    <t>99_Queries_Template</t>
  </si>
  <si>
    <t>X2_99_Template</t>
  </si>
  <si>
    <t>Parent Shaft Type</t>
  </si>
  <si>
    <t>TOPile Max</t>
  </si>
  <si>
    <t>TOPile Min</t>
  </si>
  <si>
    <t>LPile Max</t>
  </si>
  <si>
    <t>LPile Min</t>
  </si>
  <si>
    <t>Helper_Used</t>
  </si>
  <si>
    <t>50_Pile Type Design</t>
  </si>
  <si>
    <t>X2_50_Pile_Type_Design</t>
  </si>
  <si>
    <t>Max Allowable Rotation</t>
  </si>
  <si>
    <t>Topper</t>
  </si>
  <si>
    <t>Topper Diameter</t>
  </si>
  <si>
    <t>Topper Th</t>
  </si>
  <si>
    <t>Topper Length</t>
  </si>
  <si>
    <t>Topper Qty</t>
  </si>
  <si>
    <t>Diameter Th</t>
  </si>
  <si>
    <t>EX1 Length</t>
  </si>
  <si>
    <t>EX1 Qty</t>
  </si>
  <si>
    <t>EX2 Length</t>
  </si>
  <si>
    <t>EX2 Qty</t>
  </si>
  <si>
    <t>Total Pile Length</t>
  </si>
  <si>
    <t>Helix Th</t>
  </si>
  <si>
    <t>Lead Section Length</t>
  </si>
  <si>
    <t>Plating</t>
  </si>
  <si>
    <t>Battered Angle</t>
  </si>
  <si>
    <t>Axial Design Top of Cap</t>
  </si>
  <si>
    <t>Lead Section</t>
  </si>
  <si>
    <t>Pile_Diameter</t>
  </si>
  <si>
    <t>BHP</t>
  </si>
  <si>
    <t>TBHP</t>
  </si>
  <si>
    <t>Ext_Coupling_in</t>
  </si>
  <si>
    <t>Ext_Coupling_ft</t>
  </si>
  <si>
    <t>Pitch_In</t>
  </si>
  <si>
    <t>Pitch_ft</t>
  </si>
  <si>
    <t>Start_Tolerace_in</t>
  </si>
  <si>
    <t>H1_S_in</t>
  </si>
  <si>
    <t>H1_S_ft</t>
  </si>
  <si>
    <t>Topper_Helix</t>
  </si>
  <si>
    <t>00.00"</t>
  </si>
  <si>
    <t>01.50"</t>
  </si>
  <si>
    <t>01.75"</t>
  </si>
  <si>
    <t>03.00"</t>
  </si>
  <si>
    <t>04.00"</t>
  </si>
  <si>
    <t>05.50"</t>
  </si>
  <si>
    <t>07.00"</t>
  </si>
  <si>
    <t>10.75"</t>
  </si>
  <si>
    <t>12.75"</t>
  </si>
  <si>
    <t>16.00"</t>
  </si>
  <si>
    <t>20.00"</t>
  </si>
  <si>
    <t>Extension Size 1</t>
  </si>
  <si>
    <t>Extension Size 2</t>
  </si>
  <si>
    <t>Z_E1</t>
  </si>
  <si>
    <t>Z_E2</t>
  </si>
  <si>
    <t>Z_E3</t>
  </si>
  <si>
    <t>Z_E4</t>
  </si>
  <si>
    <t>Z_E5</t>
  </si>
  <si>
    <t>Z_E6</t>
  </si>
  <si>
    <t>Z_E7</t>
  </si>
  <si>
    <t>Z_E8</t>
  </si>
  <si>
    <t>Helix Diameter</t>
  </si>
  <si>
    <t>Pile Shape</t>
  </si>
  <si>
    <t>Std Th</t>
  </si>
  <si>
    <t>Z_E12</t>
  </si>
  <si>
    <t>Shape</t>
  </si>
  <si>
    <t>H1</t>
  </si>
  <si>
    <t>H2</t>
  </si>
  <si>
    <t>H3</t>
  </si>
  <si>
    <t>H4</t>
  </si>
  <si>
    <t>H5</t>
  </si>
  <si>
    <t>H6</t>
  </si>
  <si>
    <t>Depth Tip of Pile</t>
  </si>
  <si>
    <t>Depth H1</t>
  </si>
  <si>
    <t>Depth H2</t>
  </si>
  <si>
    <t>Depth H3</t>
  </si>
  <si>
    <t>Depth H4</t>
  </si>
  <si>
    <t>Depth H5</t>
  </si>
  <si>
    <t>Depth H6</t>
  </si>
  <si>
    <t>Helices Depth [ft]</t>
  </si>
  <si>
    <t>Z_E9</t>
  </si>
  <si>
    <t>Area Tip of Pile</t>
  </si>
  <si>
    <t>Area H1</t>
  </si>
  <si>
    <t>Area H2</t>
  </si>
  <si>
    <t>Area H3</t>
  </si>
  <si>
    <t>Area H4</t>
  </si>
  <si>
    <t>Area H5</t>
  </si>
  <si>
    <t>Area H6</t>
  </si>
  <si>
    <r>
      <t>Helices Area [in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</si>
  <si>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t>Z_E10</t>
  </si>
  <si>
    <t>Z_E11</t>
  </si>
  <si>
    <r>
      <t>Compression Tip + Helices in</t>
    </r>
    <r>
      <rPr>
        <vertAlign val="superscript"/>
        <sz val="12"/>
        <rFont val="Segoe UI Light"/>
        <family val="2"/>
      </rPr>
      <t>2</t>
    </r>
  </si>
  <si>
    <r>
      <t>Tension Helices in</t>
    </r>
    <r>
      <rPr>
        <vertAlign val="superscript"/>
        <sz val="12"/>
        <rFont val="Segoe UI Light"/>
        <family val="2"/>
      </rPr>
      <t>2</t>
    </r>
  </si>
  <si>
    <r>
      <t>Compression Tip + Helices ft</t>
    </r>
    <r>
      <rPr>
        <vertAlign val="superscript"/>
        <sz val="12"/>
        <rFont val="Segoe UI Light"/>
        <family val="2"/>
      </rPr>
      <t>2</t>
    </r>
  </si>
  <si>
    <r>
      <t>Tension Helices ft</t>
    </r>
    <r>
      <rPr>
        <vertAlign val="superscript"/>
        <sz val="12"/>
        <rFont val="Segoe UI Light"/>
        <family val="2"/>
      </rPr>
      <t>2</t>
    </r>
  </si>
  <si>
    <t>Soil Profile</t>
  </si>
  <si>
    <t>Soil Bearing Capacity [psf]</t>
  </si>
  <si>
    <r>
      <rPr>
        <sz val="16"/>
        <color theme="1"/>
        <rFont val="Segoe UI Light"/>
        <family val="2"/>
      </rPr>
      <t>Σ</t>
    </r>
    <r>
      <rPr>
        <sz val="12"/>
        <color theme="1"/>
        <rFont val="Segoe UI Light"/>
        <family val="2"/>
      </rPr>
      <t xml:space="preserve"> Bearing Area [in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</si>
  <si>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r>
      <rPr>
        <sz val="16"/>
        <color theme="1"/>
        <rFont val="Segoe UI Light"/>
        <family val="2"/>
      </rPr>
      <t xml:space="preserve">Σ </t>
    </r>
    <r>
      <rPr>
        <sz val="12"/>
        <color theme="1"/>
        <rFont val="Segoe UI Light"/>
        <family val="2"/>
      </rPr>
      <t>Bearing Area [ft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</si>
  <si>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t>Qult H1</t>
  </si>
  <si>
    <t>Qult H2</t>
  </si>
  <si>
    <t>Qult H3</t>
  </si>
  <si>
    <t>Qult H4</t>
  </si>
  <si>
    <t>Qult H5</t>
  </si>
  <si>
    <t>Qult H6</t>
  </si>
  <si>
    <t>Z_E13</t>
  </si>
  <si>
    <t>Tip and Helices Soil Qult psf</t>
  </si>
  <si>
    <t>Tip and Helices Depth below grade</t>
  </si>
  <si>
    <t>Qult Tip of Pile</t>
  </si>
  <si>
    <t>Tip and Helices Area</t>
  </si>
  <si>
    <t>Compression Individual Contribution</t>
  </si>
  <si>
    <t>Tension Individual Contribution</t>
  </si>
  <si>
    <t>Z_E14</t>
  </si>
  <si>
    <t>Z_E15</t>
  </si>
  <si>
    <t>Contribution Load Tip of Pile</t>
  </si>
  <si>
    <t>Contribution Load H1</t>
  </si>
  <si>
    <t>Contribution Load H2</t>
  </si>
  <si>
    <t>Contribution Load H3</t>
  </si>
  <si>
    <t>Contribution Load H4</t>
  </si>
  <si>
    <t>Contribution Load H5</t>
  </si>
  <si>
    <t>Contribution Load H6</t>
  </si>
  <si>
    <t>Skin Friction Contribution Lead and Extensions (Kips)</t>
  </si>
  <si>
    <t>Skin Friction Contribution Topper (Kips)</t>
  </si>
  <si>
    <t>I.B.M. Compression Ultimate Capacity (kips)</t>
  </si>
  <si>
    <t>I.B.M. Tension Ultimate Capacity (kips)</t>
  </si>
  <si>
    <t>C.S.M. Tension F.S.</t>
  </si>
  <si>
    <t>C.S.M Compression F.S.</t>
  </si>
  <si>
    <t>Individual Bearing Method</t>
  </si>
  <si>
    <t>C.S.M. Pile Tip Capacity (kips)</t>
  </si>
  <si>
    <t>C.S.M. Bottom Plate Capacity (kips)</t>
  </si>
  <si>
    <t>C.S.M. Top Plate Capacity (kips)</t>
  </si>
  <si>
    <t>Z_E156</t>
  </si>
  <si>
    <t>Cylindrical Shear (kips)</t>
  </si>
  <si>
    <t>C.S.M. Compression Ultimate Capacity (kips)</t>
  </si>
  <si>
    <t>C.S.M. Tension Ultimate Capacity (kips)</t>
  </si>
  <si>
    <t>Z_E112</t>
  </si>
  <si>
    <t>Z_E132</t>
  </si>
  <si>
    <t>Z_E142</t>
  </si>
  <si>
    <t>Soil Cone F.S.</t>
  </si>
  <si>
    <t>C.S.M F.S.</t>
  </si>
  <si>
    <t>I.B.M F.S.</t>
  </si>
  <si>
    <t>Z_E20</t>
  </si>
  <si>
    <t>Cylindrical Shear Method</t>
  </si>
  <si>
    <t>Soil Cone Weight (kips)</t>
  </si>
  <si>
    <t>Factor of Safety Compression</t>
  </si>
  <si>
    <t>Factor of Safety Tension</t>
  </si>
  <si>
    <t>Column1</t>
  </si>
  <si>
    <t>Loads Envelope</t>
  </si>
  <si>
    <t>Individual Contribution</t>
  </si>
  <si>
    <t>I.B.M. Tension F.S.</t>
  </si>
  <si>
    <t>I.B.M. Compression F.S.</t>
  </si>
  <si>
    <t>Soil Cone Unit Weight (pcf)</t>
  </si>
  <si>
    <t>Soil Cone Tension Method</t>
  </si>
  <si>
    <r>
      <t>Soil Cone Volume (ft</t>
    </r>
    <r>
      <rPr>
        <vertAlign val="superscript"/>
        <sz val="12"/>
        <rFont val="Segoe UI Light"/>
        <family val="2"/>
      </rPr>
      <t>3</t>
    </r>
    <r>
      <rPr>
        <sz val="12"/>
        <rFont val="Segoe UI Light"/>
        <family val="2"/>
      </rPr>
      <t>)</t>
    </r>
  </si>
  <si>
    <t>Z_E21</t>
  </si>
  <si>
    <t>Helix Capacities</t>
  </si>
  <si>
    <r>
      <t>Kt (ft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</si>
  <si>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Design Torque (ft-kips)</t>
  </si>
  <si>
    <t>Inst. Torque (ft-kips)</t>
  </si>
  <si>
    <t>Torque F.S.</t>
  </si>
  <si>
    <t>Z_E22</t>
  </si>
  <si>
    <t>Structural Integrity</t>
  </si>
  <si>
    <t>Pile Shaft Capacities Check</t>
  </si>
  <si>
    <t>Calc. Helix Capacities</t>
  </si>
  <si>
    <t>Calc. Structural Capacities</t>
  </si>
  <si>
    <t>Max All. Deflection at grade</t>
  </si>
  <si>
    <t>Max All. Deflection above grade</t>
  </si>
  <si>
    <t>Z_E23</t>
  </si>
  <si>
    <t>Th</t>
  </si>
  <si>
    <t>Kt</t>
  </si>
  <si>
    <t>Max Torque</t>
  </si>
  <si>
    <t>Torque Shaft Max Capacity
ft-lb</t>
  </si>
  <si>
    <t>Pile Description</t>
  </si>
  <si>
    <t>Design Live</t>
  </si>
  <si>
    <t>Rebar Termination</t>
  </si>
  <si>
    <t>Plate Type</t>
  </si>
  <si>
    <t>Plate Diameter</t>
  </si>
  <si>
    <t>Plate Th</t>
  </si>
  <si>
    <t>Weight Loss (From Nomograph)</t>
  </si>
  <si>
    <t>oz/ft2/yr</t>
  </si>
  <si>
    <t>Years</t>
  </si>
  <si>
    <t>Yrs</t>
  </si>
  <si>
    <t>Loss</t>
  </si>
  <si>
    <t>oz-side/ft2</t>
  </si>
  <si>
    <t>Weight of Steel</t>
  </si>
  <si>
    <t>oz/ft3</t>
  </si>
  <si>
    <t>(DO NOT USE WITH FLUOR)</t>
  </si>
  <si>
    <t>Corrosion Loss on outside faces</t>
  </si>
  <si>
    <t>in</t>
  </si>
  <si>
    <t>Corrosion Rate Inside</t>
  </si>
  <si>
    <t>Nominal Diameter</t>
  </si>
  <si>
    <t>Corrosion Loss</t>
  </si>
  <si>
    <t>Design Diameter</t>
  </si>
  <si>
    <t>Nominal Thickness</t>
  </si>
  <si>
    <t>Mill Manufacturing Tolerance</t>
  </si>
  <si>
    <t>Adjusted Nominal Thickness</t>
  </si>
  <si>
    <t>Corrosion Loss for Thickness</t>
  </si>
  <si>
    <t>Design Thickness</t>
  </si>
  <si>
    <t>Weight loss</t>
  </si>
  <si>
    <t>in2</t>
  </si>
  <si>
    <t>Wall Th</t>
  </si>
  <si>
    <t>in4</t>
  </si>
  <si>
    <t>A'</t>
  </si>
  <si>
    <t>B (Width and depth)</t>
  </si>
  <si>
    <t>B'</t>
  </si>
  <si>
    <t>B' Area</t>
  </si>
  <si>
    <t>Th'</t>
  </si>
  <si>
    <t>A' Area</t>
  </si>
  <si>
    <t>Ts: Total Corrosion Loss</t>
  </si>
  <si>
    <t>HSS Section Area</t>
  </si>
  <si>
    <t>HSS Section Inertia</t>
  </si>
  <si>
    <t>IFQ Revision</t>
  </si>
  <si>
    <t>IFC_String_Revision</t>
  </si>
  <si>
    <t>IFC Revision</t>
  </si>
  <si>
    <t>Shaft Description</t>
  </si>
  <si>
    <t>Shaft Description_Cap Description</t>
  </si>
  <si>
    <t xml:space="preserve"> Cap Description</t>
  </si>
  <si>
    <t>Other Cap Type Description</t>
  </si>
  <si>
    <t>EZ_01</t>
  </si>
  <si>
    <t>EZ_03</t>
  </si>
  <si>
    <t>EZ_032</t>
  </si>
  <si>
    <t>Pile Type</t>
  </si>
  <si>
    <t>EZ_04</t>
  </si>
  <si>
    <t>EZ_05</t>
  </si>
  <si>
    <t>EZ_06</t>
  </si>
  <si>
    <t>Description</t>
  </si>
  <si>
    <t>Pile Type 01</t>
  </si>
  <si>
    <t>Helpers Hhome</t>
  </si>
  <si>
    <t>99_Helpers_Template</t>
  </si>
  <si>
    <t>10_Helpers Project Home</t>
  </si>
  <si>
    <t>20_Helpers Loads</t>
  </si>
  <si>
    <t>30_Helpers Structures</t>
  </si>
  <si>
    <t>40_Helpers Soil Profile</t>
  </si>
  <si>
    <t>X1_99_Template</t>
  </si>
  <si>
    <t>X1_Helpers_Home</t>
  </si>
  <si>
    <t>X1_10_Project_Home</t>
  </si>
  <si>
    <t>X1_20_Loads</t>
  </si>
  <si>
    <t>X1_30_Structures</t>
  </si>
  <si>
    <t>X1_40_Soil_Profile</t>
  </si>
  <si>
    <t>X1_50_Pile_Type_Design</t>
  </si>
  <si>
    <t>11_Helpers_IFQ</t>
  </si>
  <si>
    <t>12_Helpers_IFC</t>
  </si>
  <si>
    <t>X1_11_IFQ</t>
  </si>
  <si>
    <t>X1_12_IFC</t>
  </si>
  <si>
    <t>Qty</t>
  </si>
  <si>
    <t>Minimum Depth (ft)</t>
  </si>
  <si>
    <t>TOPile</t>
  </si>
  <si>
    <t>Min Depth (ft)</t>
  </si>
  <si>
    <t>Minium Installation Torque (ft-lb)</t>
  </si>
  <si>
    <t>Project Information</t>
  </si>
  <si>
    <t>Summarized Schedule</t>
  </si>
  <si>
    <t>D</t>
  </si>
  <si>
    <t>III</t>
  </si>
  <si>
    <t>Cap Part No</t>
  </si>
  <si>
    <t>Lead_Ext_Coupling_ft</t>
  </si>
  <si>
    <t>Topper_Ext_Coupling_ft</t>
  </si>
  <si>
    <t>H1_S</t>
  </si>
  <si>
    <t>HLE_Pitch</t>
  </si>
  <si>
    <t>Child_Shaft</t>
  </si>
  <si>
    <t>Section</t>
  </si>
  <si>
    <t>SOS</t>
  </si>
  <si>
    <t>EOS</t>
  </si>
  <si>
    <t>Diameter_Topper</t>
  </si>
  <si>
    <t>Topper_Th</t>
  </si>
  <si>
    <t>Diameter_Th</t>
  </si>
  <si>
    <t>Length</t>
  </si>
  <si>
    <t>FLY_SOS</t>
  </si>
  <si>
    <t>Helix_Thickness</t>
  </si>
  <si>
    <t>Pile_Type</t>
  </si>
  <si>
    <t>Part_NO</t>
  </si>
  <si>
    <t>LD 1</t>
  </si>
  <si>
    <t>Sub_Index</t>
  </si>
  <si>
    <t>Part_No</t>
  </si>
  <si>
    <t>Date Installed</t>
  </si>
  <si>
    <t>In Scope</t>
  </si>
  <si>
    <t>100_Hlepers_Pile_Type_XX</t>
  </si>
  <si>
    <t>X1_100_Pile_Type_XX</t>
  </si>
  <si>
    <t>Concatenate</t>
  </si>
  <si>
    <t>Part Numbers</t>
  </si>
  <si>
    <t>Grillage</t>
  </si>
  <si>
    <t>Project name</t>
  </si>
  <si>
    <t>City</t>
  </si>
  <si>
    <t>State</t>
  </si>
  <si>
    <t>EZ_123</t>
  </si>
  <si>
    <t>$ Revenue</t>
  </si>
  <si>
    <t>Coating Type</t>
  </si>
  <si>
    <t>B</t>
  </si>
  <si>
    <t>Ts: Total Corrosion Loss for HSS</t>
  </si>
  <si>
    <t>Std.</t>
  </si>
  <si>
    <t>PLAN_RD_05.50X000</t>
  </si>
  <si>
    <t>Max Shear (lb)</t>
  </si>
  <si>
    <t>Max Moment (in-lb)</t>
  </si>
  <si>
    <t>Max Comp (lb)</t>
  </si>
  <si>
    <t>Max Tension (lb)</t>
  </si>
  <si>
    <t>Structures</t>
  </si>
  <si>
    <t>Lpile Diameter</t>
  </si>
  <si>
    <t>Lpile Th</t>
  </si>
  <si>
    <t xml:space="preserve">
KINGS METHOD CALCULATION</t>
  </si>
  <si>
    <t>Revision</t>
  </si>
  <si>
    <t>Date</t>
  </si>
  <si>
    <t>Id</t>
  </si>
  <si>
    <t>Responsible</t>
  </si>
  <si>
    <t>Min Helix Embedment</t>
  </si>
  <si>
    <t>Expected Settlement</t>
  </si>
  <si>
    <t>Rotation @ Grade (degrees)</t>
  </si>
  <si>
    <t>Deflection @ grade (inches)</t>
  </si>
  <si>
    <t>Rev_Responsible</t>
  </si>
  <si>
    <t>IFQ_Revision_New_String</t>
  </si>
  <si>
    <t>IFQ_Revision_Old_String</t>
  </si>
  <si>
    <t/>
  </si>
  <si>
    <t>Tag Name</t>
  </si>
  <si>
    <t>Load ID</t>
  </si>
  <si>
    <t>PLAN_SQ_03.00X313</t>
  </si>
  <si>
    <t>PLAN_RD_07.00X000</t>
  </si>
  <si>
    <t>Tag and Structure Name</t>
  </si>
  <si>
    <t>EZ_07</t>
  </si>
  <si>
    <t>Comments</t>
  </si>
  <si>
    <t>Shaft_Diam_SP</t>
  </si>
  <si>
    <t>PLAN_RD_16.00X000</t>
  </si>
  <si>
    <t>Cover Letter</t>
  </si>
  <si>
    <t>TOC</t>
  </si>
  <si>
    <t>Submittal_Cover</t>
  </si>
  <si>
    <t>Submittal_TOC</t>
  </si>
  <si>
    <t>Submittal_Loads</t>
  </si>
  <si>
    <t>Submittal_IFQ</t>
  </si>
  <si>
    <t>Submittal_Soil</t>
  </si>
  <si>
    <t>Submittal_Design</t>
  </si>
  <si>
    <t>Loads(Optional)</t>
  </si>
  <si>
    <t>Pile Schedule</t>
  </si>
  <si>
    <t>Design Soil Profile</t>
  </si>
  <si>
    <t>Pile Design- Soil Interaction</t>
  </si>
  <si>
    <t>Lpile Summarized Results (Optional)</t>
  </si>
  <si>
    <t>Submittal_Lpile</t>
  </si>
  <si>
    <t>Pile Type XX Shaft Structural</t>
  </si>
  <si>
    <t>Pile Torsional Capacity</t>
  </si>
  <si>
    <t>Helix Capacitu</t>
  </si>
  <si>
    <t>Costumer</t>
  </si>
  <si>
    <t>Pile Loads</t>
  </si>
  <si>
    <t>Pile Spacings</t>
  </si>
  <si>
    <t>Pile Elevations</t>
  </si>
  <si>
    <t>Geotech Report No</t>
  </si>
  <si>
    <t>Geotech Company</t>
  </si>
  <si>
    <t>Pile loads were calculated by TorcSill Foundations LLC per ASCE 07-10.</t>
  </si>
  <si>
    <t>Engineering Firm</t>
  </si>
  <si>
    <t>Pile spacing was assumed by TorcSill Foundations LLC.</t>
  </si>
  <si>
    <t>Pile elevations were determined by TorcSill Foundation LLC.</t>
  </si>
  <si>
    <t>H</t>
  </si>
  <si>
    <t>Service level factor</t>
  </si>
  <si>
    <t>Inside Corrotion Reduction Factor</t>
  </si>
  <si>
    <t>10</t>
  </si>
  <si>
    <t>12</t>
  </si>
  <si>
    <t>Capacity H1</t>
  </si>
  <si>
    <t>Capacity H2</t>
  </si>
  <si>
    <t>Capacity H3</t>
  </si>
  <si>
    <t>Capacity H4</t>
  </si>
  <si>
    <t>Capacity H5</t>
  </si>
  <si>
    <t>Capacity H6</t>
  </si>
  <si>
    <t>Contribution Load H7</t>
  </si>
  <si>
    <t>Helix Maximum Capacity</t>
  </si>
  <si>
    <t>8</t>
  </si>
  <si>
    <t>14</t>
  </si>
  <si>
    <t>Data for Submittal</t>
  </si>
  <si>
    <t>TorcSill Sate P.E. No.</t>
  </si>
  <si>
    <t>TorcSill Firm P.E</t>
  </si>
  <si>
    <t>Pile Loads Drawing (Include Revision)</t>
  </si>
  <si>
    <t>Pile Spacings Drawing (Include Revision)</t>
  </si>
  <si>
    <t>Pile Elevation Drawing (Include Revision)</t>
  </si>
  <si>
    <t>Pile Loads or e-mail Date</t>
  </si>
  <si>
    <t>Pile Spacing or e-mail Date</t>
  </si>
  <si>
    <t>Pile Elevations or e-mail Date</t>
  </si>
  <si>
    <t>Helix No. 2 Depth = 8.25 ft
Helix No. 1 Depth = 12.25 ft
Pile Tip Depth = 13.25 ft</t>
  </si>
  <si>
    <t>Helix No. 2 Area = 1.13 ft2
Helix No. 1 Area = 1.13 ft2
Pile Tip Area = 0.27 ft2</t>
  </si>
  <si>
    <t>Helix No. 2 Qult = 22,880 psf
Helix No. 1 Qult = 22,880 psf
Pile Tip Qult = 22,880 psf</t>
  </si>
  <si>
    <t>Helix No. 2 = 25,854 lb
Helix No. 1 = 25,854 lb
Pile Tip = 6,178 lb</t>
  </si>
  <si>
    <t>Helix No. 2 = 25,854 lb
Helix No. 1 = 25,854 lb</t>
  </si>
  <si>
    <t>Geotech Report Date</t>
  </si>
  <si>
    <t>E-mail</t>
  </si>
  <si>
    <t>Navisworks</t>
  </si>
  <si>
    <t>Cable Tray Tee
P-03, P-06</t>
  </si>
  <si>
    <t>MPS 03.00"</t>
  </si>
  <si>
    <t>Building
P-01,P-02,P-04,P-05</t>
  </si>
  <si>
    <t>MPS 05.50"</t>
  </si>
  <si>
    <t>MPS 07.00"</t>
  </si>
  <si>
    <t>MPS 10.75"</t>
  </si>
  <si>
    <t>Meters Skid
P-07, P-08, P-11, P-12, P-13, P-14, P-15, P-16, P-19, P-20</t>
  </si>
  <si>
    <t>MPS 12.75"</t>
  </si>
  <si>
    <t>CBL_TR_01</t>
  </si>
  <si>
    <t>MPS_03.00</t>
  </si>
  <si>
    <t>BLDG_01</t>
  </si>
  <si>
    <t>MPS_05.50</t>
  </si>
  <si>
    <t>MPS_07.00</t>
  </si>
  <si>
    <t>MPS_10.75</t>
  </si>
  <si>
    <t>SKD_01</t>
  </si>
  <si>
    <t>MPS_12.75</t>
  </si>
  <si>
    <t>PLAN_RD_10.75X000</t>
  </si>
  <si>
    <t>PLAN_RD_12.75X000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</si>
</sst>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_(* #,##0.00_);_(* \(#,##0.00\);_(* &quot;-&quot;??_);_(@_)"/>
    <numFmt numFmtId="165" formatCode="00.00\'"/>
    <numFmt numFmtId="166" formatCode="00\ \f\t"/>
    <numFmt numFmtId="167" formatCode="00"/>
    <numFmt numFmtId="168" formatCode="0.0"/>
    <numFmt numFmtId="169" formatCode="00&quot; Ω-cm&quot;"/>
    <numFmt numFmtId="170" formatCode="00\'"/>
    <numFmt numFmtId="171" formatCode="00\'\'"/>
    <numFmt numFmtId="172" formatCode="00.00\'\'"/>
    <numFmt numFmtId="173" formatCode="00\°"/>
    <numFmt numFmtId="174" formatCode="0.000\'\'"/>
    <numFmt numFmtId="175" formatCode="0.0\'\'"/>
    <numFmt numFmtId="176" formatCode="0.0\°"/>
    <numFmt numFmtId="177" formatCode="00\ \ &quot;Years&quot;"/>
    <numFmt numFmtId="178" formatCode="&quot;L/&quot;00"/>
    <numFmt numFmtId="179" formatCode="_(* #,##0_);_(* \(#,##0\);_(* &quot;-&quot;??_);_(@_)"/>
    <numFmt numFmtId="180" formatCode="0.000"/>
    <numFmt numFmtId="181" formatCode="0.0\ &quot;oz/ft2/yr&quot;"/>
    <numFmt numFmtId="182" formatCode="0.0000"/>
    <numFmt numFmtId="183" formatCode="00.00"/>
    <numFmt numFmtId="184" formatCode="0.00\'\'"/>
    <numFmt numFmtId="185" formatCode="#&quot;D&quot;"/>
    <numFmt numFmtId="186" formatCode="0.000\°"/>
    <numFmt numFmtId="187" formatCode="&quot;$&quot;#,##0"/>
    <numFmt numFmtId="188" formatCode="[$-F800]dddd\,\ mmmm\ dd\,\ yyyy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5"/>
      <color theme="1"/>
      <name val="Segoe UI Light"/>
      <family val="2"/>
    </font>
    <font>
      <sz val="12"/>
      <color theme="1"/>
      <name val="Segoe UI Light"/>
      <family val="2"/>
    </font>
    <font>
      <b/>
      <u/>
      <sz val="12"/>
      <color theme="1"/>
      <name val="Segoe UI Light"/>
      <family val="2"/>
    </font>
    <font>
      <sz val="12"/>
      <color theme="0"/>
      <name val="Segoe UI Light"/>
      <family val="2"/>
    </font>
    <font>
      <sz val="12"/>
      <name val="Segoe UI Light"/>
      <family val="2"/>
    </font>
    <font>
      <vertAlign val="subscript"/>
      <sz val="12"/>
      <color theme="0"/>
      <name val="Segoe UI Light"/>
      <family val="2"/>
    </font>
    <font>
      <b/>
      <sz val="16"/>
      <color theme="1"/>
      <name val="Segoe UI Light"/>
      <family val="2"/>
    </font>
    <font>
      <sz val="14"/>
      <color theme="1"/>
      <name val="Segoe UI Light"/>
      <family val="2"/>
    </font>
    <font>
      <b/>
      <sz val="12"/>
      <color theme="0"/>
      <name val="Segoe UI Light"/>
      <family val="2"/>
    </font>
    <font>
      <b/>
      <sz val="10"/>
      <color theme="9" tint="-0.249977111117893"/>
      <name val="Segoe UI Light"/>
      <family val="2"/>
    </font>
    <font>
      <sz val="10"/>
      <color theme="9" tint="-0.249977111117893"/>
      <name val="Segoe UI Light"/>
      <family val="2"/>
    </font>
    <font>
      <b/>
      <vertAlign val="subscript"/>
      <sz val="10"/>
      <color theme="9" tint="-0.249977111117893"/>
      <name val="Segoe UI Light"/>
      <family val="2"/>
    </font>
    <font>
      <b/>
      <sz val="13"/>
      <color theme="1"/>
      <name val="Segoe UI Light"/>
      <family val="2"/>
    </font>
    <font>
      <vertAlign val="superscript"/>
      <sz val="12"/>
      <color theme="1"/>
      <name val="Segoe UI Light"/>
      <family val="2"/>
    </font>
    <font>
      <sz val="16"/>
      <color theme="1"/>
      <name val="Segoe UI Light"/>
      <family val="2"/>
    </font>
    <font>
      <vertAlign val="superscript"/>
      <sz val="12"/>
      <name val="Segoe UI Light"/>
      <family val="2"/>
    </font>
    <font>
      <sz val="10"/>
      <color theme="1"/>
      <name val="Segoe UI Light"/>
      <family val="2"/>
    </font>
    <font>
      <vertAlign val="superscript"/>
      <sz val="11"/>
      <color theme="1"/>
      <name val="Calibri"/>
      <family val="2"/>
      <scheme val="minor"/>
    </font>
    <font>
      <sz val="8"/>
      <name val="Segoe UI Light"/>
      <family val="2"/>
    </font>
    <font>
      <sz val="11"/>
      <color theme="1"/>
      <name val="Calibri"/>
      <family val="2"/>
      <scheme val="minor"/>
    </font>
    <font>
      <sz val="8"/>
      <color theme="1"/>
      <name val="Segoe UI Light"/>
      <family val="2"/>
    </font>
    <font>
      <sz val="11"/>
      <color theme="0"/>
      <name val="Segoe UI Light"/>
      <family val="2"/>
    </font>
    <font>
      <b/>
      <sz val="12"/>
      <name val="Segoe UI Light"/>
      <family val="2"/>
    </font>
    <font>
      <sz val="11"/>
      <color theme="0"/>
      <name val="Calibri"/>
      <family val="2"/>
      <scheme val="minor"/>
    </font>
    <font>
      <sz val="9"/>
      <color theme="1"/>
      <name val="Segoe UI Light"/>
      <family val="2"/>
    </font>
    <font>
      <sz val="40"/>
      <color theme="1"/>
      <name val="Impact"/>
      <family val="2"/>
    </font>
    <font>
      <sz val="11"/>
      <name val="Segoe UI Light"/>
      <family val="2"/>
    </font>
    <font>
      <b/>
      <sz val="12"/>
      <color theme="1"/>
      <name val="Trebuchet MS"/>
      <family val="2"/>
    </font>
    <font>
      <i/>
      <sz val="12"/>
      <color theme="1"/>
      <name val="Trebuchet MS"/>
      <family val="2"/>
    </font>
    <font>
      <b/>
      <sz val="14"/>
      <color theme="1"/>
      <name val="Segoe UI Light"/>
      <family val="2"/>
    </font>
    <font>
      <sz val="2"/>
      <name val="Segoe UI Light"/>
      <family val="2"/>
    </font>
    <font>
      <sz val="13"/>
      <color theme="1"/>
      <name val="Segoe UI Light"/>
      <family val="2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DashDotDot">
        <color theme="9"/>
      </right>
      <top/>
      <bottom/>
      <diagonal/>
    </border>
    <border>
      <left/>
      <right/>
      <top style="double">
        <color indexed="64"/>
      </top>
      <bottom style="mediumDashDotDot">
        <color theme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medium">
        <color indexed="64"/>
      </left>
      <right style="thin">
        <color theme="1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</borders>
  <cellStyleXfs count="3">
    <xf numFmtId="0" fontId="0" fillId="0" borderId="0"/>
    <xf numFmtId="164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330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3" fillId="0" borderId="3" xfId="0" applyFont="1" applyBorder="1"/>
    <xf numFmtId="0" fontId="3" fillId="0" borderId="0" xfId="0" applyFont="1"/>
    <xf numFmtId="0" fontId="3" fillId="0" borderId="2" xfId="0" applyFont="1" applyBorder="1"/>
    <xf numFmtId="0" fontId="3" fillId="0" borderId="1" xfId="0" applyFont="1" applyBorder="1"/>
    <xf numFmtId="0" fontId="4" fillId="0" borderId="0" xfId="0" applyFont="1" applyAlignment="1">
      <alignment horizontal="left"/>
    </xf>
    <xf numFmtId="0" fontId="5" fillId="2" borderId="0" xfId="0" applyFont="1" applyFill="1" applyAlignment="1" applyProtection="1">
      <alignment horizontal="center" vertical="center"/>
      <protection locked="0"/>
    </xf>
    <xf numFmtId="165" fontId="5" fillId="2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3" fillId="0" borderId="8" xfId="0" applyFont="1" applyBorder="1" applyAlignment="1">
      <alignment vertical="center"/>
    </xf>
    <xf numFmtId="166" fontId="3" fillId="0" borderId="6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166" fontId="3" fillId="0" borderId="12" xfId="0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3" fontId="10" fillId="0" borderId="0" xfId="0" applyNumberFormat="1" applyFont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1" fillId="0" borderId="14" xfId="0" applyFont="1" applyBorder="1" applyAlignment="1">
      <alignment horizontal="center" vertical="center" wrapText="1"/>
    </xf>
    <xf numFmtId="0" fontId="3" fillId="0" borderId="15" xfId="0" applyFont="1" applyBorder="1"/>
    <xf numFmtId="168" fontId="3" fillId="0" borderId="0" xfId="0" applyNumberFormat="1" applyFont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175" fontId="2" fillId="0" borderId="4" xfId="0" applyNumberFormat="1" applyFont="1" applyBorder="1" applyAlignment="1">
      <alignment horizontal="center"/>
    </xf>
    <xf numFmtId="176" fontId="2" fillId="0" borderId="4" xfId="0" applyNumberFormat="1" applyFont="1" applyBorder="1" applyAlignment="1">
      <alignment horizontal="center"/>
    </xf>
    <xf numFmtId="171" fontId="5" fillId="2" borderId="0" xfId="0" applyNumberFormat="1" applyFont="1" applyFill="1" applyAlignment="1" applyProtection="1">
      <alignment horizontal="center" vertical="center"/>
      <protection locked="0"/>
    </xf>
    <xf numFmtId="3" fontId="0" fillId="0" borderId="0" xfId="0" applyNumberFormat="1"/>
    <xf numFmtId="178" fontId="2" fillId="0" borderId="4" xfId="0" applyNumberFormat="1" applyFont="1" applyBorder="1" applyAlignment="1">
      <alignment horizontal="center"/>
    </xf>
    <xf numFmtId="181" fontId="3" fillId="0" borderId="0" xfId="0" applyNumberFormat="1" applyFont="1" applyAlignment="1">
      <alignment horizontal="center" vertical="center"/>
    </xf>
    <xf numFmtId="0" fontId="22" fillId="0" borderId="0" xfId="0" applyFont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3" xfId="0" applyFont="1" applyBorder="1"/>
    <xf numFmtId="0" fontId="1" fillId="0" borderId="23" xfId="0" applyFont="1" applyBorder="1" applyAlignment="1">
      <alignment horizontal="center"/>
    </xf>
    <xf numFmtId="9" fontId="23" fillId="2" borderId="23" xfId="2" applyFont="1" applyFill="1" applyBorder="1" applyProtection="1">
      <protection locked="0"/>
    </xf>
    <xf numFmtId="179" fontId="23" fillId="2" borderId="23" xfId="1" applyNumberFormat="1" applyFont="1" applyFill="1" applyBorder="1" applyProtection="1">
      <protection locked="0"/>
    </xf>
    <xf numFmtId="180" fontId="1" fillId="0" borderId="23" xfId="0" applyNumberFormat="1" applyFont="1" applyBorder="1"/>
    <xf numFmtId="0" fontId="1" fillId="0" borderId="22" xfId="0" applyFont="1" applyBorder="1"/>
    <xf numFmtId="0" fontId="1" fillId="0" borderId="23" xfId="0" applyFont="1" applyBorder="1" applyAlignment="1">
      <alignment vertical="center" wrapText="1"/>
    </xf>
    <xf numFmtId="180" fontId="23" fillId="2" borderId="23" xfId="0" applyNumberFormat="1" applyFont="1" applyFill="1" applyBorder="1" applyAlignment="1">
      <alignment vertical="center"/>
    </xf>
    <xf numFmtId="0" fontId="1" fillId="0" borderId="23" xfId="0" applyFont="1" applyBorder="1" applyAlignment="1">
      <alignment vertical="center"/>
    </xf>
    <xf numFmtId="183" fontId="23" fillId="2" borderId="23" xfId="0" applyNumberFormat="1" applyFont="1" applyFill="1" applyBorder="1" applyProtection="1">
      <protection locked="0"/>
    </xf>
    <xf numFmtId="183" fontId="1" fillId="0" borderId="23" xfId="0" applyNumberFormat="1" applyFont="1" applyBorder="1" applyProtection="1">
      <protection locked="0"/>
    </xf>
    <xf numFmtId="180" fontId="1" fillId="0" borderId="23" xfId="0" applyNumberFormat="1" applyFont="1" applyBorder="1" applyProtection="1">
      <protection locked="0"/>
    </xf>
    <xf numFmtId="180" fontId="23" fillId="2" borderId="23" xfId="0" applyNumberFormat="1" applyFont="1" applyFill="1" applyBorder="1" applyProtection="1">
      <protection locked="0"/>
    </xf>
    <xf numFmtId="2" fontId="1" fillId="0" borderId="23" xfId="0" applyNumberFormat="1" applyFont="1" applyBorder="1" applyProtection="1">
      <protection locked="0"/>
    </xf>
    <xf numFmtId="0" fontId="23" fillId="7" borderId="23" xfId="0" applyFont="1" applyFill="1" applyBorder="1"/>
    <xf numFmtId="180" fontId="23" fillId="7" borderId="23" xfId="0" applyNumberFormat="1" applyFont="1" applyFill="1" applyBorder="1"/>
    <xf numFmtId="180" fontId="23" fillId="6" borderId="23" xfId="0" applyNumberFormat="1" applyFont="1" applyFill="1" applyBorder="1"/>
    <xf numFmtId="0" fontId="23" fillId="2" borderId="23" xfId="0" applyFont="1" applyFill="1" applyBorder="1" applyProtection="1">
      <protection locked="0"/>
    </xf>
    <xf numFmtId="182" fontId="23" fillId="7" borderId="23" xfId="0" applyNumberFormat="1" applyFont="1" applyFill="1" applyBorder="1"/>
    <xf numFmtId="0" fontId="1" fillId="0" borderId="24" xfId="0" applyFont="1" applyBorder="1"/>
    <xf numFmtId="0" fontId="1" fillId="0" borderId="25" xfId="0" applyFont="1" applyBorder="1"/>
    <xf numFmtId="0" fontId="1" fillId="0" borderId="26" xfId="0" applyFont="1" applyBorder="1"/>
    <xf numFmtId="0" fontId="22" fillId="0" borderId="0" xfId="0" applyFont="1" applyAlignment="1">
      <alignment horizontal="center"/>
    </xf>
    <xf numFmtId="184" fontId="5" fillId="2" borderId="0" xfId="0" applyNumberFormat="1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172" fontId="6" fillId="0" borderId="19" xfId="0" applyNumberFormat="1" applyFont="1" applyBorder="1" applyAlignment="1">
      <alignment horizontal="center" vertical="center" wrapText="1"/>
    </xf>
    <xf numFmtId="172" fontId="6" fillId="0" borderId="0" xfId="0" applyNumberFormat="1" applyFont="1" applyAlignment="1">
      <alignment horizontal="center" vertical="center" wrapText="1"/>
    </xf>
    <xf numFmtId="174" fontId="6" fillId="0" borderId="0" xfId="0" applyNumberFormat="1" applyFont="1" applyAlignment="1">
      <alignment horizontal="center" vertical="center" wrapText="1"/>
    </xf>
    <xf numFmtId="170" fontId="5" fillId="2" borderId="0" xfId="0" applyNumberFormat="1" applyFont="1" applyFill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171" fontId="5" fillId="2" borderId="0" xfId="0" applyNumberFormat="1" applyFont="1" applyFill="1" applyAlignment="1">
      <alignment horizontal="center" vertical="center" wrapText="1"/>
    </xf>
    <xf numFmtId="170" fontId="5" fillId="2" borderId="20" xfId="0" applyNumberFormat="1" applyFont="1" applyFill="1" applyBorder="1" applyAlignment="1">
      <alignment horizontal="center" vertical="center" wrapText="1"/>
    </xf>
    <xf numFmtId="170" fontId="5" fillId="2" borderId="19" xfId="0" applyNumberFormat="1" applyFont="1" applyFill="1" applyBorder="1" applyAlignment="1">
      <alignment horizontal="center" vertical="center" wrapText="1"/>
    </xf>
    <xf numFmtId="170" fontId="6" fillId="0" borderId="0" xfId="0" applyNumberFormat="1" applyFont="1" applyAlignment="1">
      <alignment horizontal="center" vertical="center" wrapText="1"/>
    </xf>
    <xf numFmtId="170" fontId="6" fillId="0" borderId="19" xfId="0" applyNumberFormat="1" applyFont="1" applyBorder="1" applyAlignment="1">
      <alignment horizontal="center" vertical="center" wrapText="1"/>
    </xf>
    <xf numFmtId="170" fontId="6" fillId="0" borderId="20" xfId="0" applyNumberFormat="1" applyFont="1" applyBorder="1" applyAlignment="1">
      <alignment horizontal="center" vertical="center" wrapText="1"/>
    </xf>
    <xf numFmtId="165" fontId="6" fillId="0" borderId="19" xfId="0" applyNumberFormat="1" applyFont="1" applyBorder="1" applyAlignment="1">
      <alignment horizontal="center" vertical="center" wrapText="1"/>
    </xf>
    <xf numFmtId="165" fontId="6" fillId="0" borderId="0" xfId="0" applyNumberFormat="1" applyFont="1" applyAlignment="1">
      <alignment horizontal="center" vertical="center" wrapText="1"/>
    </xf>
    <xf numFmtId="165" fontId="6" fillId="0" borderId="20" xfId="0" applyNumberFormat="1" applyFont="1" applyBorder="1" applyAlignment="1">
      <alignment horizontal="center" vertical="center" wrapText="1"/>
    </xf>
    <xf numFmtId="2" fontId="6" fillId="0" borderId="19" xfId="0" applyNumberFormat="1" applyFont="1" applyBorder="1" applyAlignment="1">
      <alignment horizontal="center" vertical="center" wrapText="1"/>
    </xf>
    <xf numFmtId="2" fontId="6" fillId="0" borderId="0" xfId="0" applyNumberFormat="1" applyFont="1" applyAlignment="1">
      <alignment horizontal="center" vertical="center" wrapText="1"/>
    </xf>
    <xf numFmtId="2" fontId="6" fillId="0" borderId="20" xfId="0" applyNumberFormat="1" applyFont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3" fontId="6" fillId="0" borderId="20" xfId="0" applyNumberFormat="1" applyFont="1" applyBorder="1" applyAlignment="1">
      <alignment horizontal="center" vertical="center" wrapText="1"/>
    </xf>
    <xf numFmtId="3" fontId="6" fillId="0" borderId="19" xfId="0" applyNumberFormat="1" applyFont="1" applyBorder="1" applyAlignment="1">
      <alignment horizontal="center" vertical="center" wrapText="1" shrinkToFit="1"/>
    </xf>
    <xf numFmtId="3" fontId="6" fillId="0" borderId="0" xfId="0" applyNumberFormat="1" applyFont="1" applyAlignment="1">
      <alignment horizontal="center" vertical="center" wrapText="1" shrinkToFit="1"/>
    </xf>
    <xf numFmtId="3" fontId="6" fillId="0" borderId="20" xfId="0" applyNumberFormat="1" applyFont="1" applyBorder="1" applyAlignment="1">
      <alignment horizontal="center" vertical="center" wrapText="1" shrinkToFit="1"/>
    </xf>
    <xf numFmtId="0" fontId="6" fillId="0" borderId="19" xfId="0" applyFont="1" applyBorder="1" applyAlignment="1">
      <alignment horizontal="center" vertical="center" wrapText="1" shrinkToFit="1"/>
    </xf>
    <xf numFmtId="0" fontId="6" fillId="0" borderId="0" xfId="0" applyFont="1" applyAlignment="1">
      <alignment horizontal="center" vertical="center" wrapText="1" shrinkToFit="1"/>
    </xf>
    <xf numFmtId="4" fontId="6" fillId="0" borderId="0" xfId="0" applyNumberFormat="1" applyFont="1" applyAlignment="1">
      <alignment horizontal="center" vertical="center" wrapText="1" shrinkToFit="1"/>
    </xf>
    <xf numFmtId="4" fontId="6" fillId="0" borderId="19" xfId="0" applyNumberFormat="1" applyFont="1" applyBorder="1" applyAlignment="1">
      <alignment horizontal="center" vertical="center" wrapText="1"/>
    </xf>
    <xf numFmtId="4" fontId="6" fillId="0" borderId="0" xfId="0" applyNumberFormat="1" applyFont="1" applyAlignment="1">
      <alignment horizontal="center" vertical="center" wrapText="1"/>
    </xf>
    <xf numFmtId="4" fontId="6" fillId="0" borderId="20" xfId="0" applyNumberFormat="1" applyFont="1" applyBorder="1" applyAlignment="1">
      <alignment horizontal="center" vertical="center" wrapText="1"/>
    </xf>
    <xf numFmtId="3" fontId="5" fillId="2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3" fontId="3" fillId="0" borderId="0" xfId="0" applyNumberFormat="1" applyFont="1" applyAlignment="1">
      <alignment horizontal="center"/>
    </xf>
    <xf numFmtId="0" fontId="3" fillId="0" borderId="21" xfId="0" applyFont="1" applyBorder="1"/>
    <xf numFmtId="172" fontId="3" fillId="0" borderId="0" xfId="0" applyNumberFormat="1" applyFont="1"/>
    <xf numFmtId="0" fontId="26" fillId="0" borderId="0" xfId="0" applyFont="1"/>
    <xf numFmtId="0" fontId="2" fillId="0" borderId="4" xfId="0" applyFont="1" applyBorder="1" applyAlignment="1">
      <alignment horizontal="center" vertical="center"/>
    </xf>
    <xf numFmtId="0" fontId="5" fillId="2" borderId="29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167" fontId="1" fillId="0" borderId="0" xfId="0" applyNumberFormat="1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27" fillId="0" borderId="0" xfId="0" applyFont="1"/>
    <xf numFmtId="3" fontId="6" fillId="0" borderId="27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Alignment="1" applyProtection="1">
      <alignment horizontal="center" vertical="center"/>
    </xf>
    <xf numFmtId="3" fontId="5" fillId="0" borderId="30" xfId="0" applyNumberFormat="1" applyFont="1" applyFill="1" applyBorder="1" applyAlignment="1">
      <alignment horizontal="center" vertical="center"/>
    </xf>
    <xf numFmtId="3" fontId="5" fillId="0" borderId="31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/>
    </xf>
    <xf numFmtId="0" fontId="5" fillId="2" borderId="0" xfId="0" applyNumberFormat="1" applyFont="1" applyFill="1" applyAlignment="1" applyProtection="1">
      <alignment horizontal="center" vertical="center"/>
    </xf>
    <xf numFmtId="3" fontId="6" fillId="0" borderId="0" xfId="0" applyNumberFormat="1" applyFont="1" applyFill="1" applyAlignment="1" applyProtection="1">
      <alignment horizontal="center" vertical="center"/>
    </xf>
    <xf numFmtId="0" fontId="5" fillId="5" borderId="21" xfId="0" applyNumberFormat="1" applyFont="1" applyFill="1" applyBorder="1" applyAlignment="1" applyProtection="1">
      <alignment horizontal="center" vertical="center"/>
    </xf>
    <xf numFmtId="4" fontId="6" fillId="0" borderId="19" xfId="0" applyNumberFormat="1" applyFont="1" applyFill="1" applyBorder="1" applyAlignment="1" applyProtection="1">
      <alignment horizontal="center" vertical="center"/>
    </xf>
    <xf numFmtId="4" fontId="6" fillId="0" borderId="20" xfId="0" applyNumberFormat="1" applyFont="1" applyFill="1" applyBorder="1" applyAlignment="1" applyProtection="1">
      <alignment horizontal="center" vertical="center"/>
    </xf>
    <xf numFmtId="172" fontId="20" fillId="0" borderId="19" xfId="0" applyNumberFormat="1" applyFont="1" applyFill="1" applyBorder="1" applyAlignment="1" applyProtection="1">
      <alignment horizontal="center" vertical="center" wrapText="1"/>
    </xf>
    <xf numFmtId="172" fontId="20" fillId="0" borderId="0" xfId="0" applyNumberFormat="1" applyFont="1" applyFill="1" applyAlignment="1" applyProtection="1">
      <alignment horizontal="center" vertical="center" wrapText="1"/>
    </xf>
    <xf numFmtId="3" fontId="6" fillId="0" borderId="19" xfId="0" applyNumberFormat="1" applyFont="1" applyFill="1" applyBorder="1" applyAlignment="1" applyProtection="1">
      <alignment horizontal="center" vertical="center"/>
    </xf>
    <xf numFmtId="172" fontId="6" fillId="0" borderId="0" xfId="0" applyNumberFormat="1" applyFont="1" applyFill="1" applyAlignment="1" applyProtection="1">
      <alignment horizontal="center" vertical="center"/>
    </xf>
    <xf numFmtId="174" fontId="6" fillId="0" borderId="0" xfId="0" applyNumberFormat="1" applyFont="1" applyFill="1" applyAlignment="1" applyProtection="1">
      <alignment horizontal="center" vertical="center"/>
    </xf>
    <xf numFmtId="170" fontId="5" fillId="2" borderId="0" xfId="0" applyNumberFormat="1" applyFont="1" applyFill="1" applyAlignment="1" applyProtection="1">
      <alignment horizontal="center" vertical="center"/>
    </xf>
    <xf numFmtId="3" fontId="5" fillId="2" borderId="20" xfId="0" applyNumberFormat="1" applyFont="1" applyFill="1" applyBorder="1" applyAlignment="1" applyProtection="1">
      <alignment horizontal="center" vertical="center"/>
    </xf>
    <xf numFmtId="0" fontId="3" fillId="5" borderId="21" xfId="0" applyNumberFormat="1" applyFont="1" applyFill="1" applyBorder="1" applyAlignment="1" applyProtection="1">
      <alignment horizontal="center" vertical="center"/>
    </xf>
    <xf numFmtId="172" fontId="24" fillId="0" borderId="19" xfId="0" applyNumberFormat="1" applyFont="1" applyFill="1" applyBorder="1" applyAlignment="1" applyProtection="1">
      <alignment horizontal="center" vertical="center"/>
    </xf>
    <xf numFmtId="172" fontId="24" fillId="0" borderId="0" xfId="0" applyNumberFormat="1" applyFont="1" applyFill="1" applyAlignment="1" applyProtection="1">
      <alignment horizontal="center" vertical="center"/>
    </xf>
    <xf numFmtId="174" fontId="24" fillId="0" borderId="0" xfId="0" applyNumberFormat="1" applyFont="1" applyFill="1" applyAlignment="1" applyProtection="1">
      <alignment horizontal="center" vertical="center"/>
    </xf>
    <xf numFmtId="171" fontId="5" fillId="2" borderId="0" xfId="0" applyNumberFormat="1" applyFont="1" applyFill="1" applyAlignment="1" applyProtection="1">
      <alignment horizontal="center" vertical="center"/>
    </xf>
    <xf numFmtId="170" fontId="5" fillId="2" borderId="20" xfId="0" applyNumberFormat="1" applyFont="1" applyFill="1" applyBorder="1" applyAlignment="1" applyProtection="1">
      <alignment horizontal="center" vertical="center"/>
    </xf>
    <xf numFmtId="170" fontId="5" fillId="2" borderId="19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Alignment="1" applyProtection="1">
      <alignment horizontal="center" vertical="center"/>
    </xf>
    <xf numFmtId="170" fontId="6" fillId="0" borderId="0" xfId="0" applyNumberFormat="1" applyFont="1" applyFill="1" applyAlignment="1" applyProtection="1">
      <alignment horizontal="center" vertical="center"/>
    </xf>
    <xf numFmtId="173" fontId="5" fillId="2" borderId="0" xfId="0" applyNumberFormat="1" applyFont="1" applyFill="1" applyAlignment="1" applyProtection="1">
      <alignment horizontal="center" vertical="center"/>
    </xf>
    <xf numFmtId="170" fontId="6" fillId="0" borderId="19" xfId="0" applyNumberFormat="1" applyFont="1" applyFill="1" applyBorder="1" applyAlignment="1" applyProtection="1">
      <alignment horizontal="center" vertical="center"/>
    </xf>
    <xf numFmtId="170" fontId="6" fillId="0" borderId="20" xfId="0" applyNumberFormat="1" applyFont="1" applyFill="1" applyBorder="1" applyAlignment="1" applyProtection="1">
      <alignment horizontal="center" vertical="center"/>
    </xf>
    <xf numFmtId="165" fontId="3" fillId="0" borderId="19" xfId="0" applyNumberFormat="1" applyFont="1" applyBorder="1" applyAlignment="1" applyProtection="1">
      <alignment horizontal="center" vertical="center"/>
    </xf>
    <xf numFmtId="165" fontId="3" fillId="0" borderId="0" xfId="0" applyNumberFormat="1" applyFont="1" applyAlignment="1" applyProtection="1">
      <alignment horizontal="center" vertical="center"/>
    </xf>
    <xf numFmtId="165" fontId="3" fillId="0" borderId="20" xfId="0" applyNumberFormat="1" applyFont="1" applyBorder="1" applyAlignment="1" applyProtection="1">
      <alignment horizontal="center" vertical="center"/>
    </xf>
    <xf numFmtId="2" fontId="3" fillId="0" borderId="19" xfId="0" applyNumberFormat="1" applyFont="1" applyBorder="1" applyAlignment="1" applyProtection="1">
      <alignment horizontal="center" vertical="center"/>
    </xf>
    <xf numFmtId="2" fontId="3" fillId="0" borderId="0" xfId="0" applyNumberFormat="1" applyFont="1" applyAlignment="1" applyProtection="1">
      <alignment horizontal="center" vertical="center"/>
    </xf>
    <xf numFmtId="0" fontId="3" fillId="0" borderId="20" xfId="0" applyNumberFormat="1" applyFont="1" applyBorder="1" applyAlignment="1" applyProtection="1">
      <alignment horizontal="center" vertical="center"/>
    </xf>
    <xf numFmtId="2" fontId="3" fillId="0" borderId="20" xfId="0" applyNumberFormat="1" applyFont="1" applyBorder="1" applyAlignment="1" applyProtection="1">
      <alignment horizontal="center" vertical="center"/>
    </xf>
    <xf numFmtId="0" fontId="5" fillId="2" borderId="19" xfId="0" applyNumberFormat="1" applyFont="1" applyFill="1" applyBorder="1" applyAlignment="1" applyProtection="1">
      <alignment horizontal="center" vertical="center"/>
    </xf>
    <xf numFmtId="3" fontId="3" fillId="0" borderId="0" xfId="0" applyNumberFormat="1" applyFont="1" applyAlignment="1" applyProtection="1">
      <alignment horizontal="center" vertical="center"/>
    </xf>
    <xf numFmtId="3" fontId="3" fillId="0" borderId="20" xfId="0" applyNumberFormat="1" applyFont="1" applyBorder="1" applyAlignment="1" applyProtection="1">
      <alignment horizontal="center" vertical="center"/>
    </xf>
    <xf numFmtId="3" fontId="3" fillId="0" borderId="19" xfId="0" applyNumberFormat="1" applyFont="1" applyBorder="1" applyAlignment="1" applyProtection="1">
      <alignment horizontal="center" vertical="center" wrapText="1" shrinkToFit="1"/>
    </xf>
    <xf numFmtId="3" fontId="3" fillId="0" borderId="0" xfId="0" applyNumberFormat="1" applyFont="1" applyAlignment="1" applyProtection="1">
      <alignment horizontal="center" vertical="center" wrapText="1" shrinkToFit="1"/>
    </xf>
    <xf numFmtId="3" fontId="3" fillId="0" borderId="20" xfId="0" applyNumberFormat="1" applyFont="1" applyBorder="1" applyAlignment="1" applyProtection="1">
      <alignment horizontal="center" vertical="center" wrapText="1" shrinkToFit="1"/>
    </xf>
    <xf numFmtId="0" fontId="18" fillId="0" borderId="19" xfId="0" applyNumberFormat="1" applyFont="1" applyBorder="1" applyAlignment="1" applyProtection="1">
      <alignment horizontal="center" vertical="center" wrapText="1" shrinkToFit="1"/>
    </xf>
    <xf numFmtId="0" fontId="18" fillId="0" borderId="0" xfId="0" applyNumberFormat="1" applyFont="1" applyAlignment="1" applyProtection="1">
      <alignment horizontal="center" vertical="center" wrapText="1" shrinkToFit="1"/>
    </xf>
    <xf numFmtId="4" fontId="18" fillId="0" borderId="0" xfId="0" applyNumberFormat="1" applyFont="1" applyAlignment="1" applyProtection="1">
      <alignment horizontal="center" vertical="center" wrapText="1" shrinkToFit="1"/>
    </xf>
    <xf numFmtId="0" fontId="18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" fontId="3" fillId="0" borderId="19" xfId="0" applyNumberFormat="1" applyFont="1" applyBorder="1" applyAlignment="1" applyProtection="1">
      <alignment horizontal="center" vertical="center"/>
    </xf>
    <xf numFmtId="4" fontId="3" fillId="0" borderId="0" xfId="0" applyNumberFormat="1" applyFont="1" applyAlignment="1" applyProtection="1">
      <alignment horizontal="center" vertical="center"/>
    </xf>
    <xf numFmtId="4" fontId="3" fillId="0" borderId="20" xfId="0" applyNumberFormat="1" applyFont="1" applyBorder="1" applyAlignment="1" applyProtection="1">
      <alignment horizontal="center" vertical="center"/>
    </xf>
    <xf numFmtId="0" fontId="5" fillId="7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80" fontId="28" fillId="0" borderId="23" xfId="0" applyNumberFormat="1" applyFont="1" applyFill="1" applyBorder="1" applyProtection="1">
      <protection locked="0"/>
    </xf>
    <xf numFmtId="0" fontId="3" fillId="0" borderId="0" xfId="0" applyNumberFormat="1" applyFont="1" applyAlignment="1">
      <alignment horizontal="center" vertical="center" wrapText="1"/>
    </xf>
    <xf numFmtId="0" fontId="29" fillId="0" borderId="32" xfId="0" applyFont="1" applyBorder="1" applyAlignment="1">
      <alignment vertical="center" wrapText="1"/>
    </xf>
    <xf numFmtId="0" fontId="29" fillId="0" borderId="33" xfId="0" applyFont="1" applyBorder="1" applyAlignment="1">
      <alignment vertical="center" wrapText="1"/>
    </xf>
    <xf numFmtId="0" fontId="29" fillId="0" borderId="34" xfId="0" applyFont="1" applyBorder="1" applyAlignment="1">
      <alignment vertical="center" wrapText="1"/>
    </xf>
    <xf numFmtId="0" fontId="29" fillId="0" borderId="35" xfId="0" applyFont="1" applyBorder="1" applyAlignment="1">
      <alignment vertical="center" wrapText="1"/>
    </xf>
    <xf numFmtId="0" fontId="29" fillId="0" borderId="36" xfId="0" applyFont="1" applyBorder="1" applyAlignment="1">
      <alignment vertical="center" wrapText="1"/>
    </xf>
    <xf numFmtId="0" fontId="29" fillId="0" borderId="37" xfId="0" applyFont="1" applyBorder="1" applyAlignment="1">
      <alignment vertical="center" wrapText="1"/>
    </xf>
    <xf numFmtId="0" fontId="29" fillId="0" borderId="35" xfId="0" applyFont="1" applyFill="1" applyBorder="1" applyAlignment="1">
      <alignment vertical="center" wrapText="1"/>
    </xf>
    <xf numFmtId="0" fontId="29" fillId="0" borderId="34" xfId="0" applyFont="1" applyFill="1" applyBorder="1" applyAlignment="1">
      <alignment vertical="center" wrapText="1"/>
    </xf>
    <xf numFmtId="0" fontId="30" fillId="8" borderId="38" xfId="0" applyNumberFormat="1" applyFont="1" applyFill="1" applyBorder="1" applyAlignment="1">
      <alignment horizontal="center" vertical="center" wrapText="1"/>
    </xf>
    <xf numFmtId="0" fontId="30" fillId="8" borderId="39" xfId="0" applyNumberFormat="1" applyFont="1" applyFill="1" applyBorder="1" applyAlignment="1">
      <alignment horizontal="center" vertical="center" wrapText="1"/>
    </xf>
    <xf numFmtId="0" fontId="30" fillId="8" borderId="40" xfId="0" applyNumberFormat="1" applyFont="1" applyFill="1" applyBorder="1" applyAlignment="1">
      <alignment horizontal="center" vertical="center" wrapText="1"/>
    </xf>
    <xf numFmtId="0" fontId="30" fillId="8" borderId="4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0" applyNumberFormat="1" applyFont="1"/>
    <xf numFmtId="0" fontId="4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left"/>
    </xf>
    <xf numFmtId="0" fontId="0" fillId="0" borderId="0" xfId="0" applyFont="1"/>
    <xf numFmtId="0" fontId="5" fillId="2" borderId="0" xfId="0" applyFont="1" applyFill="1" applyAlignment="1" applyProtection="1">
      <alignment horizontal="left" vertical="center"/>
      <protection locked="0"/>
    </xf>
    <xf numFmtId="0" fontId="2" fillId="0" borderId="4" xfId="0" applyFont="1" applyBorder="1" applyAlignment="1">
      <alignment horizontal="left" vertical="center"/>
    </xf>
    <xf numFmtId="0" fontId="3" fillId="5" borderId="0" xfId="0" applyNumberFormat="1" applyFont="1" applyFill="1" applyBorder="1" applyAlignment="1" applyProtection="1">
      <alignment horizontal="center" vertical="center"/>
    </xf>
    <xf numFmtId="0" fontId="6" fillId="5" borderId="21" xfId="0" applyNumberFormat="1" applyFont="1" applyFill="1" applyBorder="1" applyAlignment="1" applyProtection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/>
    <xf numFmtId="180" fontId="1" fillId="0" borderId="0" xfId="0" applyNumberFormat="1" applyFont="1" applyBorder="1"/>
    <xf numFmtId="180" fontId="1" fillId="0" borderId="17" xfId="0" applyNumberFormat="1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0" xfId="0" applyFont="1" applyBorder="1" applyAlignment="1">
      <alignment vertical="center"/>
    </xf>
    <xf numFmtId="0" fontId="3" fillId="0" borderId="20" xfId="0" applyFont="1" applyBorder="1"/>
    <xf numFmtId="183" fontId="23" fillId="2" borderId="23" xfId="0" applyNumberFormat="1" applyFont="1" applyFill="1" applyBorder="1" applyAlignment="1" applyProtection="1">
      <alignment horizontal="right"/>
      <protection locked="0"/>
    </xf>
    <xf numFmtId="0" fontId="3" fillId="0" borderId="0" xfId="0" applyFont="1" applyAlignment="1">
      <alignment horizontal="left" vertical="center" wrapText="1"/>
    </xf>
    <xf numFmtId="172" fontId="3" fillId="0" borderId="0" xfId="0" applyNumberFormat="1" applyFont="1" applyAlignment="1">
      <alignment horizontal="center" vertical="center" wrapText="1"/>
    </xf>
    <xf numFmtId="174" fontId="3" fillId="0" borderId="0" xfId="0" applyNumberFormat="1" applyFont="1" applyAlignment="1">
      <alignment horizontal="center" vertical="center" wrapText="1"/>
    </xf>
    <xf numFmtId="0" fontId="3" fillId="0" borderId="0" xfId="0" applyNumberFormat="1" applyFont="1" applyAlignment="1">
      <alignment horizontal="left" vertical="center"/>
    </xf>
    <xf numFmtId="185" fontId="2" fillId="0" borderId="4" xfId="0" applyNumberFormat="1" applyFont="1" applyBorder="1" applyAlignment="1">
      <alignment horizontal="center"/>
    </xf>
    <xf numFmtId="186" fontId="3" fillId="0" borderId="0" xfId="0" applyNumberFormat="1" applyFont="1" applyAlignment="1">
      <alignment horizontal="center" vertical="center" wrapText="1"/>
    </xf>
    <xf numFmtId="0" fontId="1" fillId="0" borderId="0" xfId="0" applyFont="1" applyFill="1" applyAlignment="1">
      <alignment horizontal="left" vertical="center" wrapText="1"/>
    </xf>
    <xf numFmtId="0" fontId="16" fillId="0" borderId="4" xfId="0" applyFont="1" applyBorder="1" applyAlignment="1">
      <alignment horizontal="center" vertical="center"/>
    </xf>
    <xf numFmtId="0" fontId="16" fillId="0" borderId="4" xfId="0" quotePrefix="1" applyFont="1" applyBorder="1" applyAlignment="1">
      <alignment horizontal="center" vertical="center"/>
    </xf>
    <xf numFmtId="14" fontId="3" fillId="0" borderId="0" xfId="0" applyNumberFormat="1" applyFont="1"/>
    <xf numFmtId="3" fontId="5" fillId="2" borderId="0" xfId="0" applyNumberFormat="1" applyFont="1" applyFill="1" applyAlignment="1">
      <alignment horizontal="center" vertical="center" shrinkToFit="1"/>
    </xf>
    <xf numFmtId="0" fontId="25" fillId="0" borderId="31" xfId="0" applyFont="1" applyBorder="1" applyAlignment="1">
      <alignment shrinkToFit="1"/>
    </xf>
    <xf numFmtId="3" fontId="6" fillId="0" borderId="0" xfId="0" applyNumberFormat="1" applyFont="1" applyFill="1" applyAlignment="1">
      <alignment horizontal="center" vertical="center" shrinkToFit="1"/>
    </xf>
    <xf numFmtId="3" fontId="32" fillId="0" borderId="0" xfId="0" applyNumberFormat="1" applyFont="1" applyFill="1" applyAlignment="1">
      <alignment horizontal="left" vertical="center" shrinkToFit="1"/>
    </xf>
    <xf numFmtId="3" fontId="6" fillId="0" borderId="0" xfId="0" applyNumberFormat="1" applyFont="1" applyFill="1" applyAlignment="1">
      <alignment horizontal="left" vertical="center"/>
    </xf>
    <xf numFmtId="0" fontId="5" fillId="2" borderId="0" xfId="0" applyFont="1" applyFill="1" applyAlignment="1" applyProtection="1">
      <alignment horizontal="center" vertical="center" wrapText="1"/>
      <protection locked="0"/>
    </xf>
    <xf numFmtId="165" fontId="5" fillId="2" borderId="0" xfId="0" applyNumberFormat="1" applyFont="1" applyFill="1" applyAlignment="1" applyProtection="1">
      <alignment horizontal="center" vertical="center" wrapText="1"/>
      <protection locked="0"/>
    </xf>
    <xf numFmtId="1" fontId="5" fillId="2" borderId="0" xfId="0" applyNumberFormat="1" applyFont="1" applyFill="1" applyAlignment="1" applyProtection="1">
      <alignment horizontal="center" vertical="center" wrapText="1"/>
      <protection locked="0"/>
    </xf>
    <xf numFmtId="0" fontId="5" fillId="7" borderId="27" xfId="0" applyFont="1" applyFill="1" applyBorder="1" applyAlignment="1">
      <alignment horizontal="center" vertical="center" wrapText="1"/>
    </xf>
    <xf numFmtId="0" fontId="25" fillId="0" borderId="28" xfId="0" applyFont="1" applyBorder="1" applyAlignment="1">
      <alignment wrapText="1"/>
    </xf>
    <xf numFmtId="0" fontId="5" fillId="7" borderId="0" xfId="0" applyFont="1" applyFill="1" applyAlignment="1" applyProtection="1">
      <alignment horizontal="center" vertical="center" wrapText="1"/>
      <protection locked="0"/>
    </xf>
    <xf numFmtId="3" fontId="5" fillId="3" borderId="5" xfId="0" applyNumberFormat="1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 shrinkToFit="1"/>
    </xf>
    <xf numFmtId="0" fontId="25" fillId="0" borderId="28" xfId="0" applyFont="1" applyBorder="1" applyAlignment="1">
      <alignment wrapText="1" shrinkToFit="1"/>
    </xf>
    <xf numFmtId="9" fontId="6" fillId="0" borderId="20" xfId="2" applyFont="1" applyFill="1" applyBorder="1" applyAlignment="1" applyProtection="1">
      <alignment horizontal="center" vertical="center"/>
    </xf>
    <xf numFmtId="165" fontId="6" fillId="0" borderId="0" xfId="0" applyNumberFormat="1" applyFont="1" applyFill="1" applyAlignment="1" applyProtection="1">
      <alignment horizontal="center" vertical="center" wrapText="1"/>
      <protection locked="0"/>
    </xf>
    <xf numFmtId="165" fontId="6" fillId="0" borderId="0" xfId="0" applyNumberFormat="1" applyFont="1" applyFill="1" applyAlignment="1" applyProtection="1">
      <alignment horizontal="center" vertical="center" wrapText="1"/>
    </xf>
    <xf numFmtId="187" fontId="2" fillId="0" borderId="4" xfId="0" applyNumberFormat="1" applyFont="1" applyBorder="1" applyAlignment="1">
      <alignment horizontal="center" vertical="center"/>
    </xf>
    <xf numFmtId="0" fontId="1" fillId="0" borderId="0" xfId="0" applyNumberFormat="1" applyFont="1"/>
    <xf numFmtId="0" fontId="3" fillId="0" borderId="0" xfId="0" applyFont="1" applyFill="1" applyAlignment="1">
      <alignment horizontal="center" vertical="center" wrapText="1"/>
    </xf>
    <xf numFmtId="0" fontId="3" fillId="0" borderId="2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3" fillId="0" borderId="0" xfId="0" applyFont="1" applyAlignment="1">
      <alignment wrapText="1"/>
    </xf>
    <xf numFmtId="0" fontId="5" fillId="0" borderId="4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165" fontId="5" fillId="2" borderId="0" xfId="0" applyNumberFormat="1" applyFont="1" applyFill="1" applyAlignment="1" applyProtection="1">
      <alignment horizontal="center" vertical="center"/>
    </xf>
    <xf numFmtId="0" fontId="2" fillId="0" borderId="0" xfId="0" applyFont="1"/>
    <xf numFmtId="0" fontId="2" fillId="0" borderId="4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justify" vertical="center"/>
    </xf>
    <xf numFmtId="0" fontId="3" fillId="0" borderId="0" xfId="0" quotePrefix="1" applyFont="1" applyAlignment="1">
      <alignment horizontal="justify" vertic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vertical="center" wrapText="1"/>
    </xf>
    <xf numFmtId="0" fontId="3" fillId="0" borderId="22" xfId="0" applyFont="1" applyBorder="1" applyAlignment="1">
      <alignment horizontal="justify" vertical="center"/>
    </xf>
    <xf numFmtId="0" fontId="3" fillId="0" borderId="22" xfId="0" applyFont="1" applyBorder="1"/>
    <xf numFmtId="0" fontId="9" fillId="0" borderId="22" xfId="0" applyFont="1" applyBorder="1" applyAlignment="1">
      <alignment horizontal="center" vertical="center"/>
    </xf>
    <xf numFmtId="0" fontId="9" fillId="0" borderId="22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2" xfId="0" quotePrefix="1" applyFont="1" applyBorder="1" applyAlignment="1">
      <alignment horizontal="justify" vertical="center"/>
    </xf>
    <xf numFmtId="0" fontId="16" fillId="0" borderId="0" xfId="0" applyFont="1"/>
    <xf numFmtId="0" fontId="3" fillId="0" borderId="0" xfId="0" applyNumberFormat="1" applyFont="1" applyAlignment="1">
      <alignment horizontal="center" vertical="center"/>
    </xf>
    <xf numFmtId="0" fontId="25" fillId="0" borderId="31" xfId="0" applyFont="1" applyBorder="1" applyAlignment="1">
      <alignment wrapText="1"/>
    </xf>
    <xf numFmtId="0" fontId="25" fillId="0" borderId="30" xfId="0" applyFont="1" applyBorder="1" applyAlignment="1">
      <alignment wrapText="1"/>
    </xf>
    <xf numFmtId="3" fontId="6" fillId="0" borderId="0" xfId="0" applyNumberFormat="1" applyFont="1" applyFill="1" applyBorder="1" applyAlignment="1">
      <alignment horizontal="center" vertical="center" wrapText="1"/>
    </xf>
    <xf numFmtId="3" fontId="6" fillId="0" borderId="0" xfId="0" applyNumberFormat="1" applyFont="1" applyFill="1" applyAlignment="1">
      <alignment horizontal="center" vertical="center" wrapText="1"/>
    </xf>
    <xf numFmtId="0" fontId="5" fillId="0" borderId="44" xfId="0" applyFont="1" applyFill="1" applyBorder="1" applyAlignment="1">
      <alignment shrinkToFit="1"/>
    </xf>
    <xf numFmtId="0" fontId="3" fillId="0" borderId="0" xfId="0" applyFont="1" applyBorder="1" applyAlignment="1">
      <alignment horizontal="center"/>
    </xf>
    <xf numFmtId="3" fontId="6" fillId="0" borderId="0" xfId="0" applyNumberFormat="1" applyFont="1" applyBorder="1" applyAlignment="1">
      <alignment horizontal="center" vertical="center" wrapText="1" shrinkToFit="1"/>
    </xf>
    <xf numFmtId="172" fontId="0" fillId="0" borderId="0" xfId="0" applyNumberFormat="1"/>
    <xf numFmtId="170" fontId="3" fillId="0" borderId="0" xfId="0" applyNumberFormat="1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3" fillId="0" borderId="4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33" fillId="0" borderId="0" xfId="0" applyFont="1" applyBorder="1" applyAlignment="1">
      <alignment horizontal="center" vertical="center" wrapText="1"/>
    </xf>
    <xf numFmtId="188" fontId="33" fillId="0" borderId="4" xfId="0" applyNumberFormat="1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4" fontId="33" fillId="0" borderId="4" xfId="0" applyNumberFormat="1" applyFont="1" applyBorder="1" applyAlignment="1">
      <alignment horizontal="center" vertical="center"/>
    </xf>
    <xf numFmtId="3" fontId="3" fillId="5" borderId="19" xfId="0" applyNumberFormat="1" applyFont="1" applyFill="1" applyBorder="1" applyAlignment="1" applyProtection="1">
      <alignment horizontal="center" vertical="center" wrapText="1" shrinkToFit="1"/>
    </xf>
    <xf numFmtId="3" fontId="3" fillId="5" borderId="0" xfId="0" applyNumberFormat="1" applyFont="1" applyFill="1" applyBorder="1" applyAlignment="1" applyProtection="1">
      <alignment horizontal="center" vertical="center" wrapText="1" shrinkToFit="1"/>
    </xf>
    <xf numFmtId="3" fontId="3" fillId="5" borderId="20" xfId="0" applyNumberFormat="1" applyFont="1" applyFill="1" applyBorder="1" applyAlignment="1" applyProtection="1">
      <alignment horizontal="center" vertical="center" wrapText="1" shrinkToFit="1"/>
    </xf>
    <xf numFmtId="0" fontId="33" fillId="0" borderId="4" xfId="0" applyFont="1" applyBorder="1" applyAlignment="1">
      <alignment horizontal="left" vertical="center"/>
    </xf>
    <xf numFmtId="4" fontId="3" fillId="0" borderId="0" xfId="0" applyNumberFormat="1" applyFont="1" applyAlignment="1">
      <alignment horizontal="center" vertical="center" wrapText="1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165" fontId="5" fillId="2" borderId="0" xfId="0" applyNumberFormat="1" applyFont="1" applyFill="1" applyBorder="1" applyAlignment="1" applyProtection="1">
      <alignment horizontal="center" vertical="center"/>
      <protection locked="0"/>
    </xf>
    <xf numFmtId="165" fontId="6" fillId="0" borderId="0" xfId="0" applyNumberFormat="1" applyFont="1" applyFill="1" applyBorder="1" applyAlignment="1" applyProtection="1">
      <alignment horizontal="center" vertical="center" wrapText="1"/>
    </xf>
    <xf numFmtId="1" fontId="5" fillId="2" borderId="0" xfId="0" applyNumberFormat="1" applyFont="1" applyFill="1" applyBorder="1" applyAlignment="1" applyProtection="1">
      <alignment horizontal="center" vertical="center"/>
      <protection locked="0"/>
    </xf>
    <xf numFmtId="0" fontId="25" fillId="0" borderId="45" xfId="0" applyFont="1" applyBorder="1"/>
    <xf numFmtId="171" fontId="5" fillId="2" borderId="0" xfId="0" applyNumberFormat="1" applyFont="1" applyFill="1" applyBorder="1" applyAlignment="1" applyProtection="1">
      <alignment horizontal="center" vertical="center"/>
      <protection locked="0"/>
    </xf>
    <xf numFmtId="184" fontId="5" fillId="2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/>
    </xf>
    <xf numFmtId="0" fontId="25" fillId="0" borderId="46" xfId="0" applyFont="1" applyBorder="1"/>
    <xf numFmtId="3" fontId="6" fillId="0" borderId="0" xfId="0" applyNumberFormat="1" applyFont="1" applyFill="1" applyBorder="1" applyAlignment="1">
      <alignment horizontal="center" vertical="center"/>
    </xf>
    <xf numFmtId="3" fontId="5" fillId="0" borderId="47" xfId="0" applyNumberFormat="1" applyFont="1" applyFill="1" applyBorder="1" applyAlignment="1">
      <alignment horizontal="center" vertical="center"/>
    </xf>
    <xf numFmtId="3" fontId="5" fillId="2" borderId="0" xfId="0" applyNumberFormat="1" applyFont="1" applyFill="1" applyBorder="1" applyAlignment="1">
      <alignment horizontal="center" vertical="center"/>
    </xf>
    <xf numFmtId="3" fontId="5" fillId="0" borderId="46" xfId="0" applyNumberFormat="1" applyFont="1" applyFill="1" applyBorder="1" applyAlignment="1">
      <alignment horizontal="center" vertical="center"/>
    </xf>
    <xf numFmtId="0" fontId="25" fillId="0" borderId="47" xfId="0" applyFont="1" applyBorder="1"/>
    <xf numFmtId="3" fontId="32" fillId="0" borderId="0" xfId="0" applyNumberFormat="1" applyFont="1" applyFill="1" applyBorder="1" applyAlignment="1">
      <alignment horizontal="left" vertical="center" shrinkToFit="1"/>
    </xf>
    <xf numFmtId="3" fontId="5" fillId="2" borderId="0" xfId="0" applyNumberFormat="1" applyFont="1" applyFill="1" applyBorder="1" applyAlignment="1">
      <alignment horizontal="center" vertical="center" shrinkToFit="1"/>
    </xf>
    <xf numFmtId="0" fontId="25" fillId="0" borderId="46" xfId="0" applyFont="1" applyBorder="1" applyAlignment="1">
      <alignment shrinkToFit="1"/>
    </xf>
    <xf numFmtId="3" fontId="6" fillId="0" borderId="0" xfId="0" applyNumberFormat="1" applyFont="1" applyFill="1" applyBorder="1" applyAlignment="1">
      <alignment horizontal="center" vertical="center" shrinkToFit="1"/>
    </xf>
    <xf numFmtId="0" fontId="5" fillId="0" borderId="21" xfId="0" applyFont="1" applyFill="1" applyBorder="1" applyAlignment="1">
      <alignment shrinkToFit="1"/>
    </xf>
    <xf numFmtId="3" fontId="6" fillId="0" borderId="0" xfId="0" applyNumberFormat="1" applyFont="1" applyFill="1" applyBorder="1" applyAlignment="1">
      <alignment horizontal="left" vertical="center"/>
    </xf>
    <xf numFmtId="0" fontId="5" fillId="2" borderId="0" xfId="0" applyFont="1" applyFill="1" applyAlignment="1" applyProtection="1">
      <alignment horizontal="left" vertical="center" wrapText="1"/>
      <protection locked="0"/>
    </xf>
    <xf numFmtId="0" fontId="5" fillId="2" borderId="0" xfId="0" applyFont="1" applyFill="1" applyBorder="1" applyAlignment="1" applyProtection="1">
      <alignment horizontal="left" vertical="center" wrapText="1"/>
      <protection locked="0"/>
    </xf>
    <xf numFmtId="0" fontId="27" fillId="0" borderId="22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14" fillId="0" borderId="13" xfId="0" applyFont="1" applyBorder="1" applyAlignment="1">
      <alignment horizontal="left"/>
    </xf>
    <xf numFmtId="0" fontId="8" fillId="0" borderId="6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1" fillId="0" borderId="17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5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2" formatCode="00.00\'\'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color theme="1"/>
      </font>
    </dxf>
    <dxf>
      <font>
        <b val="0"/>
        <strike val="0"/>
        <outline val="0"/>
        <shadow val="0"/>
        <u val="none"/>
        <vertAlign val="baseline"/>
        <color theme="1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2" formatCode="00.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86" formatCode="0.000\°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3" formatCode="00\°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4" formatCode="0.0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4" formatCode="0.0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6" formatCode="00\ \f\t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color rgb="FF0070C0"/>
      </font>
      <fill>
        <gradientFill degree="90">
          <stop position="0">
            <color theme="9" tint="0.80001220740379042"/>
          </stop>
          <stop position="0.5">
            <color rgb="FF9FCFFF"/>
          </stop>
          <stop position="1">
            <color theme="9" tint="0.80001220740379042"/>
          </stop>
        </gradient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gray125">
          <fgColor theme="0"/>
          <bgColor theme="5" tint="-0.499984740745262"/>
        </patternFill>
      </fill>
    </dxf>
    <dxf>
      <font>
        <color theme="0"/>
      </font>
      <fill>
        <patternFill patternType="gray125">
          <fgColor theme="0"/>
          <bgColor theme="5" tint="-0.499984740745262"/>
        </patternFill>
      </fill>
    </dxf>
    <dxf>
      <border>
        <left/>
        <right/>
        <top style="dashDot">
          <color rgb="FF7030A0"/>
        </top>
        <bottom/>
        <vertical/>
        <horizontal/>
      </border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1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textRotation="0" wrapText="0" justifyLastLine="0" shrinkToFit="1" readingOrder="0"/>
      <border diagonalUp="0" diagonalDown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84" formatCode="0.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84" formatCode="0.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outline="0">
        <left style="thin">
          <color theme="0"/>
        </left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theme="0"/>
        </top>
        <bottom style="thin">
          <color theme="0"/>
        </bottom>
        <vertical/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" formatCode="0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65" formatCode="00.00\'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7" formatCode="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theme="0" tint="-4.9989318521683403E-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1"/>
      </font>
      <border>
        <bottom style="mediumDashDotDot">
          <color theme="1"/>
        </bottom>
      </border>
    </dxf>
    <dxf>
      <font>
        <color theme="1"/>
      </font>
      <border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auto="1"/>
          <bgColor rgb="FFFF717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1"/>
      </font>
      <border>
        <bottom style="mediumDashDotDot">
          <color theme="1"/>
        </bottom>
      </border>
    </dxf>
    <dxf>
      <font>
        <color theme="1"/>
      </font>
      <border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 patternType="solid">
          <fgColor theme="4"/>
          <bgColor theme="4"/>
        </patternFill>
      </fill>
    </dxf>
    <dxf>
      <font>
        <color auto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4" defaultTableStyle="TableStyleMedium2" defaultPivotStyle="PivotStyleLight16">
    <tableStyle name="Soil_Table" pivot="0" count="4" xr9:uid="{FCE4B25B-B47E-46CB-B57E-E3967B9C875D}">
      <tableStyleElement type="wholeTable" dxfId="540"/>
      <tableStyleElement type="headerRow" dxfId="539"/>
      <tableStyleElement type="firstRowStripe" dxfId="538"/>
      <tableStyleElement type="secondRowStripe" dxfId="537"/>
    </tableStyle>
    <tableStyle name="Structures_Format" pivot="0" count="3" xr9:uid="{00000000-0011-0000-FFFF-FFFF00000000}">
      <tableStyleElement type="wholeTable" dxfId="536"/>
      <tableStyleElement type="headerRow" dxfId="535"/>
      <tableStyleElement type="secondRowStripe" dxfId="534"/>
    </tableStyle>
    <tableStyle name="TableStyleLPileDesignParameters" pivot="0" count="6" xr9:uid="{577B1360-D496-4CDD-BE0F-0BE392CFB0E7}">
      <tableStyleElement type="wholeTable" dxfId="533"/>
      <tableStyleElement type="headerRow" dxfId="532"/>
      <tableStyleElement type="totalRow" dxfId="531"/>
      <tableStyleElement type="firstColumn" dxfId="530"/>
      <tableStyleElement type="lastColumn" dxfId="529"/>
      <tableStyleElement type="firstRowStripe" dxfId="528"/>
    </tableStyle>
    <tableStyle name="TableStylePileDesign" pivot="0" count="6" xr9:uid="{42831FCD-6B06-464C-AD39-F0E892B482F0}">
      <tableStyleElement type="wholeTable" dxfId="527"/>
      <tableStyleElement type="headerRow" dxfId="526"/>
      <tableStyleElement type="totalRow" dxfId="525"/>
      <tableStyleElement type="firstColumn" dxfId="524"/>
      <tableStyleElement type="lastColumn" dxfId="523"/>
      <tableStyleElement type="firstRowStripe" dxfId="522"/>
    </tableStyle>
  </tableStyles>
  <colors>
    <mruColors>
      <color rgb="FFFF7171"/>
      <color rgb="FF3399FF"/>
      <color rgb="FFFD9191"/>
      <color rgb="FFFF7979"/>
      <color rgb="FFFF6969"/>
      <color rgb="FF9FCFFF"/>
      <color rgb="FF81C0FF"/>
      <color rgb="FFEF853D"/>
      <color rgb="FFDEA400"/>
      <color rgb="FFFE9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4.png"/><Relationship Id="rId7" Type="http://schemas.openxmlformats.org/officeDocument/2006/relationships/image" Target="../media/image7.png"/><Relationship Id="rId2" Type="http://schemas.openxmlformats.org/officeDocument/2006/relationships/image" Target="../media/image3.png"/><Relationship Id="rId1" Type="http://schemas.openxmlformats.org/officeDocument/2006/relationships/image" Target="../media/image15.png"/><Relationship Id="rId6" Type="http://schemas.openxmlformats.org/officeDocument/2006/relationships/image" Target="../media/image6.png"/><Relationship Id="rId5" Type="http://schemas.openxmlformats.org/officeDocument/2006/relationships/image" Target="../media/image1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4.png"/><Relationship Id="rId7" Type="http://schemas.openxmlformats.org/officeDocument/2006/relationships/image" Target="../media/image5.png"/><Relationship Id="rId2" Type="http://schemas.openxmlformats.org/officeDocument/2006/relationships/image" Target="../media/image23.png"/><Relationship Id="rId1" Type="http://schemas.openxmlformats.org/officeDocument/2006/relationships/image" Target="../media/image3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Relationship Id="rId9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5" Type="http://schemas.openxmlformats.org/officeDocument/2006/relationships/image" Target="../media/image3.png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6.png"/><Relationship Id="rId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1708545</xdr:colOff>
      <xdr:row>0</xdr:row>
      <xdr:rowOff>130968</xdr:rowOff>
    </xdr:from>
    <xdr:to>
      <xdr:col>3</xdr:col>
      <xdr:colOff>1405649</xdr:colOff>
      <xdr:row>0</xdr:row>
      <xdr:rowOff>1502568</xdr:rowOff>
    </xdr:to>
    <xdr:sp macro="[0]!SER10_Step_01_Open_Latest_IFQ" textlink="">
      <xdr:nvSpPr>
        <xdr:cNvPr id="10" name="TextBox_Action_Ws10_Step_0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851670" y="130968"/>
          <a:ext cx="1447323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1- 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Latest IFQ</a:t>
          </a:r>
        </a:p>
      </xdr:txBody>
    </xdr:sp>
    <xdr:clientData/>
  </xdr:twoCellAnchor>
  <xdr:twoCellAnchor editAs="absolute">
    <xdr:from>
      <xdr:col>5</xdr:col>
      <xdr:colOff>381915</xdr:colOff>
      <xdr:row>0</xdr:row>
      <xdr:rowOff>130968</xdr:rowOff>
    </xdr:from>
    <xdr:to>
      <xdr:col>6</xdr:col>
      <xdr:colOff>132597</xdr:colOff>
      <xdr:row>0</xdr:row>
      <xdr:rowOff>1502568</xdr:rowOff>
    </xdr:to>
    <xdr:sp macro="[0]!SER10_Step_03_IFQ_Preview" textlink="">
      <xdr:nvSpPr>
        <xdr:cNvPr id="11" name="TextBox_Action_Ws10_Step_0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989884" y="130968"/>
          <a:ext cx="1453276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IFQ Preview</a:t>
          </a:r>
        </a:p>
      </xdr:txBody>
    </xdr:sp>
    <xdr:clientData/>
  </xdr:twoCellAnchor>
  <xdr:twoCellAnchor editAs="absolute">
    <xdr:from>
      <xdr:col>0</xdr:col>
      <xdr:colOff>60249</xdr:colOff>
      <xdr:row>40</xdr:row>
      <xdr:rowOff>15165</xdr:rowOff>
    </xdr:from>
    <xdr:to>
      <xdr:col>0</xdr:col>
      <xdr:colOff>1643778</xdr:colOff>
      <xdr:row>43</xdr:row>
      <xdr:rowOff>173915</xdr:rowOff>
    </xdr:to>
    <xdr:sp macro="" textlink="">
      <xdr:nvSpPr>
        <xdr:cNvPr id="20" name="TextBox_Action_Ws10_Open_Doc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0249" y="15648072"/>
          <a:ext cx="1583529" cy="1071562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 SmartPile</a:t>
          </a:r>
        </a:p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Documentation</a:t>
          </a:r>
        </a:p>
      </xdr:txBody>
    </xdr:sp>
    <xdr:clientData/>
  </xdr:twoCellAnchor>
  <xdr:twoCellAnchor editAs="absolute">
    <xdr:from>
      <xdr:col>3</xdr:col>
      <xdr:colOff>1533386</xdr:colOff>
      <xdr:row>0</xdr:row>
      <xdr:rowOff>130968</xdr:rowOff>
    </xdr:from>
    <xdr:to>
      <xdr:col>5</xdr:col>
      <xdr:colOff>254178</xdr:colOff>
      <xdr:row>0</xdr:row>
      <xdr:rowOff>1502568</xdr:rowOff>
    </xdr:to>
    <xdr:sp macro="[0]!SER10_Step_02_Import_From_Neo" textlink="">
      <xdr:nvSpPr>
        <xdr:cNvPr id="12" name="TextBox_Action_Ws10_Step_0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5426730" y="130968"/>
          <a:ext cx="143541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2 -Retrieve Project Info</a:t>
          </a:r>
        </a:p>
      </xdr:txBody>
    </xdr:sp>
    <xdr:clientData/>
  </xdr:twoCellAnchor>
  <xdr:twoCellAnchor editAs="absolute">
    <xdr:from>
      <xdr:col>6</xdr:col>
      <xdr:colOff>260334</xdr:colOff>
      <xdr:row>0</xdr:row>
      <xdr:rowOff>130968</xdr:rowOff>
    </xdr:from>
    <xdr:to>
      <xdr:col>8</xdr:col>
      <xdr:colOff>213425</xdr:colOff>
      <xdr:row>0</xdr:row>
      <xdr:rowOff>1502568</xdr:rowOff>
    </xdr:to>
    <xdr:sp macro="[0]!SER10_Step_04_Generate_Part_No" textlink="">
      <xdr:nvSpPr>
        <xdr:cNvPr id="13" name="TextBox_Action_Ws10_Step_0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8570897" y="130968"/>
          <a:ext cx="1441372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4 -Generate Part No.</a:t>
          </a:r>
        </a:p>
      </xdr:txBody>
    </xdr:sp>
    <xdr:clientData/>
  </xdr:twoCellAnchor>
  <xdr:twoCellAnchor editAs="absolute">
    <xdr:from>
      <xdr:col>8</xdr:col>
      <xdr:colOff>341162</xdr:colOff>
      <xdr:row>0</xdr:row>
      <xdr:rowOff>130968</xdr:rowOff>
    </xdr:from>
    <xdr:to>
      <xdr:col>9</xdr:col>
      <xdr:colOff>492610</xdr:colOff>
      <xdr:row>0</xdr:row>
      <xdr:rowOff>1502568</xdr:rowOff>
    </xdr:to>
    <xdr:sp macro="[0]!SER10_Step_05_Generate_IFQ_Schedule" textlink="">
      <xdr:nvSpPr>
        <xdr:cNvPr id="14" name="TextBox_Action_Ws10_Step_0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0140006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5 -Generate IFQ File</a:t>
          </a:r>
        </a:p>
      </xdr:txBody>
    </xdr:sp>
    <xdr:clientData/>
  </xdr:twoCellAnchor>
  <xdr:twoCellAnchor editAs="absolute">
    <xdr:from>
      <xdr:col>9</xdr:col>
      <xdr:colOff>620347</xdr:colOff>
      <xdr:row>0</xdr:row>
      <xdr:rowOff>130968</xdr:rowOff>
    </xdr:from>
    <xdr:to>
      <xdr:col>10</xdr:col>
      <xdr:colOff>1390919</xdr:colOff>
      <xdr:row>0</xdr:row>
      <xdr:rowOff>1502568</xdr:rowOff>
    </xdr:to>
    <xdr:sp macro="[0]!SER10_Step_06_Send_E_mail" textlink="">
      <xdr:nvSpPr>
        <xdr:cNvPr id="15" name="TextBox_Action_Ws10_Step_0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1776503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6 -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Send E-MAIL </a:t>
          </a:r>
        </a:p>
      </xdr:txBody>
    </xdr:sp>
    <xdr:clientData/>
  </xdr:twoCellAnchor>
  <xdr:twoCellAnchor editAs="absolute">
    <xdr:from>
      <xdr:col>0</xdr:col>
      <xdr:colOff>89298</xdr:colOff>
      <xdr:row>44</xdr:row>
      <xdr:rowOff>51591</xdr:rowOff>
    </xdr:from>
    <xdr:to>
      <xdr:col>0</xdr:col>
      <xdr:colOff>1643778</xdr:colOff>
      <xdr:row>48</xdr:row>
      <xdr:rowOff>132554</xdr:rowOff>
    </xdr:to>
    <xdr:sp macro="" textlink="">
      <xdr:nvSpPr>
        <xdr:cNvPr id="16" name="TextBox_Action_Ws10_Update_SP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89298" y="16811623"/>
          <a:ext cx="1554480" cy="938213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Update Design Tool</a:t>
          </a:r>
        </a:p>
      </xdr:txBody>
    </xdr:sp>
    <xdr:clientData/>
  </xdr:twoCellAnchor>
  <xdr:twoCellAnchor editAs="absolute">
    <xdr:from>
      <xdr:col>0</xdr:col>
      <xdr:colOff>113110</xdr:colOff>
      <xdr:row>22</xdr:row>
      <xdr:rowOff>547639</xdr:rowOff>
    </xdr:from>
    <xdr:to>
      <xdr:col>0</xdr:col>
      <xdr:colOff>1731598</xdr:colOff>
      <xdr:row>26</xdr:row>
      <xdr:rowOff>90343</xdr:rowOff>
    </xdr:to>
    <xdr:sp macro="[0]!SER10_00_Enter_Developer_Mode" textlink="">
      <xdr:nvSpPr>
        <xdr:cNvPr id="21" name="TextBox_Action_Developer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13110" y="10513170"/>
          <a:ext cx="1618488" cy="1316736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solidFill>
                <a:srgbClr val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Enter Dev. Mode</a:t>
          </a:r>
        </a:p>
      </xdr:txBody>
    </xdr:sp>
    <xdr:clientData/>
  </xdr:twoCellAnchor>
  <xdr:twoCellAnchor editAs="absolute">
    <xdr:from>
      <xdr:col>0</xdr:col>
      <xdr:colOff>69774</xdr:colOff>
      <xdr:row>33</xdr:row>
      <xdr:rowOff>30026</xdr:rowOff>
    </xdr:from>
    <xdr:to>
      <xdr:col>0</xdr:col>
      <xdr:colOff>1643778</xdr:colOff>
      <xdr:row>36</xdr:row>
      <xdr:rowOff>259814</xdr:rowOff>
    </xdr:to>
    <xdr:sp macro="[0]!SER10_00_Show_All_Tabs" textlink="">
      <xdr:nvSpPr>
        <xdr:cNvPr id="19" name="TextBox_Action_Ws10_Show_Tabs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69774" y="13448370"/>
          <a:ext cx="1574004" cy="944164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Show All Tabs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133350</xdr:rowOff>
        </xdr:from>
        <xdr:to>
          <xdr:col>16</xdr:col>
          <xdr:colOff>238125</xdr:colOff>
          <xdr:row>0</xdr:row>
          <xdr:rowOff>600075</xdr:rowOff>
        </xdr:to>
        <xdr:sp macro="" textlink="">
          <xdr:nvSpPr>
            <xdr:cNvPr id="1025" name="CheckBox_10_Device_Lapto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136923</xdr:colOff>
      <xdr:row>4</xdr:row>
      <xdr:rowOff>207480</xdr:rowOff>
    </xdr:from>
    <xdr:to>
      <xdr:col>0</xdr:col>
      <xdr:colOff>1691403</xdr:colOff>
      <xdr:row>7</xdr:row>
      <xdr:rowOff>291062</xdr:rowOff>
    </xdr:to>
    <xdr:sp macro="[0]!SER910_Workook_Navigate_To_Tab" textlink="">
      <xdr:nvSpPr>
        <xdr:cNvPr id="22" name="TextBox_Go_To_Soil_Profil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6923" y="3231668"/>
          <a:ext cx="1554480" cy="1131332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absoluteAnchor>
    <xdr:pos x="136923" y="89297"/>
    <xdr:ext cx="1554480" cy="1371600"/>
    <xdr:sp macro="" textlink="">
      <xdr:nvSpPr>
        <xdr:cNvPr id="24" name="TextBox_Wks_Project_Hom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36923" y="89297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Project Home</a:t>
          </a:r>
        </a:p>
        <a:p>
          <a:pPr algn="ctr"/>
          <a:endParaRPr lang="en-US" sz="600" b="0" kern="0" cap="none" spc="0" baseline="0">
            <a:solidFill>
              <a:schemeClr val="bg1"/>
            </a:solidFill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absoluteAnchor>
  <xdr:twoCellAnchor editAs="absolute">
    <xdr:from>
      <xdr:col>0</xdr:col>
      <xdr:colOff>136923</xdr:colOff>
      <xdr:row>1</xdr:row>
      <xdr:rowOff>47625</xdr:rowOff>
    </xdr:from>
    <xdr:to>
      <xdr:col>0</xdr:col>
      <xdr:colOff>1691403</xdr:colOff>
      <xdr:row>4</xdr:row>
      <xdr:rowOff>115492</xdr:rowOff>
    </xdr:to>
    <xdr:sp macro="[0]!SER910_Workook_Navigate_To_Tab" textlink="">
      <xdr:nvSpPr>
        <xdr:cNvPr id="23" name="TextBox_Go_To_Structure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6923" y="1702594"/>
          <a:ext cx="1554480" cy="1437086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136923</xdr:colOff>
      <xdr:row>8</xdr:row>
      <xdr:rowOff>73488</xdr:rowOff>
    </xdr:from>
    <xdr:to>
      <xdr:col>0</xdr:col>
      <xdr:colOff>1691403</xdr:colOff>
      <xdr:row>12</xdr:row>
      <xdr:rowOff>111587</xdr:rowOff>
    </xdr:to>
    <xdr:sp macro="[0]!SER910_Workook_Navigate_To_Tab" textlink="">
      <xdr:nvSpPr>
        <xdr:cNvPr id="25" name="TextBox_Go_To_Pile_Type_Desig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36923" y="4454988"/>
          <a:ext cx="1554480" cy="1454943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203598</xdr:colOff>
      <xdr:row>12</xdr:row>
      <xdr:rowOff>203575</xdr:rowOff>
    </xdr:from>
    <xdr:to>
      <xdr:col>0</xdr:col>
      <xdr:colOff>1691403</xdr:colOff>
      <xdr:row>16</xdr:row>
      <xdr:rowOff>45220</xdr:rowOff>
    </xdr:to>
    <xdr:sp macro="[0]!SER910_Workook_Navigate_To_Tab" textlink="">
      <xdr:nvSpPr>
        <xdr:cNvPr id="26" name="TextBox_Go_To_Lateral_Desig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03598" y="6001919"/>
          <a:ext cx="1487805" cy="1472801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0</xdr:col>
      <xdr:colOff>60249</xdr:colOff>
      <xdr:row>36</xdr:row>
      <xdr:rowOff>351802</xdr:rowOff>
    </xdr:from>
    <xdr:to>
      <xdr:col>0</xdr:col>
      <xdr:colOff>1643778</xdr:colOff>
      <xdr:row>39</xdr:row>
      <xdr:rowOff>232739</xdr:rowOff>
    </xdr:to>
    <xdr:sp macro="[0]!SER10_00_Clean_Smart_Pile" textlink="">
      <xdr:nvSpPr>
        <xdr:cNvPr id="27" name="TextBox_Action_Ws10_Clean_SmartP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60249" y="14484522"/>
          <a:ext cx="1583529" cy="1071562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Clean SmartPile</a:t>
          </a:r>
        </a:p>
      </xdr:txBody>
    </xdr:sp>
    <xdr:clientData/>
  </xdr:twoCellAnchor>
  <xdr:twoCellAnchor editAs="absolute">
    <xdr:from>
      <xdr:col>0</xdr:col>
      <xdr:colOff>130968</xdr:colOff>
      <xdr:row>16</xdr:row>
      <xdr:rowOff>130969</xdr:rowOff>
    </xdr:from>
    <xdr:to>
      <xdr:col>0</xdr:col>
      <xdr:colOff>1685448</xdr:colOff>
      <xdr:row>19</xdr:row>
      <xdr:rowOff>30003</xdr:rowOff>
    </xdr:to>
    <xdr:sp macro="[0]!SER910_Workook_Navigate_To_Tab" textlink="">
      <xdr:nvSpPr>
        <xdr:cNvPr id="28" name="TextBox_Go_To_Y_Library_Home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30968" y="7560469"/>
          <a:ext cx="1554480" cy="1315878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0</xdr:col>
      <xdr:colOff>83344</xdr:colOff>
      <xdr:row>27</xdr:row>
      <xdr:rowOff>35718</xdr:rowOff>
    </xdr:from>
    <xdr:to>
      <xdr:col>0</xdr:col>
      <xdr:colOff>1701832</xdr:colOff>
      <xdr:row>32</xdr:row>
      <xdr:rowOff>173735</xdr:rowOff>
    </xdr:to>
    <xdr:sp macro="[0]!SER910_Workook_Navigate_To_Tab" textlink="">
      <xdr:nvSpPr>
        <xdr:cNvPr id="29" name="TextBox_Go_To_Z_Template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83344" y="12037218"/>
          <a:ext cx="1618488" cy="1316736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Z Template</a:t>
          </a:r>
        </a:p>
      </xdr:txBody>
    </xdr:sp>
    <xdr:clientData/>
  </xdr:twoCellAnchor>
  <xdr:twoCellAnchor editAs="absolute">
    <xdr:from>
      <xdr:col>10</xdr:col>
      <xdr:colOff>1518656</xdr:colOff>
      <xdr:row>0</xdr:row>
      <xdr:rowOff>130968</xdr:rowOff>
    </xdr:from>
    <xdr:to>
      <xdr:col>10</xdr:col>
      <xdr:colOff>3027416</xdr:colOff>
      <xdr:row>0</xdr:row>
      <xdr:rowOff>1502568</xdr:rowOff>
    </xdr:to>
    <xdr:sp macro="[0]!SER10_00_Under_Construction" textlink="">
      <xdr:nvSpPr>
        <xdr:cNvPr id="30" name="TextBox_Action_Ws10_Step_07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13413000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7 -Generate IFC</a:t>
          </a:r>
        </a:p>
      </xdr:txBody>
    </xdr:sp>
    <xdr:clientData/>
  </xdr:twoCellAnchor>
  <xdr:twoCellAnchor editAs="absolute">
    <xdr:from>
      <xdr:col>0</xdr:col>
      <xdr:colOff>130969</xdr:colOff>
      <xdr:row>19</xdr:row>
      <xdr:rowOff>154781</xdr:rowOff>
    </xdr:from>
    <xdr:to>
      <xdr:col>0</xdr:col>
      <xdr:colOff>1685449</xdr:colOff>
      <xdr:row>22</xdr:row>
      <xdr:rowOff>351472</xdr:rowOff>
    </xdr:to>
    <xdr:sp macro="[0]!SER910_Workook_Navigate_To_Tab" textlink="">
      <xdr:nvSpPr>
        <xdr:cNvPr id="32" name="TextBox_Go_To_Submittal_Home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30969" y="9001125"/>
          <a:ext cx="1554480" cy="1315878"/>
        </a:xfrm>
        <a:prstGeom prst="roundRect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Submittal Home</a:t>
          </a:r>
        </a:p>
      </xdr:txBody>
    </xdr:sp>
    <xdr:clientData/>
  </xdr:twoCellAnchor>
  <xdr:twoCellAnchor editAs="absolute">
    <xdr:from>
      <xdr:col>2</xdr:col>
      <xdr:colOff>47626</xdr:colOff>
      <xdr:row>0</xdr:row>
      <xdr:rowOff>119062</xdr:rowOff>
    </xdr:from>
    <xdr:to>
      <xdr:col>2</xdr:col>
      <xdr:colOff>1556386</xdr:colOff>
      <xdr:row>0</xdr:row>
      <xdr:rowOff>1490662</xdr:rowOff>
    </xdr:to>
    <xdr:sp macro="[0]!SER10_Step_00_Import_Data_to_Latest_Version" textlink="">
      <xdr:nvSpPr>
        <xdr:cNvPr id="31" name="TextBox_Action_Ws10_Step_0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2190751" y="119062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Import data to this version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1134498</xdr:colOff>
      <xdr:row>0</xdr:row>
      <xdr:rowOff>166688</xdr:rowOff>
    </xdr:from>
    <xdr:to>
      <xdr:col>5</xdr:col>
      <xdr:colOff>1307692</xdr:colOff>
      <xdr:row>0</xdr:row>
      <xdr:rowOff>1538288</xdr:rowOff>
    </xdr:to>
    <xdr:sp macro="[0]!SER30_Step_03_Open_Form_Add_Shaft_Type" textlink="">
      <xdr:nvSpPr>
        <xdr:cNvPr id="8" name="TextBox_Action_Ws_30_Step_03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62564" y="166688"/>
          <a:ext cx="1459071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Add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Shaft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609600</xdr:colOff>
          <xdr:row>1</xdr:row>
          <xdr:rowOff>142875</xdr:rowOff>
        </xdr:from>
        <xdr:to>
          <xdr:col>14</xdr:col>
          <xdr:colOff>1562100</xdr:colOff>
          <xdr:row>3</xdr:row>
          <xdr:rowOff>133350</xdr:rowOff>
        </xdr:to>
        <xdr:sp macro="" textlink="">
          <xdr:nvSpPr>
            <xdr:cNvPr id="2052" name="CheckBox_30_Structur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119062</xdr:colOff>
      <xdr:row>24</xdr:row>
      <xdr:rowOff>142871</xdr:rowOff>
    </xdr:from>
    <xdr:to>
      <xdr:col>0</xdr:col>
      <xdr:colOff>1673542</xdr:colOff>
      <xdr:row>31</xdr:row>
      <xdr:rowOff>14284</xdr:rowOff>
    </xdr:to>
    <xdr:sp macro="[0]!SER910_Workook_Navigate_To_Tab" textlink="">
      <xdr:nvSpPr>
        <xdr:cNvPr id="11" name="TextBox_Go_To_Y_Library_Hom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19062" y="8120059"/>
          <a:ext cx="155448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0</xdr:col>
      <xdr:colOff>71437</xdr:colOff>
      <xdr:row>6</xdr:row>
      <xdr:rowOff>111621</xdr:rowOff>
    </xdr:from>
    <xdr:to>
      <xdr:col>0</xdr:col>
      <xdr:colOff>1625917</xdr:colOff>
      <xdr:row>11</xdr:row>
      <xdr:rowOff>185440</xdr:rowOff>
    </xdr:to>
    <xdr:sp macro="[0]!SER910_Workook_Navigate_To_Tab" textlink="">
      <xdr:nvSpPr>
        <xdr:cNvPr id="12" name="TextBox_Go_To_Soil_Profil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1437" y="3338215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71437</xdr:colOff>
      <xdr:row>1</xdr:row>
      <xdr:rowOff>101204</xdr:rowOff>
    </xdr:from>
    <xdr:to>
      <xdr:col>0</xdr:col>
      <xdr:colOff>1625917</xdr:colOff>
      <xdr:row>5</xdr:row>
      <xdr:rowOff>329804</xdr:rowOff>
    </xdr:to>
    <xdr:sp macro="[0]!SER910_Workook_Navigate_To_Tab" textlink="">
      <xdr:nvSpPr>
        <xdr:cNvPr id="10" name="TextBox_Go_To_Project_Home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1437" y="1744267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136923</xdr:colOff>
      <xdr:row>0</xdr:row>
      <xdr:rowOff>160735</xdr:rowOff>
    </xdr:from>
    <xdr:to>
      <xdr:col>0</xdr:col>
      <xdr:colOff>1691403</xdr:colOff>
      <xdr:row>0</xdr:row>
      <xdr:rowOff>1532335</xdr:rowOff>
    </xdr:to>
    <xdr:sp macro="" textlink="">
      <xdr:nvSpPr>
        <xdr:cNvPr id="13" name="TextBox_Go_To_Structure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136923" y="160735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0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  <a:p>
          <a:pPr algn="ctr"/>
          <a:endParaRPr lang="en-US" sz="600" b="0" kern="0" cap="none" spc="0" baseline="0"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202407</xdr:colOff>
      <xdr:row>0</xdr:row>
      <xdr:rowOff>184548</xdr:rowOff>
    </xdr:from>
    <xdr:to>
      <xdr:col>2</xdr:col>
      <xdr:colOff>1453278</xdr:colOff>
      <xdr:row>0</xdr:row>
      <xdr:rowOff>1556148</xdr:rowOff>
    </xdr:to>
    <xdr:sp macro="[0]!SER30_Step_01_Add_Structures" textlink="">
      <xdr:nvSpPr>
        <xdr:cNvPr id="14" name="TextBox_Action_Ws30_Step_0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113361" y="184548"/>
          <a:ext cx="1554480" cy="1371600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Add Structures</a:t>
          </a:r>
        </a:p>
      </xdr:txBody>
    </xdr:sp>
    <xdr:clientData/>
  </xdr:twoCellAnchor>
  <xdr:twoCellAnchor editAs="absolute">
    <xdr:from>
      <xdr:col>0</xdr:col>
      <xdr:colOff>71437</xdr:colOff>
      <xdr:row>11</xdr:row>
      <xdr:rowOff>407788</xdr:rowOff>
    </xdr:from>
    <xdr:to>
      <xdr:col>0</xdr:col>
      <xdr:colOff>1625917</xdr:colOff>
      <xdr:row>16</xdr:row>
      <xdr:rowOff>41075</xdr:rowOff>
    </xdr:to>
    <xdr:sp macro="[0]!SER910_Workook_Navigate_To_Tab" textlink="">
      <xdr:nvSpPr>
        <xdr:cNvPr id="9" name="TextBox_Go_To_Pile_Type_Desig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1437" y="4932163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71437</xdr:colOff>
      <xdr:row>17</xdr:row>
      <xdr:rowOff>49111</xdr:rowOff>
    </xdr:from>
    <xdr:to>
      <xdr:col>0</xdr:col>
      <xdr:colOff>1625917</xdr:colOff>
      <xdr:row>23</xdr:row>
      <xdr:rowOff>134836</xdr:rowOff>
    </xdr:to>
    <xdr:sp macro="[0]!SER910_Workook_Navigate_To_Tab" textlink="">
      <xdr:nvSpPr>
        <xdr:cNvPr id="15" name="TextBox_Go_To_Lateral_Design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71437" y="6526111"/>
          <a:ext cx="1554480" cy="1371600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5</xdr:col>
      <xdr:colOff>1408339</xdr:colOff>
      <xdr:row>0</xdr:row>
      <xdr:rowOff>166688</xdr:rowOff>
    </xdr:from>
    <xdr:to>
      <xdr:col>7</xdr:col>
      <xdr:colOff>127272</xdr:colOff>
      <xdr:row>0</xdr:row>
      <xdr:rowOff>1538288</xdr:rowOff>
    </xdr:to>
    <xdr:sp macro="[0]!SER30_Step_03_Open_Form_Add_Cap_Type" textlink="">
      <xdr:nvSpPr>
        <xdr:cNvPr id="17" name="TextBox_Action_Ws_30_Step_04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6822282" y="166688"/>
          <a:ext cx="1459071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4 -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Add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Cap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1</xdr:row>
          <xdr:rowOff>142875</xdr:rowOff>
        </xdr:from>
        <xdr:to>
          <xdr:col>24</xdr:col>
          <xdr:colOff>142875</xdr:colOff>
          <xdr:row>3</xdr:row>
          <xdr:rowOff>133350</xdr:rowOff>
        </xdr:to>
        <xdr:sp macro="" textlink="">
          <xdr:nvSpPr>
            <xdr:cNvPr id="2054" name="CheckBox_30_Cap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1559719</xdr:colOff>
      <xdr:row>0</xdr:row>
      <xdr:rowOff>154781</xdr:rowOff>
    </xdr:from>
    <xdr:to>
      <xdr:col>4</xdr:col>
      <xdr:colOff>1057821</xdr:colOff>
      <xdr:row>0</xdr:row>
      <xdr:rowOff>1538348</xdr:rowOff>
    </xdr:to>
    <xdr:sp macro="[0]!SER30_Step_02_Calculate_Loads" textlink="">
      <xdr:nvSpPr>
        <xdr:cNvPr id="18" name="TextBox_Action_Ws30_Step_0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3631407" y="154781"/>
          <a:ext cx="1554480" cy="1383567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 Initialize Loads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923925</xdr:rowOff>
        </xdr:from>
        <xdr:to>
          <xdr:col>11</xdr:col>
          <xdr:colOff>647700</xdr:colOff>
          <xdr:row>0</xdr:row>
          <xdr:rowOff>1428750</xdr:rowOff>
        </xdr:to>
        <xdr:sp macro="" textlink="">
          <xdr:nvSpPr>
            <xdr:cNvPr id="2059" name="CheckBox_30_Row_Las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0</xdr:row>
          <xdr:rowOff>371475</xdr:rowOff>
        </xdr:from>
        <xdr:to>
          <xdr:col>11</xdr:col>
          <xdr:colOff>190500</xdr:colOff>
          <xdr:row>0</xdr:row>
          <xdr:rowOff>695325</xdr:rowOff>
        </xdr:to>
        <xdr:sp macro="" textlink="">
          <xdr:nvSpPr>
            <xdr:cNvPr id="2060" name="CheckBox_30_Multiple_Row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1581544</xdr:colOff>
      <xdr:row>0</xdr:row>
      <xdr:rowOff>202406</xdr:rowOff>
    </xdr:from>
    <xdr:to>
      <xdr:col>4</xdr:col>
      <xdr:colOff>238124</xdr:colOff>
      <xdr:row>0</xdr:row>
      <xdr:rowOff>842486</xdr:rowOff>
    </xdr:to>
    <xdr:sp macro="[0]!SER40_00_Step_02_Add_Soil_Layer" textlink="">
      <xdr:nvSpPr>
        <xdr:cNvPr id="5" name="TextBox_Action_40_Step_0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3546075" y="202406"/>
          <a:ext cx="1728393" cy="64008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US" sz="16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+ Add Last Row +
 Soil Axial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266700</xdr:rowOff>
        </xdr:from>
        <xdr:to>
          <xdr:col>15</xdr:col>
          <xdr:colOff>1104900</xdr:colOff>
          <xdr:row>0</xdr:row>
          <xdr:rowOff>742950</xdr:rowOff>
        </xdr:to>
        <xdr:sp macro="" textlink="">
          <xdr:nvSpPr>
            <xdr:cNvPr id="3074" name="CheckBox_40_Axial_vs_Latera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723900</xdr:rowOff>
        </xdr:from>
        <xdr:to>
          <xdr:col>13</xdr:col>
          <xdr:colOff>600075</xdr:colOff>
          <xdr:row>0</xdr:row>
          <xdr:rowOff>1190625</xdr:rowOff>
        </xdr:to>
        <xdr:sp macro="" textlink="">
          <xdr:nvSpPr>
            <xdr:cNvPr id="3075" name="CheckBox_40_Use_N_Valu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35718" y="7975202"/>
    <xdr:ext cx="1554480" cy="1371600"/>
    <xdr:sp macro="[0]!SER910_Workook_Navigate_To_Tab" textlink="">
      <xdr:nvSpPr>
        <xdr:cNvPr id="12" name="TextBox_Go_To_Y_Library_Home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5718" y="7975202"/>
          <a:ext cx="155448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absoluteAnchor>
  <xdr:twoCellAnchor editAs="absolute">
    <xdr:from>
      <xdr:col>2</xdr:col>
      <xdr:colOff>1575593</xdr:colOff>
      <xdr:row>0</xdr:row>
      <xdr:rowOff>934640</xdr:rowOff>
    </xdr:from>
    <xdr:to>
      <xdr:col>4</xdr:col>
      <xdr:colOff>226218</xdr:colOff>
      <xdr:row>0</xdr:row>
      <xdr:rowOff>1574720</xdr:rowOff>
    </xdr:to>
    <xdr:sp macro="[0]!SER40_00_Step_03_Delete_Soil_Layer" textlink="">
      <xdr:nvSpPr>
        <xdr:cNvPr id="14" name="TextBox_Action_40_Step_0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540124" y="934640"/>
          <a:ext cx="1722438" cy="64008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US" sz="16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- Delete Last Row -
 Soil Axial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152400</xdr:rowOff>
        </xdr:from>
        <xdr:to>
          <xdr:col>4</xdr:col>
          <xdr:colOff>47625</xdr:colOff>
          <xdr:row>21</xdr:row>
          <xdr:rowOff>76200</xdr:rowOff>
        </xdr:to>
        <xdr:sp macro="" textlink="">
          <xdr:nvSpPr>
            <xdr:cNvPr id="3085" name="CheckBox_40_N_Value_QS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10</xdr:row>
          <xdr:rowOff>0</xdr:rowOff>
        </xdr:from>
        <xdr:to>
          <xdr:col>9</xdr:col>
          <xdr:colOff>9525</xdr:colOff>
          <xdr:row>11</xdr:row>
          <xdr:rowOff>38100</xdr:rowOff>
        </xdr:to>
        <xdr:sp macro="" textlink="">
          <xdr:nvSpPr>
            <xdr:cNvPr id="3090" name="CheckBox_40_Lateral_QS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200025</xdr:rowOff>
        </xdr:from>
        <xdr:to>
          <xdr:col>9</xdr:col>
          <xdr:colOff>28575</xdr:colOff>
          <xdr:row>16</xdr:row>
          <xdr:rowOff>47625</xdr:rowOff>
        </xdr:to>
        <xdr:sp macro="" textlink="">
          <xdr:nvSpPr>
            <xdr:cNvPr id="3091" name="CheckBox_40_Axial_QS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154782</xdr:rowOff>
    </xdr:from>
    <xdr:to>
      <xdr:col>0</xdr:col>
      <xdr:colOff>1602105</xdr:colOff>
      <xdr:row>0</xdr:row>
      <xdr:rowOff>1526382</xdr:rowOff>
    </xdr:to>
    <xdr:sp macro="" textlink="">
      <xdr:nvSpPr>
        <xdr:cNvPr id="39" name="TextBox_Wks_Soil_Profile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47625" y="154782"/>
          <a:ext cx="1554480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4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1</xdr:col>
      <xdr:colOff>178594</xdr:colOff>
      <xdr:row>0</xdr:row>
      <xdr:rowOff>178594</xdr:rowOff>
    </xdr:from>
    <xdr:to>
      <xdr:col>2</xdr:col>
      <xdr:colOff>1429464</xdr:colOff>
      <xdr:row>0</xdr:row>
      <xdr:rowOff>1550194</xdr:rowOff>
    </xdr:to>
    <xdr:sp macro="" textlink="">
      <xdr:nvSpPr>
        <xdr:cNvPr id="29" name="TextBox_Action_40_Step_0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1976438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General Properties</a:t>
          </a:r>
        </a:p>
      </xdr:txBody>
    </xdr:sp>
    <xdr:clientData/>
  </xdr:twoCellAnchor>
  <xdr:absoluteAnchor>
    <xdr:pos x="47625" y="1666875"/>
    <xdr:ext cx="1554480" cy="1371600"/>
    <xdr:sp macro="[0]!SER910_Workook_Navigate_To_Tab" textlink="">
      <xdr:nvSpPr>
        <xdr:cNvPr id="30" name="TextBox_Go_To_Project_Home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47625" y="166687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4</xdr:col>
      <xdr:colOff>523875</xdr:colOff>
      <xdr:row>0</xdr:row>
      <xdr:rowOff>178594</xdr:rowOff>
    </xdr:from>
    <xdr:to>
      <xdr:col>6</xdr:col>
      <xdr:colOff>5117</xdr:colOff>
      <xdr:row>0</xdr:row>
      <xdr:rowOff>1554880</xdr:rowOff>
    </xdr:to>
    <xdr:sp macro="[0]!SER40_00_Show_Usr_Frm_40_Z_Cheat_Blow_Counts" textlink="">
      <xdr:nvSpPr>
        <xdr:cNvPr id="28" name="TextBox_Action_40_Step_01a_Blow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5560219" y="178594"/>
          <a:ext cx="1410054" cy="1376286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Blow Counts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Cheat Sheet</a:t>
          </a:r>
        </a:p>
      </xdr:txBody>
    </xdr:sp>
    <xdr:clientData/>
  </xdr:twoCellAnchor>
  <xdr:twoCellAnchor editAs="absolute">
    <xdr:from>
      <xdr:col>6</xdr:col>
      <xdr:colOff>71437</xdr:colOff>
      <xdr:row>0</xdr:row>
      <xdr:rowOff>190500</xdr:rowOff>
    </xdr:from>
    <xdr:to>
      <xdr:col>7</xdr:col>
      <xdr:colOff>338491</xdr:colOff>
      <xdr:row>0</xdr:row>
      <xdr:rowOff>1566786</xdr:rowOff>
    </xdr:to>
    <xdr:sp macro="[0]!SER40_00_Show_Usr_Frm_40_Z_Cheat_Corrosion" textlink="">
      <xdr:nvSpPr>
        <xdr:cNvPr id="31" name="TextBox_Action_40_Step_01b_Corr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7036593" y="190500"/>
          <a:ext cx="1457679" cy="1376286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Corrosion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Cheat Sheet</a:t>
          </a:r>
        </a:p>
      </xdr:txBody>
    </xdr:sp>
    <xdr:clientData/>
  </xdr:twoCellAnchor>
  <xdr:twoCellAnchor editAs="absolute">
    <xdr:from>
      <xdr:col>9</xdr:col>
      <xdr:colOff>35719</xdr:colOff>
      <xdr:row>0</xdr:row>
      <xdr:rowOff>178594</xdr:rowOff>
    </xdr:from>
    <xdr:to>
      <xdr:col>11</xdr:col>
      <xdr:colOff>572215</xdr:colOff>
      <xdr:row>0</xdr:row>
      <xdr:rowOff>1550194</xdr:rowOff>
    </xdr:to>
    <xdr:sp macro="[0]!SER40_00_Step_04_Create_Soil_Profile" textlink="">
      <xdr:nvSpPr>
        <xdr:cNvPr id="32" name="TextBox_Action_40_Step_04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11174017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2 -Generate Soil Profile</a:t>
          </a:r>
        </a:p>
      </xdr:txBody>
    </xdr:sp>
    <xdr:clientData/>
  </xdr:twoCellAnchor>
  <xdr:twoCellAnchor editAs="absolute">
    <xdr:from>
      <xdr:col>0</xdr:col>
      <xdr:colOff>47625</xdr:colOff>
      <xdr:row>6</xdr:row>
      <xdr:rowOff>48121</xdr:rowOff>
    </xdr:from>
    <xdr:to>
      <xdr:col>0</xdr:col>
      <xdr:colOff>1602105</xdr:colOff>
      <xdr:row>11</xdr:row>
      <xdr:rowOff>139798</xdr:rowOff>
    </xdr:to>
    <xdr:sp macro="[0]!SER910_Workook_Navigate_To_Tab" textlink="">
      <xdr:nvSpPr>
        <xdr:cNvPr id="18" name="TextBox_Go_To_Structures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47625" y="3143746"/>
          <a:ext cx="1554480" cy="1270396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47625</xdr:colOff>
      <xdr:row>11</xdr:row>
      <xdr:rowOff>245069</xdr:rowOff>
    </xdr:from>
    <xdr:to>
      <xdr:col>0</xdr:col>
      <xdr:colOff>1602105</xdr:colOff>
      <xdr:row>16</xdr:row>
      <xdr:rowOff>112514</xdr:rowOff>
    </xdr:to>
    <xdr:sp macro="[0]!SER910_Workook_Navigate_To_Tab" textlink="">
      <xdr:nvSpPr>
        <xdr:cNvPr id="19" name="TextBox_Go_To_Pile_Type_Design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47625" y="4519413"/>
          <a:ext cx="1554480" cy="1272382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47625</xdr:colOff>
      <xdr:row>16</xdr:row>
      <xdr:rowOff>209848</xdr:rowOff>
    </xdr:from>
    <xdr:to>
      <xdr:col>0</xdr:col>
      <xdr:colOff>1602105</xdr:colOff>
      <xdr:row>22</xdr:row>
      <xdr:rowOff>158648</xdr:rowOff>
    </xdr:to>
    <xdr:sp macro="[0]!SER910_Workook_Navigate_To_Tab" textlink="">
      <xdr:nvSpPr>
        <xdr:cNvPr id="20" name="TextBox_Go_To_Lateral_Design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7625" y="5897066"/>
          <a:ext cx="1554480" cy="1472802"/>
        </a:xfrm>
        <a:prstGeom prst="roundRect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1250156</xdr:colOff>
      <xdr:row>0</xdr:row>
      <xdr:rowOff>214313</xdr:rowOff>
    </xdr:from>
    <xdr:to>
      <xdr:col>4</xdr:col>
      <xdr:colOff>248603</xdr:colOff>
      <xdr:row>0</xdr:row>
      <xdr:rowOff>1585913</xdr:rowOff>
    </xdr:to>
    <xdr:sp macro="" textlink="">
      <xdr:nvSpPr>
        <xdr:cNvPr id="3" name="TextBox_Action_Ws50_Step_0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935016" y="214313"/>
          <a:ext cx="155233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 </a:t>
          </a:r>
        </a:p>
      </xdr:txBody>
    </xdr:sp>
    <xdr:clientData/>
  </xdr:twoCellAnchor>
  <xdr:twoCellAnchor editAs="absolute">
    <xdr:from>
      <xdr:col>0</xdr:col>
      <xdr:colOff>95249</xdr:colOff>
      <xdr:row>1</xdr:row>
      <xdr:rowOff>101203</xdr:rowOff>
    </xdr:from>
    <xdr:to>
      <xdr:col>0</xdr:col>
      <xdr:colOff>1649729</xdr:colOff>
      <xdr:row>4</xdr:row>
      <xdr:rowOff>246459</xdr:rowOff>
    </xdr:to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5249" y="1720453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95249</xdr:colOff>
      <xdr:row>0</xdr:row>
      <xdr:rowOff>142876</xdr:rowOff>
    </xdr:from>
    <xdr:to>
      <xdr:col>0</xdr:col>
      <xdr:colOff>1649729</xdr:colOff>
      <xdr:row>0</xdr:row>
      <xdr:rowOff>1514476</xdr:rowOff>
    </xdr:to>
    <xdr:sp macro="" textlink="">
      <xdr:nvSpPr>
        <xdr:cNvPr id="5" name="TextBox_Go_To_Pile_Type_Design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5249" y="142876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6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  <a:p>
          <a:pPr algn="ctr"/>
          <a:endParaRPr lang="en-US" sz="600" b="0" kern="0" cap="none" spc="0" baseline="0"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119061</xdr:colOff>
      <xdr:row>6</xdr:row>
      <xdr:rowOff>119326</xdr:rowOff>
    </xdr:from>
    <xdr:to>
      <xdr:col>0</xdr:col>
      <xdr:colOff>1673541</xdr:colOff>
      <xdr:row>12</xdr:row>
      <xdr:rowOff>205051</xdr:rowOff>
    </xdr:to>
    <xdr:sp macro="[0]!SER910_Workook_Navigate_To_Tab" textlink="">
      <xdr:nvSpPr>
        <xdr:cNvPr id="7" name="TextBox_Go_To_Structures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19061" y="3155420"/>
          <a:ext cx="1554480" cy="137160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 fPrintsWithSheet="0"/>
  </xdr:twoCellAnchor>
  <xdr:twoCellAnchor editAs="absolute">
    <xdr:from>
      <xdr:col>1</xdr:col>
      <xdr:colOff>190500</xdr:colOff>
      <xdr:row>0</xdr:row>
      <xdr:rowOff>178594</xdr:rowOff>
    </xdr:from>
    <xdr:to>
      <xdr:col>3</xdr:col>
      <xdr:colOff>1066324</xdr:colOff>
      <xdr:row>0</xdr:row>
      <xdr:rowOff>1550194</xdr:rowOff>
    </xdr:to>
    <xdr:sp macro="[0]!SER50_00_Step_01_Add_Shafts" textlink="">
      <xdr:nvSpPr>
        <xdr:cNvPr id="8" name="TextBox_Action_Ws30_Step_0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196704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Design New Shaft Type </a:t>
          </a:r>
        </a:p>
      </xdr:txBody>
    </xdr:sp>
    <xdr:clientData/>
  </xdr:twoCellAnchor>
  <xdr:twoCellAnchor editAs="absolute">
    <xdr:from>
      <xdr:col>0</xdr:col>
      <xdr:colOff>95249</xdr:colOff>
      <xdr:row>13</xdr:row>
      <xdr:rowOff>122370</xdr:rowOff>
    </xdr:from>
    <xdr:to>
      <xdr:col>0</xdr:col>
      <xdr:colOff>1649729</xdr:colOff>
      <xdr:row>19</xdr:row>
      <xdr:rowOff>208095</xdr:rowOff>
    </xdr:to>
    <xdr:sp macro="[0]!SER910_Workook_Navigate_To_Tab" textlink="">
      <xdr:nvSpPr>
        <xdr:cNvPr id="10" name="TextBox_Go_To_Soil_Profil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95249" y="4658651"/>
          <a:ext cx="1554480" cy="1371600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4</xdr:col>
      <xdr:colOff>392905</xdr:colOff>
      <xdr:row>0</xdr:row>
      <xdr:rowOff>214313</xdr:rowOff>
    </xdr:from>
    <xdr:to>
      <xdr:col>4</xdr:col>
      <xdr:colOff>1959134</xdr:colOff>
      <xdr:row>0</xdr:row>
      <xdr:rowOff>1585913</xdr:rowOff>
    </xdr:to>
    <xdr:sp macro="" textlink="">
      <xdr:nvSpPr>
        <xdr:cNvPr id="9" name="TextBox_Action_Ws30_Step_0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464968" y="214313"/>
          <a:ext cx="157019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 </a:t>
          </a:r>
        </a:p>
      </xdr:txBody>
    </xdr:sp>
    <xdr:clientData/>
  </xdr:twoCellAnchor>
  <xdr:twoCellAnchor editAs="absolute">
    <xdr:from>
      <xdr:col>0</xdr:col>
      <xdr:colOff>83343</xdr:colOff>
      <xdr:row>20</xdr:row>
      <xdr:rowOff>92605</xdr:rowOff>
    </xdr:from>
    <xdr:to>
      <xdr:col>0</xdr:col>
      <xdr:colOff>1637823</xdr:colOff>
      <xdr:row>26</xdr:row>
      <xdr:rowOff>178330</xdr:rowOff>
    </xdr:to>
    <xdr:sp macro="[0]!SER910_Workook_Navigate_To_Tab" textlink="">
      <xdr:nvSpPr>
        <xdr:cNvPr id="11" name="TextBox_Go_To_Lateral_Design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83343" y="6129074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4</xdr:col>
      <xdr:colOff>677228</xdr:colOff>
      <xdr:row>0</xdr:row>
      <xdr:rowOff>1562101</xdr:rowOff>
    </xdr:to>
    <xdr:sp macro="" textlink="">
      <xdr:nvSpPr>
        <xdr:cNvPr id="3" name="TextBox_Action_Ws60_Step_0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Refresh LPile Combinations</a:t>
          </a:r>
        </a:p>
      </xdr:txBody>
    </xdr:sp>
    <xdr:clientData/>
  </xdr:twoCellAnchor>
  <xdr:twoCellAnchor editAs="absolute">
    <xdr:from>
      <xdr:col>0</xdr:col>
      <xdr:colOff>71437</xdr:colOff>
      <xdr:row>1</xdr:row>
      <xdr:rowOff>59531</xdr:rowOff>
    </xdr:from>
    <xdr:to>
      <xdr:col>0</xdr:col>
      <xdr:colOff>1625917</xdr:colOff>
      <xdr:row>6</xdr:row>
      <xdr:rowOff>85725</xdr:rowOff>
    </xdr:to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1437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71437</xdr:colOff>
      <xdr:row>6</xdr:row>
      <xdr:rowOff>159705</xdr:rowOff>
    </xdr:from>
    <xdr:to>
      <xdr:col>0</xdr:col>
      <xdr:colOff>1625917</xdr:colOff>
      <xdr:row>11</xdr:row>
      <xdr:rowOff>166057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1437" y="3148174"/>
          <a:ext cx="1554480" cy="1316039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71437</xdr:colOff>
      <xdr:row>12</xdr:row>
      <xdr:rowOff>25723</xdr:rowOff>
    </xdr:from>
    <xdr:to>
      <xdr:col>0</xdr:col>
      <xdr:colOff>1625917</xdr:colOff>
      <xdr:row>18</xdr:row>
      <xdr:rowOff>92707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1437" y="4538193"/>
          <a:ext cx="1554480" cy="1340952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142875</xdr:colOff>
      <xdr:row>0</xdr:row>
      <xdr:rowOff>83344</xdr:rowOff>
    </xdr:from>
    <xdr:to>
      <xdr:col>0</xdr:col>
      <xdr:colOff>1697355</xdr:colOff>
      <xdr:row>0</xdr:row>
      <xdr:rowOff>1556146</xdr:rowOff>
    </xdr:to>
    <xdr:sp macro="" textlink="">
      <xdr:nvSpPr>
        <xdr:cNvPr id="7" name="TextBox_Go_To_Lateral_Design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42875" y="83344"/>
          <a:ext cx="1554480" cy="1472802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0</xdr:col>
      <xdr:colOff>71437</xdr:colOff>
      <xdr:row>18</xdr:row>
      <xdr:rowOff>166687</xdr:rowOff>
    </xdr:from>
    <xdr:to>
      <xdr:col>0</xdr:col>
      <xdr:colOff>1625917</xdr:colOff>
      <xdr:row>24</xdr:row>
      <xdr:rowOff>117475</xdr:rowOff>
    </xdr:to>
    <xdr:sp macro="[0]!SER910_Workook_Navigate_To_Tab" textlink="">
      <xdr:nvSpPr>
        <xdr:cNvPr id="8" name="TextBox_Go_To_Pile_Type_Design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1437" y="5953125"/>
          <a:ext cx="1554480" cy="1272381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2</xdr:col>
      <xdr:colOff>1320165</xdr:colOff>
      <xdr:row>0</xdr:row>
      <xdr:rowOff>1562101</xdr:rowOff>
    </xdr:to>
    <xdr:sp macro="" textlink="">
      <xdr:nvSpPr>
        <xdr:cNvPr id="3" name="TextBox_Action_Ws30_Step_0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83344</xdr:colOff>
      <xdr:row>0</xdr:row>
      <xdr:rowOff>107156</xdr:rowOff>
    </xdr:from>
    <xdr:to>
      <xdr:col>0</xdr:col>
      <xdr:colOff>1637824</xdr:colOff>
      <xdr:row>0</xdr:row>
      <xdr:rowOff>1478756</xdr:rowOff>
    </xdr:to>
    <xdr:sp macro="[0]!SER910_Workook_Navigate_To_Tab" textlink="">
      <xdr:nvSpPr>
        <xdr:cNvPr id="5" name="Textbox_Go_To_Submittal_Home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83344" y="107156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[0]!SER71_Step_01_Generate_Cover_Letter" textlink="">
      <xdr:nvSpPr>
        <xdr:cNvPr id="3" name="TextBox_Action_Ws71_Step_0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Generate Cover Letter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5" name="Textbox_Go_To_Submittal_Home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2</xdr:col>
      <xdr:colOff>1320165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" textlink="">
      <xdr:nvSpPr>
        <xdr:cNvPr id="2" name="TextBox_X1_Helpers_Hom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89297" y="3196829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77390" y="4560095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89297" y="5965031"/>
          <a:ext cx="1554480" cy="1413273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117792</xdr:rowOff>
    </xdr:from>
    <xdr:to>
      <xdr:col>0</xdr:col>
      <xdr:colOff>1643777</xdr:colOff>
      <xdr:row>14</xdr:row>
      <xdr:rowOff>84455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89297" y="3261042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152241</xdr:rowOff>
    </xdr:from>
    <xdr:to>
      <xdr:col>0</xdr:col>
      <xdr:colOff>1631870</xdr:colOff>
      <xdr:row>20</xdr:row>
      <xdr:rowOff>182244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/>
      </xdr:nvSpPr>
      <xdr:spPr>
        <a:xfrm>
          <a:off x="77390" y="4581366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4</xdr:row>
      <xdr:rowOff>196454</xdr:rowOff>
    </xdr:from>
    <xdr:to>
      <xdr:col>0</xdr:col>
      <xdr:colOff>1643777</xdr:colOff>
      <xdr:row>10</xdr:row>
      <xdr:rowOff>139304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11</xdr:row>
      <xdr:rowOff>35720</xdr:rowOff>
    </xdr:from>
    <xdr:to>
      <xdr:col>0</xdr:col>
      <xdr:colOff>1631870</xdr:colOff>
      <xdr:row>17</xdr:row>
      <xdr:rowOff>65723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17</xdr:row>
      <xdr:rowOff>154781</xdr:rowOff>
    </xdr:from>
    <xdr:to>
      <xdr:col>0</xdr:col>
      <xdr:colOff>1643777</xdr:colOff>
      <xdr:row>24</xdr:row>
      <xdr:rowOff>67866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1853045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0" y="185304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29765</xdr:colOff>
      <xdr:row>8</xdr:row>
      <xdr:rowOff>128263</xdr:rowOff>
    </xdr:from>
    <xdr:to>
      <xdr:col>0</xdr:col>
      <xdr:colOff>1584245</xdr:colOff>
      <xdr:row>14</xdr:row>
      <xdr:rowOff>133892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29765" y="3228218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17858</xdr:colOff>
      <xdr:row>15</xdr:row>
      <xdr:rowOff>36802</xdr:rowOff>
    </xdr:from>
    <xdr:to>
      <xdr:col>0</xdr:col>
      <xdr:colOff>1572338</xdr:colOff>
      <xdr:row>21</xdr:row>
      <xdr:rowOff>105771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17858" y="4591484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29765</xdr:colOff>
      <xdr:row>21</xdr:row>
      <xdr:rowOff>194829</xdr:rowOff>
    </xdr:from>
    <xdr:to>
      <xdr:col>0</xdr:col>
      <xdr:colOff>1584245</xdr:colOff>
      <xdr:row>28</xdr:row>
      <xdr:rowOff>153375</xdr:rowOff>
    </xdr:to>
    <xdr:sp macro="[0]!SER910_Workook_Navigate_To_Tab" textlink="">
      <xdr:nvSpPr>
        <xdr:cNvPr id="7" name="TextBox_Go_To_Pile_Type_Design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 txBox="1"/>
      </xdr:nvSpPr>
      <xdr:spPr>
        <a:xfrm>
          <a:off x="29765" y="5996420"/>
          <a:ext cx="1554480" cy="1413273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114300</xdr:colOff>
      <xdr:row>0</xdr:row>
      <xdr:rowOff>123825</xdr:rowOff>
    </xdr:from>
    <xdr:to>
      <xdr:col>0</xdr:col>
      <xdr:colOff>1668780</xdr:colOff>
      <xdr:row>0</xdr:row>
      <xdr:rowOff>1495425</xdr:rowOff>
    </xdr:to>
    <xdr:sp macro="[0]!SER910_Workook_Navigate_To_Tab" textlink="">
      <xdr:nvSpPr>
        <xdr:cNvPr id="8" name="Textbox_Go_To_X1_Helpers_Home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 txBox="1"/>
      </xdr:nvSpPr>
      <xdr:spPr>
        <a:xfrm>
          <a:off x="114300" y="123825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" textlink="">
      <xdr:nvSpPr>
        <xdr:cNvPr id="2" name="TextBox_X2_Queries_Hom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</a:t>
          </a:r>
        </a:p>
      </xdr:txBody>
    </xdr:sp>
    <xdr:clientData/>
  </xdr:twoCellAnchor>
  <xdr:absoluteAnchor>
    <xdr:pos x="184548" y="1774031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84548" y="1774031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214313</xdr:colOff>
      <xdr:row>8</xdr:row>
      <xdr:rowOff>5954</xdr:rowOff>
    </xdr:from>
    <xdr:to>
      <xdr:col>0</xdr:col>
      <xdr:colOff>1768793</xdr:colOff>
      <xdr:row>13</xdr:row>
      <xdr:rowOff>186929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 txBox="1"/>
      </xdr:nvSpPr>
      <xdr:spPr>
        <a:xfrm>
          <a:off x="214313" y="3256360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202406</xdr:colOff>
      <xdr:row>14</xdr:row>
      <xdr:rowOff>83345</xdr:rowOff>
    </xdr:from>
    <xdr:to>
      <xdr:col>0</xdr:col>
      <xdr:colOff>1756886</xdr:colOff>
      <xdr:row>20</xdr:row>
      <xdr:rowOff>113348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202406" y="4732736"/>
          <a:ext cx="1554480" cy="128016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214313</xdr:colOff>
      <xdr:row>20</xdr:row>
      <xdr:rowOff>202406</xdr:rowOff>
    </xdr:from>
    <xdr:to>
      <xdr:col>0</xdr:col>
      <xdr:colOff>1768793</xdr:colOff>
      <xdr:row>27</xdr:row>
      <xdr:rowOff>115491</xdr:rowOff>
    </xdr:to>
    <xdr:sp macro="[0]!SER910_Workook_Navigate_To_Tab" textlink="">
      <xdr:nvSpPr>
        <xdr:cNvPr id="7" name="TextBox_Go_To_Pile_Type_Design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 txBox="1"/>
      </xdr:nvSpPr>
      <xdr:spPr>
        <a:xfrm>
          <a:off x="214313" y="6101954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eries Home 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95251</xdr:colOff>
      <xdr:row>0</xdr:row>
      <xdr:rowOff>83345</xdr:rowOff>
    </xdr:from>
    <xdr:to>
      <xdr:col>0</xdr:col>
      <xdr:colOff>1592581</xdr:colOff>
      <xdr:row>0</xdr:row>
      <xdr:rowOff>1454945</xdr:rowOff>
    </xdr:to>
    <xdr:sp macro="" textlink="">
      <xdr:nvSpPr>
        <xdr:cNvPr id="3" name="TextBox_Ws_Y_Library_Home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95251" y="83345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1</xdr:col>
      <xdr:colOff>101203</xdr:colOff>
      <xdr:row>0</xdr:row>
      <xdr:rowOff>130969</xdr:rowOff>
    </xdr:from>
    <xdr:to>
      <xdr:col>2</xdr:col>
      <xdr:colOff>1369933</xdr:colOff>
      <xdr:row>0</xdr:row>
      <xdr:rowOff>1502569</xdr:rowOff>
    </xdr:to>
    <xdr:sp macro="[0]!SER930_NavigateTo_Workbook_Library" textlink="">
      <xdr:nvSpPr>
        <xdr:cNvPr id="4" name="TextBox_Open_Y_TDT_Library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2012157" y="130969"/>
          <a:ext cx="164973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25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 </a:t>
          </a:r>
        </a:p>
        <a:p>
          <a:pPr algn="ctr"/>
          <a:r>
            <a:rPr lang="en-US" sz="25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TDT Library</a:t>
          </a:r>
        </a:p>
      </xdr:txBody>
    </xdr:sp>
    <xdr:clientData/>
  </xdr:twoCellAnchor>
  <xdr:absoluteAnchor>
    <xdr:pos x="142876" y="1702595"/>
    <xdr:ext cx="1554480" cy="1371600"/>
    <xdr:sp macro="[0]!SER910_Workook_Navigate_To_Tab" textlink="">
      <xdr:nvSpPr>
        <xdr:cNvPr id="8" name="TextBox_Go_To_Project_Home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 txBox="1"/>
      </xdr:nvSpPr>
      <xdr:spPr>
        <a:xfrm>
          <a:off x="142876" y="170259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154782</xdr:colOff>
      <xdr:row>7</xdr:row>
      <xdr:rowOff>130968</xdr:rowOff>
    </xdr:from>
    <xdr:to>
      <xdr:col>0</xdr:col>
      <xdr:colOff>1709262</xdr:colOff>
      <xdr:row>13</xdr:row>
      <xdr:rowOff>73818</xdr:rowOff>
    </xdr:to>
    <xdr:sp macro="[0]!SER910_Workook_Navigate_To_Tab" textlink="">
      <xdr:nvSpPr>
        <xdr:cNvPr id="9" name="TextBox_Go_To_Structures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SpPr txBox="1"/>
      </xdr:nvSpPr>
      <xdr:spPr>
        <a:xfrm>
          <a:off x="154782" y="3202781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142875</xdr:colOff>
      <xdr:row>13</xdr:row>
      <xdr:rowOff>178594</xdr:rowOff>
    </xdr:from>
    <xdr:to>
      <xdr:col>0</xdr:col>
      <xdr:colOff>1697355</xdr:colOff>
      <xdr:row>19</xdr:row>
      <xdr:rowOff>30004</xdr:rowOff>
    </xdr:to>
    <xdr:sp macro="[0]!SER910_Workook_Navigate_To_Tab" textlink="">
      <xdr:nvSpPr>
        <xdr:cNvPr id="10" name="TextBox_Go_To_Soil_Profile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 txBox="1"/>
      </xdr:nvSpPr>
      <xdr:spPr>
        <a:xfrm>
          <a:off x="142875" y="4679157"/>
          <a:ext cx="1554480" cy="128016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154782</xdr:colOff>
      <xdr:row>19</xdr:row>
      <xdr:rowOff>119062</xdr:rowOff>
    </xdr:from>
    <xdr:to>
      <xdr:col>0</xdr:col>
      <xdr:colOff>1709262</xdr:colOff>
      <xdr:row>25</xdr:row>
      <xdr:rowOff>61912</xdr:rowOff>
    </xdr:to>
    <xdr:sp macro="[0]!SER910_Workook_Navigate_To_Tab" textlink="">
      <xdr:nvSpPr>
        <xdr:cNvPr id="11" name="TextBox_Go_To_Pile_Type_Design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 txBox="1"/>
      </xdr:nvSpPr>
      <xdr:spPr>
        <a:xfrm>
          <a:off x="154782" y="6048375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107157</xdr:colOff>
      <xdr:row>0</xdr:row>
      <xdr:rowOff>119062</xdr:rowOff>
    </xdr:from>
    <xdr:to>
      <xdr:col>0</xdr:col>
      <xdr:colOff>1642587</xdr:colOff>
      <xdr:row>0</xdr:row>
      <xdr:rowOff>1490662</xdr:rowOff>
    </xdr:to>
    <xdr:sp macro="" textlink="">
      <xdr:nvSpPr>
        <xdr:cNvPr id="4" name="TextBox_Wks_Z_Template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 txBox="1"/>
      </xdr:nvSpPr>
      <xdr:spPr>
        <a:xfrm>
          <a:off x="107157" y="119062"/>
          <a:ext cx="153543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Z_Template</a:t>
          </a:r>
        </a:p>
      </xdr:txBody>
    </xdr:sp>
    <xdr:clientData/>
  </xdr:twoCellAnchor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5" name="TextBox_Action_Ws30_Step_01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 txBox="1"/>
      </xdr:nvSpPr>
      <xdr:spPr>
        <a:xfrm>
          <a:off x="1928813" y="190501"/>
          <a:ext cx="146304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6" name="TextBox_Go_To_Project_Home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" xr16:uid="{D0C8E511-6563-4EE4-8BD5-49588E1B4B97}" autoFormatId="16" applyNumberFormats="0" applyBorderFormats="0" applyFontFormats="0" applyPatternFormats="0" applyAlignmentFormats="0" applyWidthHeightFormats="0">
  <queryTableRefresh nextId="21" unboundColumnsRight="2">
    <queryTableFields count="15">
      <queryTableField id="1" name="Pile Type" tableColumnId="1"/>
      <queryTableField id="2" name="Structure Name" tableColumnId="2"/>
      <queryTableField id="16" name="Grillage" tableColumnId="14"/>
      <queryTableField id="3" name="Connection Type" tableColumnId="3"/>
      <queryTableField id="4" name="TOPile" tableColumnId="4"/>
      <queryTableField id="14" name="No of Supports" tableColumnId="13"/>
      <queryTableField id="5" name="Shaft Description" tableColumnId="5"/>
      <queryTableField id="6" name=" Cap Description" tableColumnId="6"/>
      <queryTableField id="7" name="Shear" tableColumnId="7"/>
      <queryTableField id="8" name="Moment" tableColumnId="8"/>
      <queryTableField id="9" name="Comp" tableColumnId="9"/>
      <queryTableField id="10" name="Tension" tableColumnId="10"/>
      <queryTableField id="18" name="IFQ Revision" tableColumnId="15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2" xr16:uid="{FFF15207-F376-4747-8DF9-06F658E0DC15}" autoFormatId="16" applyNumberFormats="0" applyBorderFormats="0" applyFontFormats="0" applyPatternFormats="0" applyAlignmentFormats="0" applyWidthHeightFormats="0">
  <queryTableRefresh nextId="7">
    <queryTableFields count="5">
      <queryTableField id="1" name="Pile Type" tableColumnId="1"/>
      <queryTableField id="2" name="Qty" tableColumnId="2"/>
      <queryTableField id="3" name="Shaft Description" tableColumnId="3"/>
      <queryTableField id="4" name=" Cap Description" tableColumnId="4"/>
      <queryTableField id="6" name="Part Number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4" xr16:uid="{69B0DE8A-1CA3-4F87-8699-1B1999DB5BDA}" autoFormatId="16" applyNumberFormats="0" applyBorderFormats="0" applyFontFormats="0" applyPatternFormats="0" applyAlignmentFormats="0" applyWidthHeightFormats="0">
  <queryTableRefresh nextId="13" unboundColumnsRight="3">
    <queryTableFields count="11">
      <queryTableField id="1" name="Connection Type" tableColumnId="1"/>
      <queryTableField id="2" name="Lpile Elevation" tableColumnId="2"/>
      <queryTableField id="3" name="Shaft Type" tableColumnId="3"/>
      <queryTableField id="5" name="Max Shear (lb)" tableColumnId="5"/>
      <queryTableField id="6" name="Max Moment (in-lb)" tableColumnId="6"/>
      <queryTableField id="7" name="Max Comp (lb)" tableColumnId="7"/>
      <queryTableField id="8" name="Max Tension (lb)" tableColumnId="8"/>
      <queryTableField id="9" name="Structures" tableColumnId="9"/>
      <queryTableField id="10" dataBound="0" tableColumnId="4"/>
      <queryTableField id="11" dataBound="0" tableColumnId="10"/>
      <queryTableField id="12" dataBound="0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3" xr16:uid="{BCE9903C-FA16-479A-B9FC-43864BAF7469}" autoFormatId="16" applyNumberFormats="0" applyBorderFormats="0" applyFontFormats="0" applyPatternFormats="0" applyAlignmentFormats="0" applyWidthHeightFormats="0">
  <queryTableRefresh nextId="7" unboundColumnsRight="5">
    <queryTableFields count="6">
      <queryTableField id="1" name="Shaft 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" xr16:uid="{420A801E-937D-4D0F-98F0-81D6DADD1FAE}" autoFormatId="16" applyNumberFormats="0" applyBorderFormats="0" applyFontFormats="0" applyPatternFormats="0" applyAlignmentFormats="0" applyWidthHeightFormats="0">
  <queryTableRefresh nextId="73">
    <queryTableFields count="23">
      <queryTableField id="1" name="Child Shaft Type" tableColumnId="1"/>
      <queryTableField id="7" name="Z_E1" tableColumnId="7"/>
      <queryTableField id="3" name="Shear" tableColumnId="3"/>
      <queryTableField id="4" name="Moment" tableColumnId="4"/>
      <queryTableField id="5" name="Comp" tableColumnId="5"/>
      <queryTableField id="6" name="Tension" tableColumnId="6"/>
      <queryTableField id="30" name="Z_E11" tableColumnId="29"/>
      <queryTableField id="57" name="Capacity H1" tableColumnId="16"/>
      <queryTableField id="58" name="Capacity H2" tableColumnId="17"/>
      <queryTableField id="59" name="Z_E15" tableColumnId="18"/>
      <queryTableField id="60" name="Contribution Load H1" tableColumnId="19"/>
      <queryTableField id="61" name="Contribution Load H2" tableColumnId="20"/>
      <queryTableField id="62" name="Tip and Helices Depth below grade" tableColumnId="21"/>
      <queryTableField id="63" name="Tip and Helices Area" tableColumnId="22"/>
      <queryTableField id="64" name="Tip and Helices Soil Qult psf" tableColumnId="23"/>
      <queryTableField id="65" name="Skin Friction Contribution Topper (Kips)" tableColumnId="24"/>
      <queryTableField id="66" name="Skin Friction Contribution Lead and Extensions (Kips)" tableColumnId="25"/>
      <queryTableField id="67" name="Compression Individual Contribution" tableColumnId="26"/>
      <queryTableField id="68" name="Tension Individual Contribution" tableColumnId="27"/>
      <queryTableField id="69" name="Z_E142" tableColumnId="28"/>
      <queryTableField id="70" name="I.B.M. Compression Ultimate Capacity (kips)" tableColumnId="30"/>
      <queryTableField id="71" name="I.B.M. Tension Ultimate Capacity (kips)" tableColumnId="31"/>
      <queryTableField id="72" name="Z_E156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5" xr16:uid="{F73C1B79-8509-4649-B959-508EA6B395CD}" autoFormatId="16" applyNumberFormats="0" applyBorderFormats="0" applyFontFormats="0" applyPatternFormats="0" applyAlignmentFormats="0" applyWidthHeightFormats="0">
  <queryTableRefresh nextId="3">
    <queryTableFields count="2">
      <queryTableField id="1" name="Pile_Type" tableColumnId="1"/>
      <queryTableField id="2" name="Concatenat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7" xr16:uid="{00000000-0016-0000-0600-000000000000}" autoFormatId="16" applyNumberFormats="0" applyBorderFormats="0" applyFontFormats="0" applyPatternFormats="0" applyAlignmentFormats="0" applyWidthHeightFormats="0">
  <queryTableRefresh nextId="89">
    <queryTableFields count="4">
      <queryTableField id="85" name="PLAN_RD_07.00X000" tableColumnId="1"/>
      <queryTableField id="86" name="PLAN_RD_10.75X000" tableColumnId="2"/>
      <queryTableField id="87" name="PLAN_RD_12.75X000" tableColumnId="3"/>
      <queryTableField id="88" name="PLAN_SQ_03.00X313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6" xr16:uid="{00000000-0016-0000-0600-000001000000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1" name="Shaft Type" tableColumnId="1"/>
      <queryTableField id="2" name="Shear" tableColumnId="2"/>
      <queryTableField id="3" name="Moment" tableColumnId="3"/>
      <queryTableField id="4" name="Comp" tableColumnId="4"/>
      <queryTableField id="5" name="Tension" tableColumnId="5"/>
      <queryTableField id="6" name="TOPile Max" tableColumnId="6"/>
      <queryTableField id="7" name="TOPile Min" tableColumnId="7"/>
      <queryTableField id="8" name="LPile Max" tableColumnId="8"/>
      <queryTableField id="9" name="LPile Min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9" xr16:uid="{00000000-0016-0000-07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Parent Shaft Type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8" xr16:uid="{00000000-0016-0000-0A00-000003000000}" autoFormatId="16" applyNumberFormats="0" applyBorderFormats="0" applyFontFormats="0" applyPatternFormats="0" applyAlignmentFormats="0" applyWidthHeightFormats="0">
  <queryTableRefresh nextId="2">
    <queryTableFields count="1">
      <queryTableField id="1" name="Connection_Type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4" xr16:uid="{00000000-0016-0000-0A00-000004000000}" autoFormatId="16" applyNumberFormats="0" applyBorderFormats="0" applyFontFormats="0" applyPatternFormats="0" applyAlignmentFormats="0" applyWidthHeightFormats="0">
  <queryTableRefresh nextId="3">
    <queryTableFields count="2">
      <queryTableField id="1" name="Shaft_Type" tableColumnId="1"/>
      <queryTableField id="2" name="Shaft_Type_Short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13" xr16:uid="{00000000-0016-0000-0A00-000005000000}" autoFormatId="16" applyNumberFormats="0" applyBorderFormats="0" applyFontFormats="0" applyPatternFormats="0" applyAlignmentFormats="0" applyWidthHeightFormats="0">
  <queryTableRefresh nextId="3">
    <queryTableFields count="2">
      <queryTableField id="1" name="p-y Curve Type" tableColumnId="1"/>
      <queryTableField id="2" name="Type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15" xr16:uid="{00000000-0016-0000-0A00-000006000000}" autoFormatId="16" applyNumberFormats="0" applyBorderFormats="0" applyFontFormats="0" applyPatternFormats="0" applyAlignmentFormats="0" applyWidthHeightFormats="0">
  <queryTableRefresh nextId="2">
    <queryTableFields count="1">
      <queryTableField id="1" name="Soil Classification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6" xr16:uid="{00000000-0016-0000-0A00-000007000000}" autoFormatId="16" applyNumberFormats="0" applyBorderFormats="0" applyFontFormats="0" applyPatternFormats="0" applyAlignmentFormats="0" applyWidthHeightFormats="0">
  <queryTableRefresh nextId="2">
    <queryTableFields count="1">
      <queryTableField id="1" name="Coarse-grain" tableColumnId="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adjustColumnWidth="0" connectionId="7" xr16:uid="{00000000-0016-0000-0A00-000008000000}" autoFormatId="16" applyNumberFormats="0" applyBorderFormats="0" applyFontFormats="0" applyPatternFormats="0" applyAlignmentFormats="0" applyWidthHeightFormats="0">
  <queryTableRefresh nextId="2">
    <queryTableFields count="1">
      <queryTableField id="1" name="Coarse-grain Consistency" tableColumnId="1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10" xr16:uid="{00000000-0016-0000-0A00-000009000000}" autoFormatId="16" applyNumberFormats="0" applyBorderFormats="0" applyFontFormats="0" applyPatternFormats="0" applyAlignmentFormats="0" applyWidthHeightFormats="0">
  <queryTableRefresh nextId="2">
    <queryTableFields count="1">
      <queryTableField id="1" name="Fine-grain" tableColumnId="1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adjustColumnWidth="0" connectionId="11" xr16:uid="{00000000-0016-0000-0A00-00000A000000}" autoFormatId="16" applyNumberFormats="0" applyBorderFormats="0" applyFontFormats="0" applyPatternFormats="0" applyAlignmentFormats="0" applyWidthHeightFormats="0">
  <queryTableRefresh nextId="2">
    <queryTableFields count="1">
      <queryTableField id="1" name="Fine-grain Consistency" tableColumnId="1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adjustColumnWidth="0" connectionId="9" xr16:uid="{00000000-0016-0000-0A00-00000B000000}" autoFormatId="16" applyNumberFormats="0" applyBorderFormats="0" applyFontFormats="0" applyPatternFormats="0" applyAlignmentFormats="0" applyWidthHeightFormats="0">
  <queryTableRefresh nextId="2">
    <queryTableFields count="1">
      <queryTableField id="1" name="Fine And Coarse Grain" tableColumnId="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" xr16:uid="{95E20EFF-AB79-4CE3-9F5E-072F9661A897}" autoFormatId="16" applyNumberFormats="0" applyBorderFormats="0" applyFontFormats="0" applyPatternFormats="0" applyAlignmentFormats="0" applyWidthHeightFormats="0">
  <queryTableRefresh nextId="6">
    <queryTableFields count="5">
      <queryTableField id="1" name="Pile Shape" tableColumnId="1"/>
      <queryTableField id="2" name="Diameter" tableColumnId="2"/>
      <queryTableField id="3" name="Th" tableColumnId="3"/>
      <queryTableField id="4" name="Kt" tableColumnId="4"/>
      <queryTableField id="5" name="Max Torque" tableColumnId="5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16" xr16:uid="{F5774227-5501-4248-846A-DC6433EC5B29}" autoFormatId="16" applyNumberFormats="0" applyBorderFormats="0" applyFontFormats="0" applyPatternFormats="0" applyAlignmentFormats="0" applyWidthHeightFormats="0">
  <queryTableRefresh nextId="6">
    <queryTableFields count="5">
      <queryTableField id="1" name="Diameter" tableColumnId="1"/>
      <queryTableField id="2" name="8" tableColumnId="2"/>
      <queryTableField id="3" name="10" tableColumnId="3"/>
      <queryTableField id="4" name="12" tableColumnId="4"/>
      <queryTableField id="5" name="14" tableColumnId="5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0" xr16:uid="{00000000-0016-0000-0B00-00000C000000}" autoFormatId="16" applyNumberFormats="0" applyBorderFormats="0" applyFontFormats="0" applyPatternFormats="0" applyAlignmentFormats="0" applyWidthHeightFormats="0">
  <queryTableRefresh nextId="4">
    <queryTableFields count="1">
      <queryTableField id="3" name="Diameter" tableColumnId="3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1" xr16:uid="{00000000-0016-0000-0B00-00000D000000}" autoFormatId="16" applyNumberFormats="0" applyBorderFormats="0" applyFontFormats="0" applyPatternFormats="0" applyAlignmentFormats="0" applyWidthHeightFormats="0">
  <queryTableRefresh nextId="2">
    <queryTableFields count="1">
      <queryTableField id="1" name="Pile_Shape" tableColumnId="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17" xr16:uid="{00000000-0016-0000-0B00-00000E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18" xr16:uid="{00000000-0016-0000-0B00-00000F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19" xr16:uid="{00000000-0016-0000-0B00-000010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adjustColumnWidth="0" connectionId="23" xr16:uid="{00000000-0016-0000-0B00-000011000000}" autoFormatId="16" applyNumberFormats="0" applyBorderFormats="0" applyFontFormats="0" applyPatternFormats="0" applyAlignmentFormats="0" applyWidthHeightFormats="0">
  <queryTableRefresh nextId="9">
    <queryTableFields count="5">
      <queryTableField id="4" name="Helix Diameter" tableColumnId="1"/>
      <queryTableField id="5" name="01.50" tableColumnId="2"/>
      <queryTableField id="6" name="01.75" tableColumnId="3"/>
      <queryTableField id="7" name="03.00" tableColumnId="4"/>
      <queryTableField id="8" name="04.00" tableColumnId="5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adjustColumnWidth="0" connectionId="22" xr16:uid="{00000000-0016-0000-0B00-000012000000}" autoFormatId="16" applyNumberFormats="0" applyBorderFormats="0" applyFontFormats="0" applyPatternFormats="0" applyAlignmentFormats="0" applyWidthHeightFormats="0">
  <queryTableRefresh nextId="7">
    <queryTableFields count="3">
      <queryTableField id="4" name="Pile Shape" tableColumnId="1"/>
      <queryTableField id="3" name="Diameter" tableColumnId="3"/>
      <queryTableField id="5" name="Std Th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24" xr16:uid="{00000000-0016-0000-0C00-000013000000}" autoFormatId="16" applyNumberFormats="0" applyBorderFormats="0" applyFontFormats="0" applyPatternFormats="0" applyAlignmentFormats="0" applyWidthHeightFormats="0">
  <queryTableRefresh nextId="13">
    <queryTableFields count="11">
      <queryTableField id="2" name="Pile_Diameter" tableColumnId="1"/>
      <queryTableField id="3" name="BHP" tableColumnId="2"/>
      <queryTableField id="4" name="TBHP" tableColumnId="3"/>
      <queryTableField id="5" name="Ext_Coupling_in" tableColumnId="4"/>
      <queryTableField id="6" name="Ext_Coupling_ft" tableColumnId="5"/>
      <queryTableField id="7" name="Pitch_In" tableColumnId="6"/>
      <queryTableField id="8" name="Pitch_ft" tableColumnId="7"/>
      <queryTableField id="9" name="Start_Tolerace_in" tableColumnId="8"/>
      <queryTableField id="10" name="H1_S_in" tableColumnId="9"/>
      <queryTableField id="11" name="H1_S_ft" tableColumnId="10"/>
      <queryTableField id="12" name="Topper_Helix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DE90B3C-9D8D-4AE8-B94E-9E38C95008C9}" name="Tbl_10_IFQ" displayName="Tbl_10_IFQ" ref="O5:AC6" tableType="queryTable" totalsRowShown="0" headerRowDxfId="493" dataDxfId="492">
  <autoFilter ref="O5:AC6" xr:uid="{38EF55A5-C71D-4768-81E0-989B110870BC}"/>
  <tableColumns count="15">
    <tableColumn id="1" xr3:uid="{3FBDF252-301E-4358-B038-A0585DCDA8EA}" uniqueName="1" name="Pile Type" queryTableFieldId="1" dataDxfId="491"/>
    <tableColumn id="2" xr3:uid="{5F3790F9-B59F-4990-BD3C-6D372DB0EEC2}" uniqueName="2" name="Structure Name" queryTableFieldId="2" dataDxfId="490"/>
    <tableColumn id="14" xr3:uid="{AC6199FE-EA34-4305-A093-C24E207AE8CE}" uniqueName="14" name="Grillage" queryTableFieldId="16" dataDxfId="489"/>
    <tableColumn id="3" xr3:uid="{D62A30AB-FA24-415F-814B-7310D415E972}" uniqueName="3" name="Connection Type" queryTableFieldId="3" dataDxfId="488"/>
    <tableColumn id="4" xr3:uid="{286B8091-E807-4809-B2F8-FCE22E7E7EF0}" uniqueName="4" name="TOPile" queryTableFieldId="4" dataDxfId="487"/>
    <tableColumn id="13" xr3:uid="{715BCCBE-530A-4CB3-AD24-25A119A9CE45}" uniqueName="13" name="No of Supports" queryTableFieldId="14" dataDxfId="486"/>
    <tableColumn id="5" xr3:uid="{982B205D-CECE-4370-B610-734482D8E87A}" uniqueName="5" name="Shaft Description" queryTableFieldId="5" dataDxfId="485"/>
    <tableColumn id="6" xr3:uid="{05C2B07D-4F3E-4225-B871-FB77CFF16429}" uniqueName="6" name=" Cap Description" queryTableFieldId="6" dataDxfId="484"/>
    <tableColumn id="7" xr3:uid="{D4CF4DFB-EFCB-4D2E-AD74-DD0D8E36F5FE}" uniqueName="7" name="Shear" queryTableFieldId="7" dataDxfId="483"/>
    <tableColumn id="8" xr3:uid="{9E9E1072-C7F1-4E7F-8DF7-EF74AC2CA5B5}" uniqueName="8" name="Moment" queryTableFieldId="8" dataDxfId="482"/>
    <tableColumn id="9" xr3:uid="{AA394735-B653-437E-A2E2-7A22C7D84129}" uniqueName="9" name="Comp" queryTableFieldId="9" dataDxfId="481"/>
    <tableColumn id="10" xr3:uid="{70C1469D-AF54-4D54-BCAD-045B3D4C8532}" uniqueName="10" name="Tension" queryTableFieldId="10" dataDxfId="480"/>
    <tableColumn id="15" xr3:uid="{3D254AC5-44EA-44E2-9AF9-131B814E6AD0}" uniqueName="15" name="IFQ Revision" queryTableFieldId="18" dataDxfId="479"/>
    <tableColumn id="11" xr3:uid="{932827B9-71AE-4DBD-9A98-8A2147CC11E4}" uniqueName="11" name="Minium Installation Torque (ft-lb)" queryTableFieldId="11" dataDxfId="478">
      <calculatedColumnFormula>IFERROR(
          MAX(
                _xlfn.CEILING.MATH(
                              Tbl_10_IFQ[[#This Row],[Comp]]*2/
                              INDEX(
                                      Tbl_50_Pile_Type_Design[Kt (ft-1)],
                                      MATCH(
                                              Tbl_10_IFQ[[#This Row],[Shaft Description]],
                                              Tbl_50_Pile_Type_Design[Pile Description],
                                              0)
                                  ),
                                500
                              ),
                  _xlfn.CEILING.MATH(
                                Tbl_10_IFQ[[#This Row],[Tension]]*2*1.15/
                                INDEX(
                                        Tbl_50_Pile_Type_Design[Kt (ft-1)],
                                        MATCH(
                                                Tbl_10_IFQ[[#This Row],[Shaft Description]],
                                                Tbl_50_Pile_Type_Design[Pile Description],
                                                0)
                                    ),
                                  500
                                ),
                2500),
      0
  )</calculatedColumnFormula>
    </tableColumn>
    <tableColumn id="12" xr3:uid="{9EB06F7B-2A71-4C70-9480-45CD643265F3}" uniqueName="12" name="Min Depth (ft)" queryTableFieldId="12" dataDxfId="477">
      <calculatedColumnFormula>INDEX(Tbl_50_Pile_Type_Design[Minimum Depth (ft)],MATCH(Tbl_10_IFQ[[#This Row],[Shaft Description]],Tbl_50_Pile_Type_Design[Pile Description],0))</calculatedColumnFormula>
    </tableColumn>
  </tableColumns>
  <tableStyleInfo name="TableStylePile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494B3CD-4F71-414D-B203-445C518F2CBF}" name="Tbl_10_Summarize_Schedule" displayName="Tbl_10_Summarize_Schedule" ref="I9:M10" tableType="queryTable" totalsRowShown="0" headerRowDxfId="476" dataDxfId="475">
  <autoFilter ref="I9:M10" xr:uid="{3BA7D8CF-92DE-438D-9E31-554B333A017F}"/>
  <tableColumns count="5">
    <tableColumn id="1" xr3:uid="{F41E2BF6-9838-46B3-85BC-F5D9DFEC1C45}" uniqueName="1" name="Pile Type" queryTableFieldId="1" dataDxfId="474"/>
    <tableColumn id="2" xr3:uid="{F70504E5-A43D-4117-9E12-00B498006F27}" uniqueName="2" name="Qty" queryTableFieldId="2" dataDxfId="473"/>
    <tableColumn id="3" xr3:uid="{1972F90C-86CF-41D3-9974-07A1FBCDB22F}" uniqueName="3" name="Shaft Description" queryTableFieldId="3" dataDxfId="472"/>
    <tableColumn id="4" xr3:uid="{47898BD9-468A-4F4D-8603-F2638CA62662}" uniqueName="4" name=" Cap Description" queryTableFieldId="4" dataDxfId="471"/>
    <tableColumn id="6" xr3:uid="{16AACDCE-A46D-4093-ACB3-BA33DD7339A7}" uniqueName="6" name="Part Numbers" queryTableFieldId="6" dataDxfId="47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30_Structures" displayName="Tbl_30_Structures" ref="C5:AO13" totalsRowShown="0" headerRowDxfId="467" dataDxfId="466">
  <tableColumns count="39">
    <tableColumn id="2" xr3:uid="{00000000-0010-0000-0000-000002000000}" name="Pile Detail DWG" dataDxfId="465"/>
    <tableColumn id="1" xr3:uid="{00000000-0010-0000-0000-000001000000}" name="Pile Location DWG" dataDxfId="464"/>
    <tableColumn id="30" xr3:uid="{AC9A6402-278B-4BCE-AC88-9185B2745BCA}" name="Tag Name" dataDxfId="463"/>
    <tableColumn id="3" xr3:uid="{00000000-0010-0000-0000-000003000000}" name="Structure Name" dataDxfId="462"/>
    <tableColumn id="7" xr3:uid="{00000000-0010-0000-0000-000007000000}" name="Connection Type" dataDxfId="461"/>
    <tableColumn id="27" xr3:uid="{B3118CD1-8B80-43D8-AAAF-221031674353}" name="Grillage" dataDxfId="460"/>
    <tableColumn id="41" xr3:uid="{5B4C61A2-EA29-4BE0-9B15-F73DB1780B0F}" name="Comments" dataDxfId="459"/>
    <tableColumn id="8" xr3:uid="{00000000-0010-0000-0000-000008000000}" name="TOConcrete" dataDxfId="458"/>
    <tableColumn id="4" xr3:uid="{00000000-0010-0000-0000-000004000000}" name="TOPile" dataDxfId="457"/>
    <tableColumn id="15" xr3:uid="{00000000-0010-0000-0000-00000F000000}" name="Lpile Elevation" dataDxfId="456">
      <calculatedColumnFormula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calculatedColumnFormula>
    </tableColumn>
    <tableColumn id="13" xr3:uid="{00000000-0010-0000-0000-00000D000000}" name="Load ID" dataDxfId="455"/>
    <tableColumn id="5" xr3:uid="{00000000-0010-0000-0000-000005000000}" name="No of Supports" dataDxfId="454"/>
    <tableColumn id="6" xr3:uid="{00000000-0010-0000-0000-000006000000}" name="Shaft Type" dataDxfId="453"/>
    <tableColumn id="20" xr3:uid="{62474AE1-6F94-4EFF-802B-01085F8A3BE6}" name="Shaft Description" dataDxfId="452">
      <calculatedColumnFormula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calculatedColumnFormula>
    </tableColumn>
    <tableColumn id="28" xr3:uid="{F56FD431-83E9-4887-B78B-46CB995E0057}" name="EZ_01" dataDxfId="451"/>
    <tableColumn id="17" xr3:uid="{942A06A8-A1C1-4AE2-A724-765D8DBB04E4}" name="Rebar Termination" dataDxfId="450"/>
    <tableColumn id="18" xr3:uid="{22D636B6-8F6D-4853-9E26-AA1BAD7E9A21}" name="Plate Type" dataDxfId="449"/>
    <tableColumn id="16" xr3:uid="{6356B3B9-E5C7-45E3-BAA7-6BA732388628}" name="Plate Diameter" dataDxfId="448"/>
    <tableColumn id="14" xr3:uid="{3D4ECCC8-5656-4F94-9D31-004757371746}" name="Plate Th" dataDxfId="447"/>
    <tableColumn id="26" xr3:uid="{46B5AB40-AADA-43C8-A454-027ECC30591A}" name="Other Cap Type Description" dataDxfId="446"/>
    <tableColumn id="19" xr3:uid="{9AF38EAF-E3A7-439C-99FE-D23EAC4C3619}" name=" Cap Description" dataDxfId="445">
      <calculatedColumnFormula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calculatedColumnFormula>
    </tableColumn>
    <tableColumn id="33" xr3:uid="{02663F9E-CB43-4216-AAAC-43892D7F89F9}" name="EZ_03" dataDxfId="444"/>
    <tableColumn id="9" xr3:uid="{00000000-0010-0000-0000-000009000000}" name="Shear" dataDxfId="443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$M6&amp;"_Comb"&amp;"["&amp;Y$5&amp;"]")
     )
    ),
0
 )</calculatedColumnFormula>
    </tableColumn>
    <tableColumn id="10" xr3:uid="{00000000-0010-0000-0000-00000A000000}" name="Moment" dataDxfId="442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$M6&amp;"_Comb"&amp;"["&amp;Z$5&amp;"]")
     )
    ),
0
 )</calculatedColumnFormula>
    </tableColumn>
    <tableColumn id="11" xr3:uid="{00000000-0010-0000-0000-00000B000000}" name="Comp" dataDxfId="441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$M6&amp;"_Comb"&amp;"["&amp;AA$5&amp;"]")
     )
    ),
0
 )</calculatedColumnFormula>
    </tableColumn>
    <tableColumn id="12" xr3:uid="{00000000-0010-0000-0000-00000C000000}" name="Tension" dataDxfId="440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$M6&amp;"_Comb"&amp;"["&amp;AB$5&amp;"]")
     )
    ),
0
 )</calculatedColumnFormula>
    </tableColumn>
    <tableColumn id="31" xr3:uid="{FB861081-19F8-4162-A983-7C2EC56A1C1B}" name="EZ_032" dataDxfId="439"/>
    <tableColumn id="35" xr3:uid="{03EAF61E-77E1-4BA9-AB43-8AECC62A84D4}" name="Pile Type" dataDxfId="438">
      <calculatedColumnFormula array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calculatedColumnFormula>
    </tableColumn>
    <tableColumn id="36" xr3:uid="{C9201A18-326F-4101-BE6E-B80B9F682AFB}" name="EZ_04" dataDxfId="437"/>
    <tableColumn id="21" xr3:uid="{C364BE3F-DF1F-4E34-AAD1-A32DDE76F71F}" name="Shaft Description_Cap Description" dataDxfId="436">
      <calculatedColumnFormula>IF(
         Tbl_30_Structures[[#This Row],[Shaft Description]] ="", "",
         Tbl_30_Structures[[#This Row],[Shaft Description]]&amp;"_"&amp;Tbl_30_Structures[[ Cap Description]]
)</calculatedColumnFormula>
    </tableColumn>
    <tableColumn id="38" xr3:uid="{ED73F36C-7E3E-4367-936C-200853C41A76}" name="EZ_05" dataDxfId="435"/>
    <tableColumn id="22" xr3:uid="{48FC0B82-9AE3-4558-9AD5-B057466A69A3}" name="IFQ_Revision_New_String" dataDxfId="434">
      <calculatedColumnFormula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calculatedColumnFormula>
    </tableColumn>
    <tableColumn id="29" xr3:uid="{E7247B89-3E0B-4EA0-9CE9-EDCC0F6EC3FD}" name="IFQ_Revision_Old_String" dataDxfId="433"/>
    <tableColumn id="23" xr3:uid="{79441F51-3196-482F-BF2D-612B3EA774DB}" name="IFQ Revision" dataDxfId="432"/>
    <tableColumn id="40" xr3:uid="{00019A64-485B-496B-8949-1AA49BF01E7E}" name="EZ_06" dataDxfId="431"/>
    <tableColumn id="24" xr3:uid="{5CA52E56-6571-4103-AF26-B87E8AD80C31}" name="IFC_String_Revision" dataDxfId="430"/>
    <tableColumn id="25" xr3:uid="{E1133D5F-5684-4D9C-8D65-DA3B7E69499C}" name="IFC Revision" dataDxfId="429"/>
    <tableColumn id="34" xr3:uid="{F943BA2F-E4BB-4078-8EC4-4064C695FDE2}" name="EZ_07" dataDxfId="428"/>
    <tableColumn id="37" xr3:uid="{2E184BD6-5729-4FA5-AA16-2FA93D19543F}" name="Tag and Structure Name" dataDxfId="427">
      <calculatedColumnFormula>IF(Tbl_30_Structures[[#This Row],[Tag Name]] = "",Tbl_30_Structures[[#This Row],[Structure Name]],Tbl_30_Structures[[#This Row],[Tag Name]]&amp;" "&amp;Tbl_30_Structures[[#This Row],[Structure Name]])</calculatedColumnFormula>
    </tableColumn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5468DA0-BC85-4240-A075-7C6ABB033134}" name="Tbl_40_Soil_Lateral" displayName="Tbl_40_Soil_Lateral" ref="C12:I13" totalsRowShown="0" headerRowDxfId="420" dataDxfId="419">
  <tableColumns count="7">
    <tableColumn id="1" xr3:uid="{01F1334B-BAFF-4C8D-B6C1-05F147A0B0AF}" name="p-y Curve Type" dataDxfId="418"/>
    <tableColumn id="7" xr3:uid="{0357FC88-FD23-4B4D-B6E6-B724F2623B33}" name="Soil Description" dataDxfId="417"/>
    <tableColumn id="2" xr3:uid="{BBACDA58-F3AD-4A8F-A2B8-64E357BE9090}" name="Top (ft)" dataDxfId="416"/>
    <tableColumn id="3" xr3:uid="{08258D58-F682-4644-B3C8-07E85C5CBDB0}" name="Bottom (ft)" dataDxfId="415"/>
    <tableColumn id="4" xr3:uid="{6E217A8D-7FFB-4E97-9020-2612562E51FB}" name="Unit Weight (pcf)" dataDxfId="414"/>
    <tableColumn id="5" xr3:uid="{410A3E26-4066-4263-8914-45F5F88856E3}" name="Undrained Cohesion (psf)" dataDxfId="413"/>
    <tableColumn id="6" xr3:uid="{CE3B8CAA-C3F8-4A56-9D9A-2995B6C1BA06}" name="Friction Angle" dataDxfId="412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308C58A-76E8-461C-90AA-285A443220B9}" name="Tbl_40_Soil_Parameters" displayName="Tbl_40_Soil_Parameters" ref="C4:D8" totalsRowShown="0" headerRowDxfId="411" dataDxfId="409" headerRowBorderDxfId="410" tableBorderDxfId="408" totalsRowBorderDxfId="407">
  <tableColumns count="2">
    <tableColumn id="1" xr3:uid="{71AEA3C6-3225-46E5-8D34-135AFCEFA9C1}" name="General Properties" dataDxfId="406"/>
    <tableColumn id="2" xr3:uid="{D2F78F8F-C561-4431-BD82-F88CDB029D65}" name="Value" dataDxfId="40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E47FEE-AC22-48DD-9B7F-E8C12562CCAD}" name="Tbl_40_Soil_Profile_01" displayName="Tbl_40_Soil_Profile_01" ref="K4:AA5" totalsRowShown="0" headerRowDxfId="404" dataDxfId="403">
  <tableColumns count="17">
    <tableColumn id="1" xr3:uid="{35496756-3255-4FF9-8F6D-D42C4ED00E24}" name="Depth (ft)" dataDxfId="402"/>
    <tableColumn id="2" xr3:uid="{B105CB80-D9ED-4B50-AC04-D554DC722FF2}" name="Soil Type" dataDxfId="401"/>
    <tableColumn id="3" xr3:uid="{E546F4F8-0086-4E1C-9764-57B4C1726FCC}" name="Soil Description" dataDxfId="400"/>
    <tableColumn id="4" xr3:uid="{DE5AFB15-3487-4F94-B6BA-C6D4CFEC1445}" name="N Value (bpf)" dataDxfId="399"/>
    <tableColumn id="5" xr3:uid="{0F54DA0B-FBA4-42F9-8DBD-1C5389DB0AFE}" name="Unit Weight (pcf)" dataDxfId="398"/>
    <tableColumn id="6" xr3:uid="{45941A7E-A64A-4DD9-AE50-CA2B5F64AAF8}" name="Undrained Cohesion (psf)" dataDxfId="397"/>
    <tableColumn id="7" xr3:uid="{9ACBC98E-2C44-44D8-A1BB-3DE6A2351E42}" name="Friction Angle" dataDxfId="396"/>
    <tableColumn id="8" xr3:uid="{13C44799-D029-493A-9B71-02C6CAE57AAF}" name="N_Value_(bpf)" dataDxfId="395">
      <calculatedColumnFormula xml:space="preserve">
  ROUND(
   IFERROR(
    IF(
     Tbl_40_Soil_Profile_01[[#This Row],[N Value (bpf)]]&lt;&gt;0,
     Tbl_40_Soil_Profile_01[[#This Row],[N Value (bpf)]],
     IF(
      Tbl_40_Soil_Profile_01[[#This Row],[N Value (bpf)]]=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0)
       ),
      Tbl_40_Soil_Profile_01[[#This Row],[N Value (bpf)]],
     R4+(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
        )
       ) -
       R4
      )/MATCH(
        TRUE,
        INDEX(
           OFFSET(Tbl_40_Soil_Profile_01[[#This Row],[N Value (bpf)]],,,(MAX(Tbl_40_Soil_Profile_01[Depth (ft)])-Tbl_40_Soil_Profile_01[[#This Row],[Depth (ft)]]+1),)&lt;&gt;0,
          ),
        0
        )
      )
    ),
   0),
   0)</calculatedColumnFormula>
    </tableColumn>
    <tableColumn id="9" xr3:uid="{040065FF-9082-4207-9559-1FEE940C7ADD}" name="Unit_Weight_(pcf)" dataDxfId="394">
      <calculatedColumnFormula xml:space="preserve">
  ROUND(
   IFERROR(
    IF(
     Tbl_40_Soil_Profile_01[[#This Row],[Unit Weight (pcf)]]&lt;&gt;0,
     Tbl_40_Soil_Profile_01[[#This Row],[Unit Weight (pcf)]],
     IF(
      Tbl_40_Soil_Profile_01[[#This Row],[Unit Weight (pcf)]]=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0)
       ),
      Tbl_40_Soil_Profile_01[[#This Row],[Unit Weight (pcf)]],
     S4+(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
        )
       ) -
       S4
      )/MATCH(
        TRUE,
        INDEX(
           OFFSET(Tbl_40_Soil_Profile_01[[#This Row],[Unit Weight (pcf)]],,,(MAX(Tbl_40_Soil_Profile_01[Depth (ft)])-Tbl_40_Soil_Profile_01[[#This Row],[Depth (ft)]]+1),)&lt;&gt;0,
          ),
        0
        )
      )
    ),
   0),
  0)</calculatedColumnFormula>
    </tableColumn>
    <tableColumn id="10" xr3:uid="{E9A62B97-D30C-4902-8DC0-618D32659C26}" name="Undrained_Cohesion_(psf)" dataDxfId="393">
      <calculatedColumnFormula xml:space="preserve">
IF(Tbl_40_Soil_Profile_01[[#This Row],[Soil Type]]="Coarse-grain","",
  ROUND(
   IFERROR(
    IF(
     Tbl_40_Soil_Profile_01[[#This Row],[Undrained Cohesion (psf)]]&lt;&gt;0,
     Tbl_40_Soil_Profile_01[[#This Row],[Undrained Cohesion (psf)]],
     IF(
      Tbl_40_Soil_Profile_01[[#This Row],[Undrained Cohesion (psf)]]=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0)
       ),
      Tbl_40_Soil_Profile_01[[#This Row],[Undrained Cohesion (psf)]],
     T4+(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
        )
       ) - T4
      )/MATCH(
        TRUE,
        INDEX(
           OFFSET(Tbl_40_Soil_Profile_01[[#This Row],[Undrained Cohesion (psf)]],,,(MAX(Tbl_40_Soil_Profile_01[Depth (ft)])-Tbl_40_Soil_Profile_01[[#This Row],[Depth (ft)]]+1),)&lt;&gt;0,
          ),
        0
        )
      )
    ),
   0),
  0)
)</calculatedColumnFormula>
    </tableColumn>
    <tableColumn id="11" xr3:uid="{391F4802-D264-4937-9547-A27A2C98EF8E}" name="Friction_Angle" dataDxfId="392">
      <calculatedColumnFormula xml:space="preserve">
IF(Tbl_40_Soil_Profile_01[[#This Row],[Soil Type]]="Fine-grain","",
  ROUND(
   IFERROR(
    IF(
     Tbl_40_Soil_Profile_01[[#This Row],[Friction Angle]]&lt;&gt;0,
     Tbl_40_Soil_Profile_01[[#This Row],[Friction Angle]],
     IF(
      Tbl_40_Soil_Profile_01[[#This Row],[Friction Angle]]=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0)
       ),
      Tbl_40_Soil_Profile_01[[#This Row],[Friction Angle]],
     U4+(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
        )
       ) - U4
      )/MATCH(
        TRUE,
        INDEX(
           OFFSET(Tbl_40_Soil_Profile_01[[#This Row],[Friction Angle]],,,(MAX(Tbl_40_Soil_Profile_01[Depth (ft)])-Tbl_40_Soil_Profile_01[[#This Row],[Depth (ft)]]+1),)&lt;&gt;0,
          ),
        0
        )
      )
    ),
   0),
  0)
)</calculatedColumnFormula>
    </tableColumn>
    <tableColumn id="12" xr3:uid="{0DDF4BC0-F285-4DFA-AEEF-053CAC40ABA2}" name="Total Stress (psf)" dataDxfId="391">
      <calculatedColumnFormula>IF(
 Tbl_40_Soil_Profile_01[[#This Row],[Depth (ft)]]&lt;14,
 Tbl_40_Soil_Profile_01[[#This Row],[Depth (ft)]]*Tbl_40_Soil_Profile_01[[#This Row],[Unit_Weight_(pcf)]],
 14*Tbl_40_Soil_Profile_01[[#This Row],[Unit_Weight_(pcf)]]
)</calculatedColumnFormula>
    </tableColumn>
    <tableColumn id="13" xr3:uid="{3DC0BC0D-EDB0-4307-9D81-B23045B539E0}" name="Effective Stress (psf)" dataDxfId="390">
      <calculatedColumnFormula>IF(Tbl_40_Soil_Profile_01[[#This Row],[Depth (ft)]]&gt;14,Tbl_40_Soil_Profile_01[[#This Row],[Total Stress (psf)]]-(IF(Tbl_40_Soil_Profile_01[[#This Row],[Depth (ft)]]&lt;$D$5,0,62.4*14)),
Tbl_40_Soil_Profile_01[[#This Row],[Total Stress (psf)]]-(IF(Tbl_40_Soil_Profile_01[[#This Row],[Depth (ft)]]&lt;$D$5,0,62.4*Tbl_40_Soil_Profile_01[[#This Row],[Depth (ft)]])))</calculatedColumnFormula>
    </tableColumn>
    <tableColumn id="15" xr3:uid="{D0B9C8CF-8BA5-49E6-97B0-15C92817B116}" name="Qult (psf)" dataDxfId="389">
      <calculatedColumnFormula>_xlfn.IFS(
Tbl_40_Soil_Profile_01[[#This Row],[Soil Type]]="","",
Tbl_40_Soil_Profile_01[[#This Row],[Soil Type]] ="Fine-grain",
                                                  IF(
                                                 Tbl_40_Soil_Profile_01[[#This Row],[N_Value_(bpf)]]&lt;&gt;0,
                                                 Tbl_40_Soil_Profile_01[[#This Row],[N_Value_(bpf)]]*0.13*11*1000,
                                                 Tbl_40_Soil_Profile_01[[#This Row],[Undrained_Cohesion_(psf)]]*9
                                                 ),
Tbl_40_Soil_Profile_01[[#This Row],[Soil Type]]="Coarse-grain",
                                                   IF(
                                                 Tbl_40_Soil_Profile_01[[#This Row],[N_Value_(bpf)]]&lt;&gt;0,
                                                 Tbl_40_Soil_Profile_01[[#This Row],[N_Value_(bpf)]]*0.13*12*1000,
                                                 Tbl_40_Soil_Profile_01[[#This Row],[Effective Stress (psf)]] *TAN(RADIANS(45+(Tbl_40_Soil_Profile_01[[#This Row],[Friction_Angle]]*0.5)))^2*EXP(PI()*TAN(RADIANS(Tbl_40_Soil_Profile_01[[#This Row],[Friction_Angle]])))
                                                    )
)</calculatedColumnFormula>
    </tableColumn>
    <tableColumn id="14" xr3:uid="{1E196021-6ED6-4846-83D9-823D4817BA29}" name="Laterar Earth Pressure (psf)" dataDxfId="388">
      <calculatedColumnFormula>IFERROR(ROUND(0.09*EXP(0.08*Tbl_40_Soil_Profile_01[[#This Row],[Friction_Angle]]),2),"")</calculatedColumnFormula>
    </tableColumn>
    <tableColumn id="16" xr3:uid="{1F27AE6B-6C78-425F-B555-784CE0935D4D}" name="Shear Strenght (psf)" dataDxfId="387">
      <calculatedColumnFormula>ROUND(_xlfn.IFS(
         Tbl_40_Soil_Profile_01[[#This Row],[Soil Type]]="",
                                              "",
         Tbl_40_Soil_Profile_01[[#This Row],[Soil Type]]="Fine-grain",
                                              Tbl_40_Soil_Profile_01[[#This Row],[Undrained_Cohesion_(psf)]],
         Tbl_40_Soil_Profile_01[[#This Row],[Soil Type]]="Coarse-grain",
                                              Tbl_40_Soil_Profile_01[[#This Row],[Effective Stress (psf)]]*Tbl_40_Soil_Profile_01[[#This Row],[Laterar Earth Pressure (psf)]]*TAN(RADIANS(Tbl_40_Soil_Profile_01[[#This Row],[Friction_Angle]]))
             ),0)</calculatedColumnFormula>
    </tableColumn>
    <tableColumn id="17" xr3:uid="{652BBDB9-27B0-415B-BB25-488356B913FE}" name="Shaft Adhesion (psf)" dataDxfId="386">
      <calculatedColumnFormula>ROUND(IF(Tbl_40_Soil_Profile_01[[#This Row],[Depth (ft)]]&lt;=$D$6,0,
(2/3)*AVERAGE(Z4,Z5))+AA4,0)</calculatedColumnFormula>
    </tableColumn>
  </tableColumns>
  <tableStyleInfo name="Soil_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ABF1485-8EAE-4919-9D60-CDFC6686B123}" name="Tbl_40_N_Value" displayName="Tbl_40_N_Value" ref="C22:D23" totalsRowShown="0" headerRowDxfId="385" dataDxfId="384">
  <tableColumns count="2">
    <tableColumn id="1" xr3:uid="{766E681D-E88C-4AAB-BB6B-7B87B40C92FC}" name="Depth (ft)" dataDxfId="383"/>
    <tableColumn id="2" xr3:uid="{3B29FB75-6E4D-4B34-AE83-1D1CC8052AD4}" name="N Value (bpf)" dataDxfId="382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6EC4C0D-167F-4835-8A40-5E9F246CD5AD}" name="Tbl_40_Corrosion" displayName="Tbl_40_Corrosion" ref="F4:G7" totalsRowShown="0" headerRowDxfId="381" dataDxfId="380">
  <tableColumns count="2">
    <tableColumn id="1" xr3:uid="{5961F58E-B9F3-4827-8061-964A87E11C7D}" name="Corrosion Properties" dataDxfId="379"/>
    <tableColumn id="2" xr3:uid="{33E40D9C-B40C-4A8F-B5AD-509F95DDBE0C}" name="Value" dataDxfId="378"/>
  </tableColumns>
  <tableStyleInfo name="TableStyleLight15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805B50-3149-4DDD-8991-074FB85E196A}" name="Tbl_40_Soil_Axial" displayName="Tbl_40_Soil_Axial" ref="C17:I18" totalsRowShown="0" headerRowDxfId="377" dataDxfId="376">
  <tableColumns count="7">
    <tableColumn id="1" xr3:uid="{0D3A78E1-559D-4CA9-BAD1-4C85EA8CF7E8}" name="Soil Type" dataDxfId="375"/>
    <tableColumn id="11" xr3:uid="{12987620-DA94-4E25-92FB-9DC80749BD2F}" name="Soil Description" dataDxfId="374"/>
    <tableColumn id="2" xr3:uid="{0FE71B16-41A3-42C1-ADC7-081466920B4E}" name="Top (ft)" dataDxfId="373"/>
    <tableColumn id="3" xr3:uid="{96AADA53-9AA5-4757-8177-4F90BCC1FB55}" name="Bottom (ft)" dataDxfId="372"/>
    <tableColumn id="4" xr3:uid="{7BE43CB2-3E29-4ED8-A944-FE6AB9947A5A}" name="Unit Weight (pcf)" dataDxfId="371"/>
    <tableColumn id="5" xr3:uid="{D68B7B83-3178-46E1-815E-894B52E35271}" name="Undrained Cohesion (psf)" dataDxfId="370"/>
    <tableColumn id="6" xr3:uid="{7E0C582B-0509-46C2-B962-41C04FA03CAB}" name="Friction Angle" dataDxfId="369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64FE00D-5A35-4435-8B2C-3AA73CFA07F2}" name="Tbl_50_Pile_Type_Design" displayName="Tbl_50_Pile_Type_Design" ref="C4:EC5" totalsRowShown="0" headerRowDxfId="368" dataDxfId="367">
  <tableColumns count="131">
    <tableColumn id="1" xr3:uid="{FC00E791-CDAE-4BA3-BFED-1AF4DC9F146C}" name="ID" dataDxfId="366"/>
    <tableColumn id="2" xr3:uid="{D54349A0-7BFC-4E43-BCB7-2C23C94D5D9C}" name="Parent Shaft Type" dataDxfId="365"/>
    <tableColumn id="3" xr3:uid="{C9B19DA9-F1A5-480F-A067-AAF0BE55684B}" name="Child Shaft Type" dataDxfId="364"/>
    <tableColumn id="4" xr3:uid="{7293E422-6AEC-4A11-B955-A70AB621049A}" name="Shear" dataDxfId="363">
      <calculatedColumnFormula>IFERROR(
                    INDEX(
                                 INDIRECT("Tbl_X2_30_Loads_Stick_Up["&amp;F$4&amp;"]"),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5" xr3:uid="{EBF043A8-E9E9-4648-B97D-2304A709A631}" name="Moment" dataDxfId="362">
      <calculatedColumnFormula>IFERROR(
                    INDEX(
                                 INDIRECT("Tbl_X2_30_Loads_Stick_Up["&amp;G$4&amp;"]"),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6" xr3:uid="{A0BB2780-D677-4D83-8672-CC8D016DC602}" name="Comp" dataDxfId="361">
      <calculatedColumnFormula>IFERROR(
                    INDEX(
                                 INDIRECT("Tbl_X2_30_Loads_Stick_Up["&amp;H$4&amp;"]"),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7" xr3:uid="{3D15C959-5723-43D9-992B-9BE1AFE94FD0}" name="Tension" dataDxfId="360">
      <calculatedColumnFormula>IFERROR(
                    INDEX(
                                 INDIRECT("Tbl_X2_30_Loads_Stick_Up["&amp;I$4&amp;"]"),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33" xr3:uid="{3F66BCBA-97E2-40E6-A86E-539E6CBE95FD}" name="Z_E1" dataDxfId="359"/>
    <tableColumn id="95" xr3:uid="{3B42D1AB-2824-42D0-A9A9-A38A9EF910CE}" name="I.B.M. Compression F.S." dataDxfId="358">
      <calculatedColumnFormula>IFERROR(Tbl_50_Pile_Type_Design[[#This Row],[I.B.M. Compression Ultimate Capacity (kips)]]/(Tbl_50_Pile_Type_Design[[#This Row],[Comp]]*0.001),0)</calculatedColumnFormula>
    </tableColumn>
    <tableColumn id="93" xr3:uid="{25CD0A8A-5637-4CFF-86BC-52B3FD86AB8F}" name="I.B.M. Tension F.S." dataDxfId="357">
      <calculatedColumnFormula>IFERROR(Tbl_50_Pile_Type_Design[[#This Row],[I.B.M. Tension Ultimate Capacity (kips)]]/(Tbl_50_Pile_Type_Design[[#This Row],[Tension]]*0.001),0)</calculatedColumnFormula>
    </tableColumn>
    <tableColumn id="98" xr3:uid="{43F4776D-3F39-4E12-9C73-66C54BEC7472}" name="Z_E11" dataDxfId="356"/>
    <tableColumn id="97" xr3:uid="{3D7CC41E-A6EB-4420-92AC-764C74AB0E7D}" name="C.S.M Compression F.S." dataDxfId="355">
      <calculatedColumnFormula>IFERROR(Tbl_50_Pile_Type_Design[[#This Row],[C.S.M. Compression Ultimate Capacity (kips)]]/(Tbl_50_Pile_Type_Design[[#This Row],[Comp]]*0.001),0)</calculatedColumnFormula>
    </tableColumn>
    <tableColumn id="96" xr3:uid="{91C54FD1-A5D9-4723-9781-1DFFBB781E83}" name="C.S.M. Tension F.S." dataDxfId="354">
      <calculatedColumnFormula>IFERROR(Tbl_50_Pile_Type_Design[[#This Row],[C.S.M. Tension Ultimate Capacity (kips)]]/(Tbl_50_Pile_Type_Design[[#This Row],[Tension]]*0.001),0)</calculatedColumnFormula>
    </tableColumn>
    <tableColumn id="99" xr3:uid="{7C442511-E834-418F-927B-A505773AE7AD}" name="Z_E13" dataDxfId="353"/>
    <tableColumn id="81" xr3:uid="{9C1AEF01-D229-4120-9883-9645066D0E93}" name="Soil Cone F.S." dataDxfId="352">
      <calculatedColumnFormula>IFERROR(Tbl_50_Pile_Type_Design[[#This Row],[Soil Cone Weight (kips)]]/(Tbl_50_Pile_Type_Design[[#This Row],[Tension]]*0.001),0)</calculatedColumnFormula>
    </tableColumn>
    <tableColumn id="118" xr3:uid="{6ADF3DB8-5737-49D2-81C2-45514F956D65}" name="Column1" dataDxfId="351"/>
    <tableColumn id="117" xr3:uid="{C14FDB43-54A2-4F4E-A205-3F649364E9B0}" name="Structural Integrity" dataDxfId="350">
      <calculatedColumnFormula>"Structural Integrity: " &amp;Tbl_50_Pile_Type_Design[[#This Row],[Calc. Structural Capacities]]</calculatedColumnFormula>
    </tableColumn>
    <tableColumn id="121" xr3:uid="{2A9BE0B1-8683-446C-BDD7-45EFC12BE8E5}" name="Helix Capacities" dataDxfId="349">
      <calculatedColumnFormula>"Helix Capacities: "&amp;Tbl_50_Pile_Type_Design[[#This Row],[Calc. Helix Capacities]]</calculatedColumnFormula>
    </tableColumn>
    <tableColumn id="120" xr3:uid="{2CA85CB3-8D20-4E28-A235-2772722F5557}" name="Torque F.S." dataDxfId="348" dataCellStyle="Percent">
      <calculatedColumnFormula>IFERROR(1/(Tbl_50_Pile_Type_Design[[#This Row],[Torque Shaft Max Capacity
ft-lb]]/Tbl_50_Pile_Type_Design[[#This Row],[Inst. Torque (ft-kips)]]),0)</calculatedColumnFormula>
    </tableColumn>
    <tableColumn id="79" xr3:uid="{6D37A430-09B8-405C-A16F-D820DE378F79}" name="Z_E14" dataDxfId="347"/>
    <tableColumn id="8" xr3:uid="{1BAFEA5F-C78F-4E3C-B598-4BF33CF92188}" name="Topper" dataDxfId="346">
      <calculatedColumnFormula xml:space="preserve">
IF(
ISNUMBER(SEARCH("TOPR",Tbl_50_Pile_Type_Design[[#This Row],[Child Shaft Type]],1)),"YES","NO")</calculatedColumnFormula>
    </tableColumn>
    <tableColumn id="9" xr3:uid="{A5AC14EA-441A-417E-8022-B5FEC825953E}" name="Topper Diameter" dataDxfId="345">
      <calculatedColumnFormula>IF(
        Tbl_50_Pile_Type_Design[[#This Row],[Topper]]="YES",
       VALUE(MID(Tbl_50_Pile_Type_Design[[#This Row],[Child Shaft Type]],6,5)),
       "")</calculatedColumnFormula>
    </tableColumn>
    <tableColumn id="10" xr3:uid="{5D03AFCF-8D34-4D30-8D45-A3817D8306B2}" name="Topper Th" dataDxfId="344">
      <calculatedColumnFormula xml:space="preserve">
IF(
      Tbl_50_Pile_Type_Design[[#This Row],[Topper Diameter]]&lt;&gt;"",
      IF(
         VALUE(MID(Tbl_50_Pile_Type_Design[[#This Row],[Child Shaft Type]],12,3)) = 0,
        INDEX(Tbl_804_Pile_Std_Th[Std Th],MATCH(TEXT(Tbl_50_Pile_Type_Design[[#This Row],[Topper Diameter]],"00.00"),Tbl_804_Pile_Std_Th[Diameter],0)),
        VALUE(MID(Tbl_50_Pile_Type_Design[[#This Row],[Child Shaft Type]],12,3))
      ),
      ""
    )</calculatedColumnFormula>
    </tableColumn>
    <tableColumn id="11" xr3:uid="{843A0367-BDDB-4207-BE32-9510D328B2AF}" name="Topper Length" dataDxfId="343"/>
    <tableColumn id="12" xr3:uid="{EC746EE3-6D44-4FFD-8078-8B565BAF54FE}" name="Topper Qty" dataDxfId="342"/>
    <tableColumn id="35" xr3:uid="{2F373DD7-039F-4A77-ABFA-ADBE69165BCA}" name="Z_E2" dataDxfId="341"/>
    <tableColumn id="36" xr3:uid="{5B5FECED-6E44-4045-A73F-32452A611DBD}" name="Shape" dataDxfId="340">
      <calculatedColumnFormula>IF(
Tbl_50_Pile_Type_Design[[#This Row],[Topper]]="YES",
MID(Tbl_50_Pile_Type_Design[[#This Row],[Child Shaft Type]],21,2),
MID(Tbl_50_Pile_Type_Design[[#This Row],[Child Shaft Type]],6,2)
)</calculatedColumnFormula>
    </tableColumn>
    <tableColumn id="13" xr3:uid="{4B917192-805D-44EC-8EF7-EB9F76574AD1}" name="Diameter" dataDxfId="339">
      <calculatedColumnFormula>IFERROR(IF(
Tbl_50_Pile_Type_Design[[#This Row],[Topper]]="YES",
VALUE(MID(Tbl_50_Pile_Type_Design[[#This Row],[Child Shaft Type]],24,5)),
VALUE(MID(Tbl_50_Pile_Type_Design[[#This Row],[Child Shaft Type]],9,5))
),"00.00"&amp;CHAR(34))</calculatedColumnFormula>
    </tableColumn>
    <tableColumn id="14" xr3:uid="{71B37287-89DF-4E06-B1CB-3BF5CAA0E990}" name="Diameter Th" dataDxfId="338">
      <calculatedColumnFormula array="1">IFERROR(
IF(
Tbl_50_Pile_Type_Design[[#This Row],[Topper]]="YES",
  N("FORMULA AS ARRAY -If there is a Topper in this shaft THEN we extract the proper digits for the lead and extension; after that we check if the th = 0.000 which means that is Std. and then we bring the Std. thickness based on a database on  Wks 804") +
  IF(
     VALUE(MID(Tbl_50_Pile_Type_Design[[#This Row],[Child Shaft Type]],30,3))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Type]],30,3))
     ),
     IF(
     VALUE(MID(Tbl_50_Pile_Type_Design[[#This Row],[Child Shaft Type]],15,3))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Type]],15,3))
     )
),
"0.000"&amp;CHAR(34))</calculatedColumnFormula>
    </tableColumn>
    <tableColumn id="15" xr3:uid="{612A5270-EAD4-4DC0-AAB3-B369F9915223}" name="H1" dataDxfId="337"/>
    <tableColumn id="16" xr3:uid="{FC788262-BBBE-4D3E-BBEE-4C3790553CB5}" name="H2" dataDxfId="336"/>
    <tableColumn id="17" xr3:uid="{026F26C3-3B9E-4670-856B-CDA8ACA94C1B}" name="H3" dataDxfId="335"/>
    <tableColumn id="18" xr3:uid="{E91ED57D-0C04-4FDC-A67F-E07BDD695FC3}" name="H4" dataDxfId="334"/>
    <tableColumn id="19" xr3:uid="{F0357977-5FE6-4F83-9209-20C8E790A08A}" name="H5" dataDxfId="333"/>
    <tableColumn id="20" xr3:uid="{5BA45406-3A46-4080-882C-3245C46A16F6}" name="H6" dataDxfId="332"/>
    <tableColumn id="27" xr3:uid="{DB1AF415-3C30-45F4-A621-3BD722BE0E2E}" name="Helix Th" dataDxfId="331"/>
    <tableColumn id="26" xr3:uid="{D313FB87-C9D1-4140-8E92-F7BEED9D8064}" name="Lead Section Length" dataDxfId="330"/>
    <tableColumn id="37" xr3:uid="{B86E453C-1D12-4CB9-8678-9CF65E60EB1C}" name="Z_E3" dataDxfId="329"/>
    <tableColumn id="21" xr3:uid="{309F4DEA-403C-4128-92BB-67FF0A29AEB1}" name="EX1 Length" dataDxfId="328"/>
    <tableColumn id="22" xr3:uid="{B0F59C2B-269D-4710-A533-215C5D871086}" name="EX1 Qty" dataDxfId="327"/>
    <tableColumn id="23" xr3:uid="{8B04956E-D783-4922-B6A1-4E63158277BA}" name="EX2 Length" dataDxfId="326"/>
    <tableColumn id="24" xr3:uid="{C8411227-92D2-4919-A01B-BB4865EBC1C1}" name="EX2 Qty" dataDxfId="325"/>
    <tableColumn id="38" xr3:uid="{59CDE6EC-4205-4AC3-8D86-CADFF387AD3E}" name="Z_E4" dataDxfId="324"/>
    <tableColumn id="28" xr3:uid="{D1BA4A5D-B9B9-4CC6-8CBE-720D4521B556}" name="Plating" dataDxfId="323"/>
    <tableColumn id="39" xr3:uid="{7629A74E-9D4E-4363-95AC-7AA29F341228}" name="Z_E5" dataDxfId="322"/>
    <tableColumn id="124" xr3:uid="{54C669BC-AAEE-442C-BF7B-3DB35E22A38C}" name="Minimum Depth (ft)" dataDxfId="321">
      <calculatedColumnFormula>MAX(
    INDEX(
    Tbl_40_Soil_Parameters[Value],
    MATCH(
    "Active Zone Depth",
    Tbl_40_Soil_Parameters[General Properties],
    0)
    ),
    INDEX(
    Tbl_40_Soil_Parameters[Value],
    MATCH(
    "Install bellow soft layer",
    Tbl_40_Soil_Parameters[General Properties],
    0)
    ),
    IFERROR(
    CONVERT(
    (
    N("Calculates the distance for minimum embedment of top helix base on 5D")+
    Project_Home!$D$25*MAX(Tbl_50_Pile_Type_Design[[#This Row],[H1]:[H6]])
    )+
    (
    N("Calcualtes the helix spacing")+
    (
    COUNTIF(Tbl_50_Pile_Type_Design[[#This Row],[H1]:[H6]],"&lt;&gt;0")-N("minus one helix")-1
    )*
    MAX(Tbl_50_Pile_Type_Design[[#This Row],[H1]:[H6]])*(N("Multiply by 3 minimum spacing")+3)
    )+
    (
    N("Adds the tip length + 5 in of tolearnce")+
    Tbl_50_Pile_Type_Design[[#This Row],[Diameter]]+5
    ),
    "in",
    "ft"),
    0
    )
    )</calculatedColumnFormula>
    </tableColumn>
    <tableColumn id="126" xr3:uid="{31F20B82-B30E-4ABC-8022-8AE89BF31A3D}" name="EZ_123" dataDxfId="320"/>
    <tableColumn id="25" xr3:uid="{399189BF-6E3A-443E-A7C1-7FCBECC5F973}" name="Total Pile Length" dataDxfId="319">
      <calculatedColumnFormula xml:space="preserve">
IF(
   Tbl_50_Pile_Type_Design[[#This Row],[Topper]] ="YES",
    N("Add everything including topper length")+
    (Tbl_50_Pile_Type_Design[[#This Row],[Topper Length]]*Tbl_50_Pile_Type_Design[[#This Row],[Topper Qty]])
    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Qty]]),
    N("Exclude topper lenght because there is not any topper")+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
)</calculatedColumnFormula>
    </tableColumn>
    <tableColumn id="29" xr3:uid="{709D0924-2FBC-4702-90A9-AED1272C0F8C}" name="Z_E6" dataDxfId="318"/>
    <tableColumn id="30" xr3:uid="{B0EE6BAD-294F-490E-97A1-8464DDB2EE3A}" name="Battered Angle" dataDxfId="317"/>
    <tableColumn id="40" xr3:uid="{3AF41AFB-EE64-454E-9C13-734A59494715}" name="Z_E7" dataDxfId="316"/>
    <tableColumn id="31" xr3:uid="{0B1F7F25-4575-42A2-A2E3-3C970C928A07}" name="TOPile Max" dataDxfId="315">
      <calculatedColumnFormula>IFERROR(
                    INDEX(
                                 INDIRECT("Tbl_X2_30_Loads_Stick_Up["&amp;BB$4&amp;"]"),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32" xr3:uid="{57CBDA42-1D8E-4C5C-B3EF-0C5A6D90BF13}" name="TOPile Min" dataDxfId="314">
      <calculatedColumnFormula>IFERROR(
                    INDEX(
                                 INDIRECT("Tbl_X2_30_Loads_Stick_Up["&amp;BC$4&amp;"]"),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41" xr3:uid="{E7B890CE-22C6-4F34-BA2F-F665DF7EB267}" name="Z_E8" dataDxfId="313"/>
    <tableColumn id="42" xr3:uid="{7D49E982-4294-4164-BE62-B047D5A3C627}" name="Depth Tip of Pile" dataDxfId="312">
      <calculatedColumnFormula>IFERROR(
   (
       Tbl_50_Pile_Type_Design[[#This Row],[Total Pile Length]] -
       Tbl_50_Pile_Type_Design[[#This Row],[TOPile Max]]
    ) *
    COS(RADIANS(Tbl_50_Pile_Type_Design[[#This Row],[Battered Angle]])),
0)</calculatedColumnFormula>
    </tableColumn>
    <tableColumn id="43" xr3:uid="{5AEFF506-A7D5-4FDC-8D83-675F3E66AE27}" name="Depth H1" dataDxfId="311">
      <calculatedColumnFormula xml:space="preserve">
IF(
    Tbl_50_Pile_Type_Design[[#This Row],[H1]]=0,
         "",
         Tbl_50_Pile_Type_Design[[#This Row],[Depth Tip of Pile]]
          -
         (
           N("Returns the H1_S_Ft form table")+
           INDEX(
                        Tbl_805_Piles_Geometry[H1_S_ft],
                         MATCH(
                                        TEXT(Tbl_50_Pile_Type_Design[[#This Row],[Diameter]],"00.00")&amp;CHAR(34),
                                        Tbl_805_Piles_Geometry[Pile_Diameter],
                                        0
                                       )
                        )
       )
          *
           (
           N("Multiplies by cosine to prodive the battered distance") +
          COS(RADIANS(Tbl_50_Pile_Type_Design[[#This Row],[Battered Angle]]))
           )
)</calculatedColumnFormula>
    </tableColumn>
    <tableColumn id="44" xr3:uid="{153BD968-681C-4245-9D6F-05183FA9E27C}" name="Depth H2" dataDxfId="310"/>
    <tableColumn id="45" xr3:uid="{B857CBB7-E9D4-4BA5-8365-8D59615AFE65}" name="Depth H3" dataDxfId="309"/>
    <tableColumn id="46" xr3:uid="{2D23CF64-6C7F-4873-AD1D-EB7D49BD3F86}" name="Depth H4" dataDxfId="308"/>
    <tableColumn id="47" xr3:uid="{642AB088-2EF9-4893-921F-AB7FA38466E9}" name="Depth H5" dataDxfId="307"/>
    <tableColumn id="48" xr3:uid="{0E82CA56-0FC6-44DB-BAEA-DD04E0974C86}" name="Depth H6" dataDxfId="306"/>
    <tableColumn id="49" xr3:uid="{DEC4957E-310A-49F1-9987-9B2EE39C4598}" name="Z_E9" dataDxfId="305"/>
    <tableColumn id="50" xr3:uid="{6C5C1B0E-E89D-497A-836E-68E107CA0063}" name="Area Tip of Pile" dataDxfId="304"/>
    <tableColumn id="51" xr3:uid="{0FDA1CA5-BEB8-4743-BC5E-1AEF0C73D5E2}" name="Area H1" dataDxfId="303"/>
    <tableColumn id="52" xr3:uid="{503A9973-7A65-4BA6-92DF-5F341FC9A5EE}" name="Area H2" dataDxfId="302"/>
    <tableColumn id="53" xr3:uid="{8C72EC28-9785-4E89-A226-D8E15F4AEC1D}" name="Area H3" dataDxfId="301"/>
    <tableColumn id="54" xr3:uid="{C8059EBB-767F-40D8-BD5E-8999890FFF3A}" name="Area H4" dataDxfId="300"/>
    <tableColumn id="55" xr3:uid="{6E274DBD-7CAF-4688-AC69-33B4FE0AB406}" name="Area H5" dataDxfId="299"/>
    <tableColumn id="56" xr3:uid="{F4143822-6DB6-4184-AA3E-16EE179D7E08}" name="Area H6" dataDxfId="298"/>
    <tableColumn id="57" xr3:uid="{88099C9F-8068-4E0B-BE73-9BB06E102BD6}" name="Z_E10" dataDxfId="297"/>
    <tableColumn id="58" xr3:uid="{DC1ED3C6-FF54-45AB-8F66-F69D4E7EFC1A}" name="Compression Tip + Helices in2" dataDxfId="296">
      <calculatedColumnFormula>SUM(Tbl_50_Pile_Type_Design[[#This Row],[Area Tip of Pile]:[Area H6]])</calculatedColumnFormula>
    </tableColumn>
    <tableColumn id="59" xr3:uid="{370A983B-BF9C-442F-BC40-9E624B722B2A}" name="Tension Helices in2" dataDxfId="295">
      <calculatedColumnFormula>SUM(Tbl_50_Pile_Type_Design[[#This Row],[Area H1]:[Area H6]])</calculatedColumnFormula>
    </tableColumn>
    <tableColumn id="60" xr3:uid="{7753E7CB-12D1-4407-B735-5E49C6DD62FF}" name="Z_E112" dataDxfId="294"/>
    <tableColumn id="61" xr3:uid="{1AFED157-35CE-4705-BBB3-B4945D3B8A62}" name="Compression Tip + Helices ft2" dataDxfId="293">
      <calculatedColumnFormula>CONVERT(Tbl_50_Pile_Type_Design[[#This Row],[Compression Tip + Helices in2]],"in^2","ft^2")</calculatedColumnFormula>
    </tableColumn>
    <tableColumn id="62" xr3:uid="{137ACDAC-33AF-4825-A73A-CB91C3F5EEC0}" name="Tension Helices ft2" dataDxfId="292">
      <calculatedColumnFormula>CONVERT(Tbl_50_Pile_Type_Design[[#This Row],[Tension Helices in2]],"in^2","ft^2")</calculatedColumnFormula>
    </tableColumn>
    <tableColumn id="63" xr3:uid="{CCFAD5F8-5E19-42B7-AF27-4E3867B51095}" name="Z_E12" dataDxfId="291"/>
    <tableColumn id="64" xr3:uid="{C44A3E89-E7BF-41D9-A7E7-B95A8D056D44}" name="Soil Profile" dataDxfId="290">
      <calculatedColumnFormula>IF(MID(RIGHT(Tbl_50_Pile_Type_Design[[#This Row],[Child Shaft Type]],5),1,2)="SP","Soil_Profile_"&amp;RIGHT(Tbl_50_Pile_Type_Design[[#This Row],[Child Shaft Type]],2),"Soil_Profile_01")</calculatedColumnFormula>
    </tableColumn>
    <tableColumn id="76" xr3:uid="{4A7AB39F-4425-42F8-91EC-F91C8487BDC1}" name="Qult Tip of Pile" dataDxfId="289"/>
    <tableColumn id="65" xr3:uid="{5AF319A1-50FF-4C6C-A266-B8C51862DD68}" name="Qult H1" dataDxfId="288"/>
    <tableColumn id="66" xr3:uid="{4C545B40-51CC-45B6-94D5-EF04FFB059EF}" name="Qult H2" dataDxfId="287"/>
    <tableColumn id="67" xr3:uid="{8DB13782-F562-43D8-8117-C9B6CB244561}" name="Qult H3" dataDxfId="286"/>
    <tableColumn id="68" xr3:uid="{90FA6431-55A4-4553-B516-A4B8DC6D9266}" name="Qult H4" dataDxfId="285"/>
    <tableColumn id="69" xr3:uid="{3579B89F-A1B2-4D81-9446-7815F87EB835}" name="Qult H5" dataDxfId="284"/>
    <tableColumn id="70" xr3:uid="{CD3FF91B-C4CC-46AE-8860-89FD4AB01077}" name="Qult H6" dataDxfId="283"/>
    <tableColumn id="71" xr3:uid="{6848A157-18DE-4A88-A4A6-4D2CB22E4FF7}" name="Z_E132" dataDxfId="282"/>
    <tableColumn id="130" xr3:uid="{8B150E3B-7DCA-4B2E-BEEE-FE3566DD78ED}" name="Capacity H1" dataDxfId="281">
      <calculatedColumnFormula>IF(Tbl_50_Pile_Type_Design[[#This Row],[H1]]=0,"",IF(INDIRECT("Tbl_50_Pile_Type_Design[@Shape]")="SQ",INDEX(INDIRECT("Tbl_803_SQ_Helix_Capacities["&amp;Tbl_50_Pile_Type_Design[[#This Row],[H1]]&amp;"]"),MATCH(INDIRECT("Tbl_50_Pile_Type_Design[@Diameter]"),INDIRECT("Tbl_803_SQ_Helix_Capacities[Diameter]"),0)),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Row],[H1]]-INDIRECT("Tbl_50_Pile_Type_Design[@Diameter]"))/2,
                  2
                  )
                  ),
                  3
                  )*ROUNDUP(
                  (
                  PI()*(
                  POWER(Tbl_50_Pile_Type_Design[[#This Row],[H1]],2)-POWER(INDIRECT("Tbl_50_Pile_Type_Design[@Diameter]"),2)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9" xr3:uid="{7B73A5A5-CECE-4A73-9CD8-CFAF950CC07E}" name="Capacity H2" dataDxfId="280">
      <calculatedColumnFormula>IF(Tbl_50_Pile_Type_Design[[#This Row],[H2]]=0,"",IF(INDIRECT("Tbl_50_Pile_Type_Design[@Shape]")="SQ",INDEX(INDIRECT("Tbl_803_SQ_Helix_Capacities["&amp;Tbl_50_Pile_Type_Design[[#This Row],[H2]]&amp;"]"),MATCH(INDIRECT("Tbl_50_Pile_Type_Design[@Diameter]"),INDIRECT("Tbl_803_SQ_Helix_Capacities[Diameter]"),0)),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Row],[H2]]-INDIRECT("Tbl_50_Pile_Type_Design[@Diameter]"))/2,
                  2
                  )
                  ),
                  3
                  )*ROUNDUP(
                  (
                  PI()*(
                  POWER(Tbl_50_Pile_Type_Design[[#This Row],[H2]],2)-POWER(INDIRECT("Tbl_50_Pile_Type_Design[@Diameter]"),2)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8" xr3:uid="{25273A64-B80F-43BE-B3CB-47C573749915}" name="Capacity H3" dataDxfId="279">
      <calculatedColumnFormula>IF(Tbl_50_Pile_Type_Design[[#This Row],[H3]]=0,"",IF(INDIRECT("Tbl_50_Pile_Type_Design[@Shape]")="SQ",INDEX(INDIRECT("Tbl_803_SQ_Helix_Capacities["&amp;Tbl_50_Pile_Type_Design[[#This Row],[H3]]&amp;"]"),MATCH(INDIRECT("Tbl_50_Pile_Type_Design[@Diameter]"),INDIRECT("Tbl_803_SQ_Helix_Capacities[Diameter]"),0)),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Row],[H3]]-INDIRECT("Tbl_50_Pile_Type_Design[@Diameter]"))/2,
                  2
                  )
                  ),
                  3
                  )*ROUNDUP(
                  (
                  PI()*(
                  POWER(Tbl_50_Pile_Type_Design[[#This Row],[H3]],2)-POWER(INDIRECT("Tbl_50_Pile_Type_Design[@Diameter]"),2)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7" xr3:uid="{5CF1B2B0-DC83-4A49-873D-3122175A8645}" name="Capacity H4" dataDxfId="278">
      <calculatedColumnFormula>IF(Tbl_50_Pile_Type_Design[[#This Row],[H4]]=0,"",IF(INDIRECT("Tbl_50_Pile_Type_Design[@Shape]")="SQ",INDEX(INDIRECT("Tbl_803_SQ_Helix_Capacities["&amp;Tbl_50_Pile_Type_Design[[#This Row],[H4]]&amp;"]"),MATCH(INDIRECT("Tbl_50_Pile_Type_Design[@Diameter]"),INDIRECT("Tbl_803_SQ_Helix_Capacities[Diameter]"),0)),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Row],[H4]]-INDIRECT("Tbl_50_Pile_Type_Design[@Diameter]"))/2,
                  2
                  )
                  ),
                  3
                  )*ROUNDUP(
                  (
                  PI()*(
                  POWER(Tbl_50_Pile_Type_Design[[#This Row],[H4]],2)-POWER(INDIRECT("Tbl_50_Pile_Type_Design[@Diameter]"),2)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5" xr3:uid="{63232374-6DFF-4E3F-9C75-2C0470828D82}" name="Capacity H5" dataDxfId="277">
      <calculatedColumnFormula>IF(Tbl_50_Pile_Type_Design[[#This Row],[H5]]=0,"",IF(INDIRECT("Tbl_50_Pile_Type_Design[@Shape]")="SQ",INDEX(INDIRECT("Tbl_803_SQ_Helix_Capacities["&amp;Tbl_50_Pile_Type_Design[[#This Row],[H5]]&amp;"]"),MATCH(INDIRECT("Tbl_50_Pile_Type_Design[@Diameter]"),INDIRECT("Tbl_803_SQ_Helix_Capacities[Diameter]"),0)),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Row],[H5]]-INDIRECT("Tbl_50_Pile_Type_Design[@Diameter]"))/2,
                  2
                  )
                  ),
                  3
                  )*ROUNDUP(
                  (
                  PI()*(
                  POWER(Tbl_50_Pile_Type_Design[[#This Row],[H5]],2)-POWER(INDIRECT("Tbl_50_Pile_Type_Design[@Diameter]"),2)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3" xr3:uid="{C9A0122A-88A1-4F32-8594-350D5D7A1C0D}" name="Capacity H6" dataDxfId="276">
      <calculatedColumnFormula>IF(Tbl_50_Pile_Type_Design[[#This Row],[H6]]=0,"",IF(INDIRECT("Tbl_50_Pile_Type_Design[@Shape]")="SQ",INDEX(INDIRECT("Tbl_803_SQ_Helix_Capacities["&amp;Tbl_50_Pile_Type_Design[[#This Row],[H6]]&amp;"]"),MATCH(INDIRECT("Tbl_50_Pile_Type_Design[@Diameter]"),INDIRECT("Tbl_803_SQ_Helix_Capacities[Diameter]"),0)),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Row],[H6]]-INDIRECT("Tbl_50_Pile_Type_Design[@Diameter]"))/2,
                  2
                  )
                  ),
                  3
                  )*ROUNDUP(
                  (
                  PI()*(
                  POWER(Tbl_50_Pile_Type_Design[[#This Row],[H6]],2)-POWER(INDIRECT("Tbl_50_Pile_Type_Design[@Diameter]"),2)
                  )/4
                  ),3
                  ),3
                  )*
                  1.67*
                  0.9,
        3
)
)
)</calculatedColumnFormula>
    </tableColumn>
    <tableColumn id="88" xr3:uid="{91DB303C-9C5C-403B-AA6F-D65314636F08}" name="Z_E15" dataDxfId="275"/>
    <tableColumn id="82" xr3:uid="{A946EDF7-BEE4-4D48-9E31-F477BC9BE3D7}" name="Contribution Load Tip of Pile" dataDxfId="274"/>
    <tableColumn id="87" xr3:uid="{367DD786-B0C5-47E2-ACF1-C1928EFD345C}" name="Contribution Load H1" dataDxfId="273"/>
    <tableColumn id="85" xr3:uid="{3816DDE2-F016-419D-8705-C56B9429E7A7}" name="Contribution Load H2" dataDxfId="272"/>
    <tableColumn id="86" xr3:uid="{1AAACE70-BF74-4D8A-A790-CFC447ADD8AD}" name="Contribution Load H3" dataDxfId="271"/>
    <tableColumn id="84" xr3:uid="{814C462E-E801-4772-AAF9-DE9920586902}" name="Contribution Load H4" dataDxfId="270"/>
    <tableColumn id="83" xr3:uid="{7DA3BA2E-E293-41A8-82AC-18DC769BD632}" name="Contribution Load H5" dataDxfId="269"/>
    <tableColumn id="80" xr3:uid="{035827DB-A338-49A4-998E-79BD6E910CD5}" name="Contribution Load H6" dataDxfId="268"/>
    <tableColumn id="131" xr3:uid="{668EA36A-B90E-4EFF-8B0B-25FE0C536212}" name="Contribution Load H7" dataDxfId="267"/>
    <tableColumn id="72" xr3:uid="{E14E2C15-759D-4E91-861A-B7CFAAE9CD38}" name="Tip and Helices Depth below grade" dataDxfId="266">
      <calculatedColumnFormula>_xlfn.IFS(
Tbl_50_Pile_Type_Design[[#This Row],[H6]] &lt;&gt; 0,
"Helix No. 6 Depth = " &amp;Tbl_50_Pile_Type_Design[[#This Row],[Depth H6]]&amp;" ft"&amp;"
"&amp;"Helix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Row],[H5]] &lt;&gt; 0,
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Row],[H4]] &lt;&gt; 0,
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Row],[H3]] &lt;&gt; 0,
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Row],[H2]] &lt;&gt; 0,
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Row],[H1]] &lt;&gt; 0,
"Helix No. 1 Depth = " &amp;Tbl_50_Pile_Type_Design[[#This Row],[Depth H1]]&amp;" ft"&amp;"
"&amp;"Pile Tip Depth = " &amp;Tbl_50_Pile_Type_Design[[#This Row],[Depth Tip of Pile]]&amp;" ft",
Tbl_50_Pile_Type_Design[[#This Row],[H1]] = 0,
"Please Insert Helices"
)</calculatedColumnFormula>
    </tableColumn>
    <tableColumn id="73" xr3:uid="{85EB59F5-4FD0-48A2-9550-A18F06C2CA79}" name="Tip and Helices Area" dataDxfId="265"/>
    <tableColumn id="74" xr3:uid="{220C3936-8EBF-4160-875F-4F80AA20F4F0}" name="Tip and Helices Soil Qult psf" dataDxfId="264">
      <calculatedColumnFormula>_xlfn.IFS(
Tbl_50_Pile_Type_Design[[#This Row],[H6]] &lt;&gt; 0,
"Helix No. 6 Qult = " &amp;TEXT(Tbl_50_Pile_Type_Design[[#This Row],[Qult H6]],"##,#")&amp;" psf"&amp;"
"&amp;"Helix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Row],[H5]] &lt;&gt; 0,
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Row],[H4]] &lt;&gt; 0,
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Row],[H3]] &lt;&gt; 0,
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Row],[H2]] &lt;&gt; 0,
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Row],[H1]] &lt;&gt; 0,
"Helix No. 1 Qult = " &amp;TEXT(Tbl_50_Pile_Type_Design[[#This Row],[Qult H1]],"##,#")&amp;" psf"&amp;"
"&amp;"Pile Tip Qult = " &amp;TEXT(Tbl_50_Pile_Type_Design[[#This Row],[Qult Tip of Pile]],"##,#")&amp;" psf",
Tbl_50_Pile_Type_Design[[#This Row],[H1]] = 0,
"Please Insert Helices"
)</calculatedColumnFormula>
    </tableColumn>
    <tableColumn id="91" xr3:uid="{8971D686-DFDB-4519-8F85-2F71F149B1E6}" name="Skin Friction Contribution Topper (Kips)" dataDxfId="263"/>
    <tableColumn id="90" xr3:uid="{3BD37EE4-895F-4351-8766-3DE8CD9D09F6}" name="Skin Friction Contribution Lead and Extensions (Kips)" dataDxfId="262"/>
    <tableColumn id="77" xr3:uid="{F1FCC777-B9B0-4CB6-9E7E-ED73565820E2}" name="Compression Individual Contribution" dataDxfId="261">
      <calculatedColumnFormula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&lt;&gt; 0,
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= 0,
"Please Insert Helices"
)</calculatedColumnFormula>
    </tableColumn>
    <tableColumn id="78" xr3:uid="{3153EA97-29D0-4343-B4EF-C7D8DD1ED3FB}" name="Tension Individual Contribution" dataDxfId="260">
      <calculatedColumnFormula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Row],[H1]] &lt;&gt; 0,
"Helix No. 1 = " &amp;TEXT(MIN(Tbl_50_Pile_Type_Design[[#This Row],[Capacity H1]],Tbl_50_Pile_Type_Design[[#This Row],[Contribution Load H1]]),"##,#")&amp;" lb",
Tbl_50_Pile_Type_Design[[#This Row],[H1]] = 0,
"Please Insert Helices"
)</calculatedColumnFormula>
    </tableColumn>
    <tableColumn id="89" xr3:uid="{E14541DD-C52F-4118-88E3-4722E8881BF8}" name="Z_E142" dataDxfId="259"/>
    <tableColumn id="34" xr3:uid="{A2B94673-8CF6-4E98-A4EF-453C294CACCD}" name="I.B.M. Compression Ultimate Capacity (kips)" dataDxfId="258">
      <calculatedColumnFormula>(
     SUM(
                   Tbl_50_Pile_Type_Design[[#This Row],[Contribution Load Tip of Pile]],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calculatedColumnFormula>
    </tableColumn>
    <tableColumn id="75" xr3:uid="{8093583F-8D74-44B1-94AC-2A29F423A845}" name="I.B.M. Tension Ultimate Capacity (kips)" dataDxfId="257">
      <calculatedColumnFormula>(
     SUM(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calculatedColumnFormula>
    </tableColumn>
    <tableColumn id="100" xr3:uid="{4E07C4B7-43B5-449F-93C9-538ECE233678}" name="Z_E156" dataDxfId="256"/>
    <tableColumn id="101" xr3:uid="{2B284D0A-6403-4985-8F45-3BC23EEC8C3D}" name="C.S.M. Pile Tip Capacity (kips)" dataDxfId="255">
      <calculatedColumnFormula>IFERROR(Tbl_50_Pile_Type_Design[[#This Row],[Contribution Load Tip of Pile]]/1000,0)</calculatedColumnFormula>
    </tableColumn>
    <tableColumn id="102" xr3:uid="{7E373036-6C92-432E-9F93-2C8D5507F135}" name="C.S.M. Bottom Plate Capacity (kips)" dataDxfId="254">
      <calculatedColumnFormula>IFERROR(Tbl_50_Pile_Type_Design[[#This Row],[Contribution Load H1]]/1000,0)</calculatedColumnFormula>
    </tableColumn>
    <tableColumn id="103" xr3:uid="{DC32BE01-C292-42F1-9CB1-3AB856899B19}" name="C.S.M. Top Plate Capacity (kips)" dataDxfId="253">
      <calculatedColumnFormula>IFERROR((LOOKUP(2,1/(Tbl_50_Pile_Type_Design[[#This Row],[Contribution Load H1]:[Contribution Load H6]]&lt;&gt;""),Tbl_50_Pile_Type_Design[[#This Row],[Contribution Load H1]:[Contribution Load H6]]))/1000,0)</calculatedColumnFormula>
    </tableColumn>
    <tableColumn id="104" xr3:uid="{31B0BAF5-76C5-4573-9FC7-0D940E7888AB}" name="Cylindrical Shear (kips)" dataDxfId="252"/>
    <tableColumn id="105" xr3:uid="{9EECC02E-DA3F-437F-92AA-1928A0F429DA}" name="C.S.M. Compression Ultimate Capacity (kips)" dataDxfId="251">
      <calculatedColumnFormula>IFERROR(
Tbl_50_Pile_Type_Design[[#This Row],[C.S.M. Pile Tip Capacity (kips)]]+Tbl_50_Pile_Type_Design[[#This Row],[C.S.M. Bottom Plate Capacity (kips)]]+Tbl_50_Pile_Type_Design[[#This Row],[Cylindrical Shear (kips)]],
0)</calculatedColumnFormula>
    </tableColumn>
    <tableColumn id="106" xr3:uid="{9BD39DBE-C1EA-4CBB-8932-3206966822DF}" name="C.S.M. Tension Ultimate Capacity (kips)" dataDxfId="250">
      <calculatedColumnFormula>IFERROR(
Tbl_50_Pile_Type_Design[[#This Row],[C.S.M. Top Plate Capacity (kips)]]+Tbl_50_Pile_Type_Design[[#This Row],[Cylindrical Shear (kips)]],
0)</calculatedColumnFormula>
    </tableColumn>
    <tableColumn id="107" xr3:uid="{B10BCC83-F504-43AB-822A-4FEBB882458A}" name="Z_E20" dataDxfId="249"/>
    <tableColumn id="108" xr3:uid="{A9574DAF-A489-4217-8582-60C3F118CF23}" name="Soil Cone Volume (ft3)" dataDxfId="248">
      <calculatedColumnFormula>IFERROR(PI()*(LOOKUP(2,1/(Tbl_50_Pile_Type_Design[[#This Row],[Depth H1]:[Depth H6]]&lt;&gt;""),Tbl_50_Pile_Type_Design[[#This Row],[Depth H1]:[Depth H6]]))^3/3,0)</calculatedColumnFormula>
    </tableColumn>
    <tableColumn id="92" xr3:uid="{9750C20A-F6C8-4BF3-BC99-361001FE7A5F}" name="Soil Cone Unit Weight (pcf)" dataDxfId="247">
      <calculatedColumnFormula>IFERROR(INDEX(INDIRECT("Tbl_40_"&amp;Tbl_50_Pile_Type_Design[[#This Row],[Soil Profile]]&amp;"[Unit_Weight_(pcf)]"),LOOKUP(2,1/(Tbl_50_Pile_Type_Design[[#This Row],[Depth H1]:[Depth H6]]&lt;&gt;""),Tbl_50_Pile_Type_Design[[#This Row],[Depth H1]:[Depth H6]])),0)</calculatedColumnFormula>
    </tableColumn>
    <tableColumn id="94" xr3:uid="{90A3EC68-FB3D-4525-9FDD-9A2F216BA11F}" name="Soil Cone Weight (kips)" dataDxfId="246">
      <calculatedColumnFormula>IFERROR(Tbl_50_Pile_Type_Design[[#This Row],[Soil Cone Volume (ft3)]]*Tbl_50_Pile_Type_Design[[#This Row],[Soil Cone Unit Weight (pcf)]]/1000,0)</calculatedColumnFormula>
    </tableColumn>
    <tableColumn id="109" xr3:uid="{5D4A436A-B6C5-4C0B-BC67-52A0FF332C0E}" name="Z_E21" dataDxfId="245"/>
    <tableColumn id="110" xr3:uid="{B8FD59D7-4999-452D-8CD5-64F34D654549}" name="Calc. Helix Capacities" dataDxfId="244">
      <calculatedColumnFormula>"Pending"</calculatedColumnFormula>
    </tableColumn>
    <tableColumn id="111" xr3:uid="{A9D07216-EB30-4BD8-BEF9-982BA46274FF}" name="Calc. Structural Capacities" dataDxfId="243">
      <calculatedColumnFormula>"Pending"</calculatedColumnFormula>
    </tableColumn>
    <tableColumn id="112" xr3:uid="{25452C64-512D-4F7A-A136-1ECFD53E34FE}" name="Z_E22" dataDxfId="242"/>
    <tableColumn id="113" xr3:uid="{9A25E123-48C6-4278-A597-7AD1B081E97B}" name="Kt (ft-1)" dataDxfId="241">
      <calculatedColumnFormula array="1">IFERROR(
       INDEX(
         INDIRECT("Tbl_803_Kt[Kt]"),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calculatedColumnFormula>
    </tableColumn>
    <tableColumn id="114" xr3:uid="{F25DFA95-6A39-4E19-B56A-3E0587A26A35}" name="Design Torque (ft-kips)" dataDxfId="240">
      <calculatedColumnFormula xml:space="preserve">
IFERROR(
IF(
               Tbl_50_Pile_Type_Design[[#This Row],[Comp]] = 0,
               N("This means that the pile is only designed for tension, then we apply the 0.85 F.S") +
                  (
                     Tbl_50_Pile_Type_Design[[#This Row],[Tension]]*2/Tbl_50_Pile_Type_Design[[#This Row],[Kt (ft-1)]]
                    )/0.85,
              N("We calculate the torque base on compression") +
                 (
                   Tbl_50_Pile_Type_Design[[#This Row],[Comp]]*2/Tbl_50_Pile_Type_Design[[#This Row],[Kt (ft-1)]]
                  )
        ),
0)</calculatedColumnFormula>
    </tableColumn>
    <tableColumn id="115" xr3:uid="{A1DC86F3-0995-47B8-8B0F-031C7DC8B5A2}" name="Inst. Torque (ft-kips)" dataDxfId="239">
      <calculatedColumnFormula>IFERROR(
                   IF(
                        Tbl_50_Pile_Type_Design[[#This Row],[Design Torque (ft-kips)]]&lt;2500,
                        2500,
                       _xlfn.CEILING.MATH(Tbl_50_Pile_Type_Design[[#This Row],[Design Torque (ft-kips)]],500)
                         ),
                  )</calculatedColumnFormula>
    </tableColumn>
    <tableColumn id="116" xr3:uid="{29D4016C-8493-46DC-B8D9-141B3820DFC7}" name="Torque Shaft Max Capacity_x000a_ft-lb" dataDxfId="238">
      <calculatedColumnFormula array="1">IFERROR(
       INDEX(
         INDIRECT("Tbl_803_Kt[Max Torque]"),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calculatedColumnFormula>
    </tableColumn>
    <tableColumn id="119" xr3:uid="{EEEC836F-AD43-49FF-AA62-CE42F8DF0E99}" name="Z_E23" dataDxfId="237"/>
    <tableColumn id="122" xr3:uid="{3AAFB060-5333-4FD2-BB16-2C9E6B2CE27B}" name="Pile Description" dataDxfId="236">
      <calculatedColumnFormula>IFERROR(
                IF( Tbl_50_Pile_Type_Design[[#This Row],[Topper]]="Yes",
                      "Topper "&amp;
                       Tbl_50_Pile_Type_Design[[#This Row],[Topper Diameter]]&amp;CHAR(34)&amp;IF(Tbl_50_Pile_Type_Design[[#This Row],[Topper Th]]="0.000","","x"&amp;Tbl_50_Pile_Type_Design[[#This Row],[Topper Th]]&amp;CHAR(34))&amp;" x "&amp;
                       TEXT(Tbl_50_Pile_Type_Design[[#This Row],[Topper Length]]*Tbl_50_Pile_Type_Design[[#This Row],[Topper Qty]],"00")&amp;CHAR(39)&amp;" / "&amp;
                       "Shaft " &amp;
                        TEXT( Tbl_50_Pile_Type_Design[[#This Row],[Diameter]],"00.00") &amp; CHAR(34)&amp;IF(Tbl_50_Pile_Type_Design[[#This Row],[Diameter Th]]="0.000","","x"&amp;Tbl_50_Pile_Type_Design[[#This Row],[Diameter Th]]&amp;CHAR(34))&amp;" x "&amp;
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 &amp;
                        "Part Config" &amp;"("&amp;Tbl_50_Pile_Type_Design[[#This Row],[Lead Section Length]] &amp;")("&amp;Tbl_50_Pile_Type_Design[[#This Row],[EX1 Length]]&amp;"-"&amp;Tbl_50_Pile_Type_Design[[#This Row],[EX1 Qty]]&amp;")("&amp;Tbl_50_Pile_Type_Design[[#This Row],[EX2 Length]]&amp;"-"&amp;Tbl_50_Pile_Type_Design[[#This Row],[EX2 Qty]]&amp;")",
                        "Shaft " &amp;
                      TEXT( Tbl_50_Pile_Type_Design[[#This Row],[Diameter]],"00.00") &amp; CHAR(34)&amp;IF(Tbl_50_Pile_Type_Design[[#This Row],[Diameter Th]]="0.000","","x"&amp;Tbl_50_Pile_Type_Design[[#This Row],[Diameter Th]]&amp;CHAR(34))&amp;" x "&amp;
 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Th]]&amp;
                        "Part Config" &amp;"("&amp;Tbl_50_Pile_Type_Design[[#This Row],[Lead Section Length]] &amp;")(" &amp;Tbl_50_Pile_Type_Design[[#This Row],[EX1 Length]]&amp;"-"&amp;Tbl_50_Pile_Type_Design[[#This Row],[EX1 Qty]]&amp;")("&amp;Tbl_50_Pile_Type_Design[[#This Row],[EX2 Length]]&amp;"-"&amp;Tbl_50_Pile_Type_Design[[#This Row],[EX2 Qty]]&amp;")"
                   ),"")</calculatedColumnFormula>
    </tableColumn>
  </tableColumns>
  <tableStyleInfo name="TableStylePileDesign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F241075-BB14-402D-8C86-5FBB7CA98F0E}" name="Tbl_60_LPile_Output" displayName="Tbl_60_LPile_Output" ref="K3:U4" tableType="queryTable" totalsRowShown="0" headerRowDxfId="235" dataDxfId="234">
  <autoFilter ref="K3:U4" xr:uid="{062B7F18-0347-47FB-BB8D-77E93F398121}"/>
  <tableColumns count="11">
    <tableColumn id="1" xr3:uid="{C6CBF283-705E-4759-8BCA-C3E0874D60B7}" uniqueName="1" name="Connection Type" queryTableFieldId="1" dataDxfId="233"/>
    <tableColumn id="2" xr3:uid="{C08AB596-C69D-4845-A14A-82FB7F46054A}" uniqueName="2" name="Lpile Elevation" queryTableFieldId="2" dataDxfId="232"/>
    <tableColumn id="3" xr3:uid="{FF122D51-E3E6-4D3C-A556-44D4BD576C14}" uniqueName="3" name="Shaft Type" queryTableFieldId="3" dataDxfId="231"/>
    <tableColumn id="5" xr3:uid="{D40C0C6D-B525-4E14-B0E4-8DEDA67366FB}" uniqueName="5" name="Max Shear (lb)" queryTableFieldId="5" dataDxfId="230"/>
    <tableColumn id="6" xr3:uid="{F36B569E-AE27-49B2-A79E-190837F81E21}" uniqueName="6" name="Max Moment (in-lb)" queryTableFieldId="6" dataDxfId="229"/>
    <tableColumn id="7" xr3:uid="{B2F5C413-192A-48EC-A4AA-4F48A09F693B}" uniqueName="7" name="Max Comp (lb)" queryTableFieldId="7" dataDxfId="228"/>
    <tableColumn id="8" xr3:uid="{B880F615-825E-45CA-AC2A-B633FA30C305}" uniqueName="8" name="Max Tension (lb)" queryTableFieldId="8" dataDxfId="227"/>
    <tableColumn id="9" xr3:uid="{F66FBAEA-584C-409D-9EC3-62250FBA4DF4}" uniqueName="9" name="Structures" queryTableFieldId="9" dataDxfId="226"/>
    <tableColumn id="4" xr3:uid="{66EFB213-D6EE-42A7-B4CA-0E37903C13FF}" uniqueName="4" name="Deflection @ grade (inches)" queryTableFieldId="10" dataDxfId="225"/>
    <tableColumn id="10" xr3:uid="{8F35A09F-5984-40AE-AAAC-881A003F6026}" uniqueName="10" name="Rotation @ Grade (degrees)" queryTableFieldId="11" dataDxfId="224"/>
    <tableColumn id="11" xr3:uid="{9360C711-C446-436A-A519-118E3A4AD920}" uniqueName="11" name="Expected Settlement" queryTableFieldId="12" dataDxfId="223"/>
  </tableColumns>
  <tableStyleInfo name="TableStyleLight2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C79A5A9B-361D-4A20-BEF5-77A9F633A19D}" name="Tbl_60_LPile_Design_Parameters" displayName="Tbl_60_LPile_Design_Parameters" ref="M8:R9" tableType="queryTable" totalsRowShown="0" headerRowDxfId="222" dataDxfId="221">
  <autoFilter ref="M8:R9" xr:uid="{4535A1B5-1618-4BD9-9C4E-7BF3E003B592}"/>
  <tableColumns count="6">
    <tableColumn id="1" xr3:uid="{110CDB34-0FC7-4F8F-9D10-660E7AD27D48}" uniqueName="1" name="Shaft Type" queryTableFieldId="1" dataDxfId="220"/>
    <tableColumn id="2" xr3:uid="{CFF6A06E-1116-4351-9241-697CA4ADE446}" uniqueName="2" name="Coating Type" queryTableFieldId="2" dataDxfId="219">
      <calculatedColumnFormula>IFERROR(
INDEX(
                Tbl_50_Pile_Type_Design[Plating],
                MATCH(
                               Tbl_60_LPile_Design_Parameters[[#This Row],[Shaft Type]],
                               Tbl_50_Pile_Type_Design[Child Shaft Type],
                               0
                               )
),"")</calculatedColumnFormula>
    </tableColumn>
    <tableColumn id="3" xr3:uid="{1119E0F3-9929-4C48-A3B4-3F0A1C52E7FA}" uniqueName="3" name="Nominal Diameter" queryTableFieldId="3" dataDxfId="218">
      <calculatedColumnFormula>IFERROR(
INDEX(
                Tbl_50_Pile_Type_Design[Diameter],
                MATCH(
                               Tbl_60_LPile_Design_Parameters[[#This Row],[Shaft Type]],
                               Tbl_50_Pile_Type_Design[Child Shaft Type],
                               0
                               )
),
"")</calculatedColumnFormula>
    </tableColumn>
    <tableColumn id="4" xr3:uid="{4FC4DD3B-2954-4C42-B207-5C10026EDC74}" uniqueName="4" name="Nominal Thickness" queryTableFieldId="4" dataDxfId="217">
      <calculatedColumnFormula>IFERROR(
INDEX(
                Tbl_50_Pile_Type_Design[Diameter Th],
                MATCH(
                               Tbl_60_LPile_Design_Parameters[[#This Row],[Shaft Type]],
                               Tbl_50_Pile_Type_Design[Child Shaft Type],
                               0
                               )
),
"")</calculatedColumnFormula>
    </tableColumn>
    <tableColumn id="5" xr3:uid="{F91DAB1A-91C6-48D2-8C9E-A862A29EA839}" uniqueName="5" name="Lpile Diameter" queryTableFieldId="5" dataDxfId="216">
      <calculatedColumnFormula>IFERROR(
 IF(
        OR(
                  Tbl_60_LPile_Design_Parameters[[#This Row],[Nominal Diameter]] = 3,
                 Tbl_60_LPile_Design_Parameters[[#This Row],[Nominal Diameter]]=4
                ),
          "",
          (
               N("Diameter")+
               Tbl_60_LPile_Design_Parameters[[#This Row],[Nominal Diameter]]
          )-
        (
              N("minus the corrosion Loss") +
              IF(
                     Tbl_60_LPile_Design_Parameters[[#This Row],[Coating Type]]="B",
                     0.036,
                     $F$16*2             )
         )
    ),
"")</calculatedColumnFormula>
    </tableColumn>
    <tableColumn id="6" xr3:uid="{0C3C5883-438D-4771-956F-EAAF6B6539CC}" uniqueName="6" name="Lpile Th" queryTableFieldId="6" dataDxfId="215">
      <calculatedColumnFormula xml:space="preserve">  IFERROR(
IF(
        OR(
                  Tbl_60_LPile_Design_Parameters[[#This Row],[Nominal Diameter]] = 3,
                 Tbl_60_LPile_Design_Parameters[[#This Row],[Nominal Diameter]]=4
                ),
          "",
(
      N("Nominal thickness multiplied by Mill Tolerance") +
      Tbl_60_LPile_Design_Parameters[[#This Row],[Nominal Thickness]]*$F$14
  )-
  (
    N("Substract the Total corrosion loss")+
    IF(
           Tbl_60_LPile_Design_Parameters[[#This Row],[Coating Type]]="B",
           0.036,
           ($F$18)
         )
)
),
"")</calculatedColumnFormula>
    </tableColumn>
  </tableColumns>
  <tableStyleInfo name="TableStyleLPileDesignParameters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C72250F-51A5-45C3-8CDE-5D35E76B1430}" name="Tbl_70_Submittal_Home" displayName="Tbl_70_Submittal_Home" ref="C6:E16" totalsRowShown="0" headerRowDxfId="214" dataDxfId="213">
  <autoFilter ref="C6:E16" xr:uid="{4F08A618-9B24-447E-A85A-6FA1EF36400B}"/>
  <tableColumns count="3">
    <tableColumn id="1" xr3:uid="{9365862A-2557-41AA-93DF-369F34AF8622}" name="WorkSheet Name" dataDxfId="212"/>
    <tableColumn id="2" xr3:uid="{443F5DA8-DE66-4F4D-9493-ADE8D95F4B12}" name="Navigate To" dataDxfId="211"/>
    <tableColumn id="3" xr3:uid="{D3CB21F0-AA3E-4E73-92AB-0EBC2D049361}" name="ID" dataDxfId="21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54F0BE77-A5C9-44FC-960D-4B6ED3443CE9}" name="Tbl_71A_Pile_Type_Design" displayName="Tbl_71A_Pile_Type_Design" ref="C3:Y4" tableType="queryTable" totalsRowShown="0" headerRowDxfId="209" dataDxfId="208">
  <autoFilter ref="C3:Y4" xr:uid="{BEB1D95E-224C-4B2E-814E-B4CC312B5EB9}"/>
  <tableColumns count="23">
    <tableColumn id="1" xr3:uid="{87DE5871-A188-4C6F-85EF-477EF4D644FD}" uniqueName="1" name="Child Shaft Type" queryTableFieldId="1" dataDxfId="207"/>
    <tableColumn id="7" xr3:uid="{F882ACF1-8141-4BE5-9284-076766C01E0A}" uniqueName="7" name="Z_E1" queryTableFieldId="7" dataDxfId="206"/>
    <tableColumn id="3" xr3:uid="{D911A536-1688-488A-B1F1-DC224F85104E}" uniqueName="3" name="Shear" queryTableFieldId="3" dataDxfId="205"/>
    <tableColumn id="4" xr3:uid="{9E422894-EDEE-4906-83BB-01641ADE93EA}" uniqueName="4" name="Moment" queryTableFieldId="4" dataDxfId="204"/>
    <tableColumn id="5" xr3:uid="{87B0F97F-C7C0-4839-BEFF-0176A09D6377}" uniqueName="5" name="Comp" queryTableFieldId="5" dataDxfId="203"/>
    <tableColumn id="6" xr3:uid="{DDD9CA84-7AE1-46CA-B03F-6466582D3AD3}" uniqueName="6" name="Tension" queryTableFieldId="6" dataDxfId="202"/>
    <tableColumn id="29" xr3:uid="{F2F7E548-1712-46B1-8046-CFAB6E9222CD}" uniqueName="29" name="Z_E11" queryTableFieldId="30" dataDxfId="201"/>
    <tableColumn id="16" xr3:uid="{2E10430A-3A93-44DF-9957-7D39A492399C}" uniqueName="16" name="Capacity H1" queryTableFieldId="57" dataDxfId="200"/>
    <tableColumn id="17" xr3:uid="{C882C44A-6D5A-4A65-A558-DCB1CC188661}" uniqueName="17" name="Capacity H2" queryTableFieldId="58" dataDxfId="199"/>
    <tableColumn id="18" xr3:uid="{0481F589-5B4E-4463-9E73-4C219D3977AC}" uniqueName="18" name="Z_E15" queryTableFieldId="59" dataDxfId="198"/>
    <tableColumn id="19" xr3:uid="{A06306BE-C31C-4F39-A718-A250A2B02F5F}" uniqueName="19" name="Contribution Load H1" queryTableFieldId="60" dataDxfId="197"/>
    <tableColumn id="20" xr3:uid="{D734A82E-E07C-4F91-A396-862ECEF110F7}" uniqueName="20" name="Contribution Load H2" queryTableFieldId="61" dataDxfId="196"/>
    <tableColumn id="21" xr3:uid="{0CF6206E-6EE2-4D9B-A619-ABF1E484EDA6}" uniqueName="21" name="Tip and Helices Depth below grade" queryTableFieldId="62" dataDxfId="195"/>
    <tableColumn id="22" xr3:uid="{E121E319-810F-4E21-A5C8-F8CB415FC097}" uniqueName="22" name="Tip and Helices Area" queryTableFieldId="63" dataDxfId="194"/>
    <tableColumn id="23" xr3:uid="{55E63402-67FD-4065-ABF1-BEE996A8FFED}" uniqueName="23" name="Tip and Helices Soil Qult psf" queryTableFieldId="64" dataDxfId="193"/>
    <tableColumn id="24" xr3:uid="{A880EF07-2C14-44FC-B300-576A31AC277C}" uniqueName="24" name="Skin Friction Contribution Topper (Kips)" queryTableFieldId="65" dataDxfId="192"/>
    <tableColumn id="25" xr3:uid="{109A1CA2-5329-4E63-87AC-C028A92A9104}" uniqueName="25" name="Skin Friction Contribution Lead and Extensions (Kips)" queryTableFieldId="66" dataDxfId="191"/>
    <tableColumn id="26" xr3:uid="{DD30DC3A-C278-4847-B9F3-1B8A325BCF7B}" uniqueName="26" name="Compression Individual Contribution" queryTableFieldId="67" dataDxfId="190"/>
    <tableColumn id="27" xr3:uid="{C450A24B-EBF8-4830-A56F-33775557A6A5}" uniqueName="27" name="Tension Individual Contribution" queryTableFieldId="68" dataDxfId="189"/>
    <tableColumn id="28" xr3:uid="{52228CDC-0812-41FF-BA12-DEF25A83A7C0}" uniqueName="28" name="Z_E142" queryTableFieldId="69" dataDxfId="188"/>
    <tableColumn id="30" xr3:uid="{F519CA9C-6AF6-4BC9-82C3-5942662AB39D}" uniqueName="30" name="I.B.M. Compression Ultimate Capacity (kips)" queryTableFieldId="70" dataDxfId="187"/>
    <tableColumn id="31" xr3:uid="{8B2F4CA0-3890-45FE-B1DD-84751312221C}" uniqueName="31" name="I.B.M. Tension Ultimate Capacity (kips)" queryTableFieldId="71" dataDxfId="186"/>
    <tableColumn id="32" xr3:uid="{05B4B2FF-1162-4C28-922F-EC284CC327B1}" uniqueName="32" name="Z_E156" queryTableFieldId="72" dataDxfId="185"/>
  </tableColumns>
  <tableStyleInfo name="TableStylePileDesign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4B2BCA0-3726-46BA-8CCA-36A016DC72B3}" name="Tbl_600_Helpers_Home" displayName="Tbl_600_Helpers_Home" ref="C5:D15" totalsRowShown="0" headerRowDxfId="184" dataDxfId="183">
  <sortState ref="C6:D15">
    <sortCondition ref="C3:C13"/>
  </sortState>
  <tableColumns count="2">
    <tableColumn id="1" xr3:uid="{68349BC9-DBFE-4294-8EAE-C573C6675CCE}" name="WorkSheet Name" dataDxfId="182"/>
    <tableColumn id="2" xr3:uid="{0555064C-8D2C-449A-AD8F-429467F9A946}" name="Navigate To" dataDxfId="181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B729094-96ED-41DA-A3D3-CDCAF619A7BF}" name="Tbl_X1_10_IFC_Rev_Number" displayName="Tbl_X1_10_IFC_Rev_Number" ref="K6:N7" totalsRowShown="0" headerRowDxfId="180" dataDxfId="179">
  <autoFilter ref="K6:N7" xr:uid="{18CF70D2-385C-4848-9AA5-1FA3FA695D0F}"/>
  <tableColumns count="4">
    <tableColumn id="1" xr3:uid="{1B798FFA-33B2-4E6F-B905-5BFF0E47A5C6}" name="Id" dataDxfId="178"/>
    <tableColumn id="2" xr3:uid="{592D18D8-4B6F-4A87-BED3-84DACBF94EAE}" name="Revision" dataDxfId="177">
      <calculatedColumnFormula>IF(Tbl_X1_10_IFC_Rev_Number[Id]=0,0,Tbl_X1_10_IFC_Rev_Number[Id])</calculatedColumnFormula>
    </tableColumn>
    <tableColumn id="3" xr3:uid="{CF24D273-1569-4891-96DB-40A604C5F27A}" name="Responsible" dataDxfId="176"/>
    <tableColumn id="4" xr3:uid="{574022EF-15F0-4856-BE17-882FBC132F1D}" name="Date" dataDxfId="17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349C0B5-29E7-4967-8F21-AB0B9CAB3C95}" name="Tbl_X1_10_IFQ_Rev_Number" displayName="Tbl_X1_10_IFQ_Rev_Number" ref="D6:H7" totalsRowShown="0" headerRowDxfId="174" dataDxfId="173">
  <autoFilter ref="D6:H7" xr:uid="{B5E14B0D-2178-406B-B570-BAC08867F79F}"/>
  <tableColumns count="5">
    <tableColumn id="1" xr3:uid="{2CA50D8F-E38A-40DD-A1DE-920194607342}" name="Id" dataDxfId="172"/>
    <tableColumn id="2" xr3:uid="{827787C4-A6F8-4DD8-9BDD-944762E5B86D}" name="Revision" dataDxfId="171">
      <calculatedColumnFormula>IF(Tbl_X1_10_IFQ_Rev_Number[Id]=0,0,CHAR(Tbl_X1_10_IFQ_Rev_Number[Id]+64))</calculatedColumnFormula>
    </tableColumn>
    <tableColumn id="3" xr3:uid="{37D3251D-D1A1-4A80-8854-EB4EEEC77775}" name="Responsible" dataDxfId="170"/>
    <tableColumn id="4" xr3:uid="{71D5A8B8-BDFC-4D13-8624-5F019E9657A1}" name="Rev_Responsible" dataDxfId="169">
      <calculatedColumnFormula>IF(Tbl_X1_10_IFQ_Rev_Number[Revision]=0,"",Tbl_X1_10_IFQ_Rev_Number[Revision]&amp;"-"&amp;Tbl_X1_10_IFQ_Rev_Number[Responsible])</calculatedColumnFormula>
    </tableColumn>
    <tableColumn id="5" xr3:uid="{1B9E229E-EFD9-41D9-80EC-1492EE8983BE}" name="Date" dataDxfId="16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CF7C4E5-729A-40FF-B793-57DDB27605C4}" name="Tbl_X1_11_IFQ" displayName="Tbl_X1_11_IFQ" ref="C7:E8" totalsRowShown="0" headerRowDxfId="167" dataDxfId="166">
  <autoFilter ref="C7:E8" xr:uid="{E875CB78-21E5-4FA5-97C3-BB17B542210D}"/>
  <tableColumns count="3">
    <tableColumn id="1" xr3:uid="{31ECAAFB-E652-4111-8DB4-E4B35690C3DD}" name="ID" dataDxfId="165"/>
    <tableColumn id="2" xr3:uid="{876E4DE6-577D-4AFC-A84E-C968767F8620}" name="Pile Type" dataDxfId="164"/>
    <tableColumn id="3" xr3:uid="{4F7A226E-95B1-4804-8756-2C4408BE8171}" name="Description" dataDxfId="163"/>
  </tableColumns>
  <tableStyleInfo name="TableStyleLight20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79785DAB-F1D0-4963-829F-42EE57BC8803}" name="Tbl_Pile_Type_X_Raw" displayName="Tbl_Pile_Type_X_Raw" ref="D4:AE5" totalsRowShown="0" headerRowDxfId="162" dataDxfId="160" headerRowBorderDxfId="161" tableBorderDxfId="159" totalsRowBorderDxfId="158">
  <tableColumns count="28">
    <tableColumn id="10" xr3:uid="{31EF48E0-5224-48F7-BEE3-7E7F2AC58D0D}" name="Pile Type" dataDxfId="157">
      <calculatedColumnFormula>MID(SUBSTITUTE(MID(CELL("filename",$A$1),FIND("]",CELL("filename",$A$1))+1,255),"_"," "),8,12)</calculatedColumnFormula>
    </tableColumn>
    <tableColumn id="21" xr3:uid="{E38238B7-EC26-4C66-87C2-E6E14227FAA4}" name="Child_Shaft" dataDxfId="156">
      <calculatedColumnFormula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calculatedColumnFormula>
    </tableColumn>
    <tableColumn id="27" xr3:uid="{858F1629-D9BD-48DC-999E-0D3AE03C82AD}" name="Diameter" dataDxfId="155">
      <calculatedColumnFormula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6" xr3:uid="{D3BD91F5-1D87-455A-9552-9339C151B046}" name="Diameter Th" dataDxfId="154">
      <calculatedColumnFormula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3" xr3:uid="{A189C240-E238-49F1-B682-D5B0DE0F8D04}" name="Lead Section Length" dataDxfId="153">
      <calculatedColumnFormula>IFERROR(INDEX(INDIRECT("Tbl_50_Pile_Type_Design["&amp;H4&amp;"]"),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4" xr3:uid="{2F9B6FF9-227E-48EA-BA81-7B2809FD49B5}" name="EX1 Length" dataDxfId="152">
      <calculatedColumnFormula>IFERROR(INDEX(INDIRECT("Tbl_50_Pile_Type_Design["&amp;I4&amp;"]"),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5" xr3:uid="{932985B1-0FF4-4758-BC32-7F4F0B22DF8F}" name="EX1 Qty" dataDxfId="151">
      <calculatedColumnFormula>IFERROR(INDEX(INDIRECT("Tbl_50_Pile_Type_Design["&amp;J4&amp;"]"),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" xr3:uid="{DA84E0F5-4542-4EFE-BAFD-A7CA4F0BA69F}" name="EX2 Length" dataDxfId="150">
      <calculatedColumnFormula>IFERROR(INDEX(INDIRECT("Tbl_50_Pile_Type_Design["&amp;K4&amp;"]"),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" xr3:uid="{352E311A-9389-460A-B0EF-3DFF98BB8E05}" name="EX2 Qty" dataDxfId="149">
      <calculatedColumnFormula>IFERROR(INDEX(INDIRECT("Tbl_50_Pile_Type_Design["&amp;L4&amp;"]"),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6" xr3:uid="{65C8222A-7F71-492E-BB6F-598EE29D69CB}" name="Topper" dataDxfId="148">
      <calculatedColumnFormula>IFERROR(INDEX(INDIRECT("Tbl_50_Pile_Type_Design["&amp;M4&amp;"]"),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7" xr3:uid="{4330145F-A2C7-4C64-A417-7C6D0D2C77CF}" name="Topper Diameter" dataDxfId="147">
      <calculatedColumnFormula>IFERROR(INDEX(INDIRECT("Tbl_50_Pile_Type_Design["&amp;N4&amp;"]"),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8" xr3:uid="{60B13389-EFED-410F-837C-802D3BA90B70}" name="Topper Th" dataDxfId="146">
      <calculatedColumnFormula>IFERROR(INDEX(INDIRECT("Tbl_50_Pile_Type_Design["&amp;O4&amp;"]"),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8" xr3:uid="{2C29B3B0-B0AB-4A89-8DB1-2E6B7E2B65F1}" name="Topper Length" dataDxfId="145">
      <calculatedColumnFormula>IFERROR(INDEX(INDIRECT("Tbl_50_Pile_Type_Design["&amp;P4&amp;"]"),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1" xr3:uid="{AAF8F383-C495-4836-803A-055944313947}" name="Topper Qty" dataDxfId="144">
      <calculatedColumnFormula>IFERROR(INDEX(INDIRECT("Tbl_50_Pile_Type_Design["&amp;Q4&amp;"]"),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8" xr3:uid="{C655CBB7-0A61-4E20-B64F-4C26A47832C2}" name="H1" dataDxfId="143">
      <calculatedColumnFormula>IFERROR(INDEX(INDIRECT("Tbl_50_Pile_Type_Design["&amp;R4&amp;"]"),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9" xr3:uid="{6FD54DBF-5632-4FE6-8849-19302A2BB12B}" name="H2" dataDxfId="142">
      <calculatedColumnFormula>IFERROR(INDEX(INDIRECT("Tbl_50_Pile_Type_Design["&amp;S4&amp;"]"),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6" xr3:uid="{EC4898C2-FEDF-4A92-8C8D-5A391A77339F}" name="H3" dataDxfId="141">
      <calculatedColumnFormula>IFERROR(INDEX(INDIRECT("Tbl_50_Pile_Type_Design["&amp;T4&amp;"]"),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7" xr3:uid="{0E3150FD-533B-4B26-BDB8-D7CE43C54178}" name="H4" dataDxfId="140">
      <calculatedColumnFormula>IFERROR(INDEX(INDIRECT("Tbl_50_Pile_Type_Design["&amp;U4&amp;"]"),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5" xr3:uid="{87F689A5-6141-4E8F-A435-077A39B9252C}" name="H5" dataDxfId="139">
      <calculatedColumnFormula>IFERROR(INDEX(INDIRECT("Tbl_50_Pile_Type_Design["&amp;V4&amp;"]"),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4" xr3:uid="{9C778785-053F-4CCB-BADF-D18E572F74D2}" name="H6" dataDxfId="138">
      <calculatedColumnFormula>IFERROR(INDEX(INDIRECT("Tbl_50_Pile_Type_Design["&amp;W4&amp;"]"),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4" xr3:uid="{62276992-A452-4722-B672-E15413CC67EF}" name="Helix Th" dataDxfId="137">
      <calculatedColumnFormula>IFERROR(INDEX(INDIRECT("Tbl_50_Pile_Type_Design["&amp;X4&amp;"]"),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3" xr3:uid="{B4372D25-FD91-423D-A04B-F12A3CE32B9B}" name="Plating" dataDxfId="136">
      <calculatedColumnFormula>IFERROR(INDEX(INDIRECT("Tbl_50_Pile_Type_Design["&amp;Y4&amp;"]"),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9" xr3:uid="{B721DC3E-5FAB-459A-B6BA-2C087FEAB895}" name="Total Pile Length" dataDxfId="135">
      <calculatedColumnFormula>IFERROR(INDEX(INDIRECT("Tbl_50_Pile_Type_Design["&amp;Z4&amp;"]"),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5" xr3:uid="{3E3E9F96-85B0-408E-BAA4-AEE746DC6F68}" name="Cap Part No" dataDxfId="134">
      <calculatedColumnFormula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calculatedColumnFormula>
    </tableColumn>
    <tableColumn id="12" xr3:uid="{814BBC71-A95A-423A-A3A1-9913290FA7B0}" name="Lead_Ext_Coupling_ft" dataDxfId="133">
      <calculatedColumnFormula>IFERROR(
                   INDEX(Tbl_805_Piles_Geometry[Ext_Coupling_ft],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13" xr3:uid="{D6AF5443-BC26-4069-8618-ADFE0A283AB0}" name="Topper_Ext_Coupling_ft" dataDxfId="132">
      <calculatedColumnFormula>IFERROR(
                   INDEX(Tbl_805_Piles_Geometry[Ext_Coupling_ft],
                                 MATCH(
                                               TEXT(Tbl_Pile_Type_X_Raw[Topper 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0" xr3:uid="{17ED5528-3999-428F-8B5D-7D61C1F03AB8}" name="H1_S" dataDxfId="131">
      <calculatedColumnFormula>IFERROR(
                   INDEX(Tbl_805_Piles_Geometry[H1_S_ft],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2" xr3:uid="{F1B8679D-B2A0-423E-9FD5-C0B30A3B747A}" name="HLE_Pitch" dataDxfId="130">
      <calculatedColumnFormula>IFERROR(
                   INDEX(Tbl_805_Piles_Geometry[Pitch_ft],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DBB0693-523F-48C5-97B0-02AE4D9292AC}" name="Tbl_Pile_Type_X_LET" displayName="Tbl_Pile_Type_X_LET" ref="J11:AB12" totalsRowShown="0" headerRowDxfId="129" dataDxfId="128">
  <autoFilter ref="J11:AB12" xr:uid="{B6A23003-CFCF-4932-BFE9-C7FFE8470E61}"/>
  <tableColumns count="19">
    <tableColumn id="1" xr3:uid="{F66E01F2-52FE-405C-856F-D4BA69AC5430}" name="Section" dataDxfId="127"/>
    <tableColumn id="2" xr3:uid="{2AD9E50C-71AE-4BF5-A436-76C668997BD4}" name="SOS" dataDxfId="126"/>
    <tableColumn id="3" xr3:uid="{8D951A06-F450-45F7-95A7-8261BD5EA072}" name="EOS" dataDxfId="125"/>
    <tableColumn id="10" xr3:uid="{D3890ACA-99F0-447F-A6C0-4AED05FC8895}" name="Diameter_Topper" dataDxfId="124"/>
    <tableColumn id="12" xr3:uid="{E1B040E0-1EDA-496B-8AC5-21B94E65E972}" name="Topper_Th" dataDxfId="123"/>
    <tableColumn id="5" xr3:uid="{D9E41348-AE48-4CD3-B9CA-B2B08475092F}" name="Diameter" dataDxfId="122"/>
    <tableColumn id="13" xr3:uid="{CA3F9C6F-97D2-4354-8ABB-F33DAC095EA7}" name="Diameter_Th" dataDxfId="121"/>
    <tableColumn id="6" xr3:uid="{BA5D0C85-150B-42E9-85ED-770ED1E2697F}" name="Length" dataDxfId="120"/>
    <tableColumn id="4" xr3:uid="{C8527CBE-17C3-46C7-A53D-9FA6ADD1D050}" name="H1" dataDxfId="119"/>
    <tableColumn id="14" xr3:uid="{AD2E59F0-C156-4AA8-A82B-65A8B79D1CFD}" name="H2" dataDxfId="118"/>
    <tableColumn id="15" xr3:uid="{43BEAA1F-60ED-4837-96D7-79DE87793B0C}" name="H3" dataDxfId="117"/>
    <tableColumn id="16" xr3:uid="{16993033-F4A4-4F2F-857E-5B0284C8F0B9}" name="H4" dataDxfId="116"/>
    <tableColumn id="17" xr3:uid="{2BC24287-B5A0-4631-B1F8-5D8DF0C3B235}" name="H5" dataDxfId="115"/>
    <tableColumn id="18" xr3:uid="{422136C7-E59D-4AA1-84C5-4F24945C2561}" name="H6" dataDxfId="114"/>
    <tableColumn id="19" xr3:uid="{F82C2E21-57B5-4A0C-AFA9-5D3665CFA992}" name="FLY_SOS" dataDxfId="113"/>
    <tableColumn id="7" xr3:uid="{F8292C6C-82CA-4C4A-A7F2-FDD2214803D4}" name="Helix_Thickness" dataDxfId="112"/>
    <tableColumn id="8" xr3:uid="{97A70ECC-D616-4C90-AD83-8F98213012F5}" name="Plating" dataDxfId="111"/>
    <tableColumn id="11" xr3:uid="{C90B3146-CB2E-42F1-B02C-C004B4F739D9}" name="Pile_Type" dataDxfId="110"/>
    <tableColumn id="9" xr3:uid="{94D91588-C660-4BFB-9D74-62F568395901}" name="Part_NO" dataDxfId="109">
      <calculatedColumnFormula>TS_Part_No(Tbl_Pile_Type_X_LET[[#This Row],[Section]],Tbl_Pile_Type_X_LET[[#This Row],[Diameter]],Tbl_Pile_Type_X_LET[[#This Row],[Diameter_Th]],Tbl_Pile_Type_X_LET[[#This Row],[Length]],Tbl_Pile_Type_X_LET[[#This Row],[Plating]],Tbl_Pile_Type_X_LET[[#This Row],[H1]],Tbl_Pile_Type_X_LET[[#This Row],[H2]],Tbl_Pile_Type_X_LET[[#This Row],[H3]],Tbl_Pile_Type_X_LET[[#This Row],[H4]],Tbl_Pile_Type_X_LET[[#This Row],[H5]],Tbl_Pile_Type_X_LET[[#This Row],[H6]],Tbl_Pile_Type_X_LET[[#This Row],[FLY_SOS]],Tbl_Pile_Type_X_LET[[#This Row],[Helix_Thickness]],Tbl_Pile_Type_X_LET[[#This Row],[Diameter_Topper]],Tbl_Pile_Type_X_LET[[#This Row],[Topper_Th]])</calculatedColumnFormula>
    </tableColumn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4437F5B5-CE29-4440-B92B-B7D264927780}" name="Tbl_Pile_Type_X_MASTER" displayName="Tbl_Pile_Type_X_MASTER" ref="AH12:AK13" totalsRowShown="0">
  <autoFilter ref="AH12:AK13" xr:uid="{9ABD81CD-E152-49A0-942B-4EC02A33736E}"/>
  <tableColumns count="4">
    <tableColumn id="4" xr3:uid="{9E701734-056C-4E0A-B079-342E6BF4FDD6}" name="Sub_Index"/>
    <tableColumn id="1" xr3:uid="{06E79FF6-99A5-4E8D-824D-13657B96ED4A}" name="Part_No"/>
    <tableColumn id="3" xr3:uid="{58E6A4D2-2178-4B90-8553-9252CF014262}" name="Type"/>
    <tableColumn id="2" xr3:uid="{606081C9-445B-44D5-9127-C061BF4CA944}" name="Date Installed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_X1_30_Help_Shaft_Type" displayName="Tbl_X1_30_Help_Shaft_Type" ref="C5:G9" totalsRowShown="0" headerRowDxfId="108" dataDxfId="107">
  <autoFilter ref="C5:G9" xr:uid="{00000000-0009-0000-0100-000003000000}"/>
  <sortState ref="C6:G9">
    <sortCondition ref="C5:C9"/>
  </sortState>
  <tableColumns count="5">
    <tableColumn id="1" xr3:uid="{00000000-0010-0000-0100-000001000000}" name="Shaft_Type" dataDxfId="106"/>
    <tableColumn id="2" xr3:uid="{00000000-0010-0000-0100-000002000000}" name="Shaft_Diam" dataDxfId="105">
      <calculatedColumnFormula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calculatedColumnFormula>
    </tableColumn>
    <tableColumn id="3" xr3:uid="{00000000-0010-0000-0100-000003000000}" name="Shaft_Diam_CP" dataDxfId="104">
      <calculatedColumnFormula>IF(IFERROR(SEARCH("CP",Tbl_X1_30_Help_Shaft_Type[[#This Row],[Shaft_Type]],1),"")&lt;&gt;"",Tbl_X1_30_Help_Shaft_Type[[#This Row],[Shaft_Diam]]&amp;"CP",Tbl_X1_30_Help_Shaft_Type[[#This Row],[Shaft_Diam]])</calculatedColumnFormula>
    </tableColumn>
    <tableColumn id="4" xr3:uid="{00000000-0010-0000-0100-000004000000}" name="Shaft_Diam_CH" dataDxfId="103">
      <calculatedColumnFormula>IF(IFERROR(SEARCH("CH",Tbl_X1_30_Help_Shaft_Type[[#This Row],[Shaft_Type]],1),"")&lt;&gt;"",Tbl_X1_30_Help_Shaft_Type[[#This Row],[Shaft_Diam]]&amp;"CH",Tbl_X1_30_Help_Shaft_Type[[#This Row],[Shaft_Diam]])</calculatedColumnFormula>
    </tableColumn>
    <tableColumn id="5" xr3:uid="{3A8237ED-57E6-4E64-9737-57BB77E27213}" name="Shaft_Diam_SP" dataDxfId="102">
      <calculatedColumnFormula>IF(IFERROR(SEARCH("SP",Tbl_X1_30_Help_Shaft_Type[[#This Row],[Shaft_Type]],1),"")&lt;&gt;"",Tbl_X1_30_Help_Shaft_Type[[#This Row],[Shaft_Diam]]&amp;"SP",Tbl_X1_30_Help_Shaft_Type[[#This Row],[Shaft_Diam]])</calculatedColumnFormula>
    </tableColumn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6F3DF21-0CCB-4216-BB6A-B51096DA0DDB}" name="Tbl_700_Queries_Home" displayName="Tbl_700_Queries_Home" ref="C4:D13" totalsRowShown="0" headerRowDxfId="101" dataDxfId="100">
  <sortState ref="C5:D13">
    <sortCondition ref="C3:C12"/>
  </sortState>
  <tableColumns count="2">
    <tableColumn id="1" xr3:uid="{B287D0F9-15AE-4C85-A6C1-411788864614}" name="WorkSheet Name" dataDxfId="99"/>
    <tableColumn id="2" xr3:uid="{F6AD2CF8-2736-4172-9A07-D87F9B36868B}" name="Navigate To" dataDxfId="98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0C9B7E5-78B3-42F2-AFF8-212DEF266E6B}" name="Tbl_X2_100_Part_Number" displayName="Tbl_X2_100_Part_Number" ref="C6:D7" tableType="queryTable" insertRow="1" totalsRowShown="0" headerRowDxfId="97" dataDxfId="96">
  <autoFilter ref="C6:D7" xr:uid="{15090C8B-01DF-4FAB-937B-677F055D3B07}"/>
  <tableColumns count="2">
    <tableColumn id="1" xr3:uid="{449B1651-954F-485B-97D9-3BE57EE8494D}" uniqueName="1" name="Pile_Type" queryTableFieldId="1" dataDxfId="95"/>
    <tableColumn id="2" xr3:uid="{23595311-78F8-4753-A915-596B87CF6B66}" uniqueName="2" name="Concatenate" queryTableFieldId="2" dataDxfId="94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AF77987-3EA8-4E63-9033-E89DF6A87B1B}" name="Tbl_X2_30_Parent_Child_Shaft" displayName="Tbl_X2_30_Parent_Child_Shaft" ref="D17:G22" tableType="queryTable" totalsRowShown="0" headerRowDxfId="93" dataDxfId="92">
  <autoFilter ref="D17:G22" xr:uid="{B81C6B41-5401-4335-9D9E-E5A0E85ACE82}"/>
  <tableColumns count="4">
    <tableColumn id="1" xr3:uid="{CFC84F39-F374-436C-9E14-78202EAA3AFE}" uniqueName="1" name="PLAN_RD_07.00X000" queryTableFieldId="85"/>
    <tableColumn id="2" xr3:uid="{F26B64CD-2F09-4756-B412-8C80B04D39B6}" uniqueName="2" name="PLAN_RD_10.75X000" queryTableFieldId="86"/>
    <tableColumn id="3" xr3:uid="{BF8AED26-D843-4A67-8D99-4D9769A94995}" uniqueName="3" name="PLAN_RD_12.75X000" queryTableFieldId="87"/>
    <tableColumn id="4" xr3:uid="{DB94CB47-A250-492E-A191-FF06FC97F8AE}" uniqueName="4" name="PLAN_SQ_03.00X313" queryTableFieldId="88"/>
  </tableColumns>
  <tableStyleInfo name="TableStyleLight1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9773D7F-B541-46E6-9884-43E5C9E45EEE}" name="Tbl_X2_30_Loads_Stick_Up" displayName="Tbl_X2_30_Loads_Stick_Up" ref="BS4:CB8" tableType="queryTable" totalsRowShown="0" headerRowDxfId="91" dataDxfId="90">
  <autoFilter ref="BS4:CB8" xr:uid="{B0007501-6A72-4A47-A1C0-F01EAC6DB4B9}"/>
  <tableColumns count="10">
    <tableColumn id="1" xr3:uid="{7F294EA3-0A77-4F37-8A42-A0B695B11407}" uniqueName="1" name="Shaft Type" queryTableFieldId="1" dataDxfId="89"/>
    <tableColumn id="2" xr3:uid="{A5B26324-C254-4271-8F1C-EBF38ACAEB87}" uniqueName="2" name="Shear" queryTableFieldId="2" dataDxfId="88"/>
    <tableColumn id="3" xr3:uid="{73635F5D-A6F2-4EBF-B36D-22A459AABCA7}" uniqueName="3" name="Moment" queryTableFieldId="3" dataDxfId="87"/>
    <tableColumn id="4" xr3:uid="{D701B4C5-22C5-40F7-9EC0-D80EDB6D789B}" uniqueName="4" name="Comp" queryTableFieldId="4" dataDxfId="86"/>
    <tableColumn id="5" xr3:uid="{8A4A4FFA-ADDE-4DE6-9D78-208C3AD01493}" uniqueName="5" name="Tension" queryTableFieldId="5" dataDxfId="85"/>
    <tableColumn id="6" xr3:uid="{D8626C33-7428-4027-A3F7-6A6C7591905B}" uniqueName="6" name="TOPile Max" queryTableFieldId="6" dataDxfId="84"/>
    <tableColumn id="7" xr3:uid="{52D2ABAB-3A1F-472B-92C8-1A66C5D80B3F}" uniqueName="7" name="TOPile Min" queryTableFieldId="7" dataDxfId="83"/>
    <tableColumn id="8" xr3:uid="{7E37EE35-9861-437A-906B-B6799F7A2935}" uniqueName="8" name="LPile Max" queryTableFieldId="8" dataDxfId="82"/>
    <tableColumn id="9" xr3:uid="{E2E442A9-3C06-4D3A-BFF0-85B33A130469}" uniqueName="9" name="LPile Min" queryTableFieldId="9" dataDxfId="81"/>
    <tableColumn id="10" xr3:uid="{C718D1E0-1709-4B0E-A381-D32D6A93D28D}" uniqueName="10" name="Helper_Used" queryTableFieldId="10" dataDxfId="80">
      <calculatedColumnFormula>COUNTIF(Tbl_50_Pile_Type_Design[Parent Shaft Type],Tbl_X2_30_Loads_Stick_Up[[#This Row],[Shaft Type]])</calculatedColumnFormula>
    </tableColumn>
  </tableColumns>
  <tableStyleInfo name="TableStyleLight1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E5C05C1-9C6E-4D0A-A4CA-BFFA353AA1C4}" name="Tbl_X2_50_Parent_Shaft_Not_Used_DropDown" displayName="Tbl_X2_50_Parent_Shaft_Not_Used_DropDown" ref="C4:C7" tableType="queryTable" totalsRowShown="0" headerRowDxfId="79" dataDxfId="78">
  <autoFilter ref="C4:C7" xr:uid="{76EF311A-7B25-4AC6-873D-6D68DAE440D9}"/>
  <tableColumns count="1">
    <tableColumn id="1" xr3:uid="{A825B6DA-BC83-4ECD-A83B-984DB5659EF1}" uniqueName="1" name="Parent Shaft Type" queryTableFieldId="1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_800_Library_Home" displayName="Tbl_800_Library_Home" ref="C3:D12" totalsRowShown="0" headerRowDxfId="77" dataDxfId="76">
  <autoFilter ref="C3:D12" xr:uid="{00000000-0009-0000-0100-000002000000}"/>
  <sortState ref="C4:D12">
    <sortCondition ref="C3:C12"/>
  </sortState>
  <tableColumns count="2">
    <tableColumn id="1" xr3:uid="{00000000-0010-0000-0200-000001000000}" name="WorkSheet Name" dataDxfId="75"/>
    <tableColumn id="2" xr3:uid="{00000000-0010-0000-0200-000002000000}" name="Navigate To" dataDxfId="7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803_Connection_Type" displayName="Tbl_803_Connection_Type" ref="C4:C7" tableType="queryTable" totalsRowShown="0" headerRowDxfId="73" dataDxfId="72">
  <autoFilter ref="C4:C7" xr:uid="{0563441E-4AB4-4645-9408-0A52748777B9}"/>
  <tableColumns count="1">
    <tableColumn id="1" xr3:uid="{00000000-0010-0000-0300-000001000000}" uniqueName="1" name="Connection_Type" queryTableFieldId="1" dataDxfId="71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_803_Shaft_Type" displayName="Tbl_803_Shaft_Type" ref="K4:L7" tableType="queryTable" totalsRowShown="0" headerRowDxfId="70" dataDxfId="69">
  <autoFilter ref="K4:L7" xr:uid="{0768810D-D95C-4DAA-9FE6-0DA9145E5425}"/>
  <tableColumns count="2">
    <tableColumn id="1" xr3:uid="{00000000-0010-0000-0400-000001000000}" uniqueName="1" name="Shaft_Type" queryTableFieldId="1" dataDxfId="68"/>
    <tableColumn id="2" xr3:uid="{00000000-0010-0000-0400-000002000000}" uniqueName="2" name="Shaft_Type_Short" queryTableFieldId="2" dataDxfId="67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76C6DDE-1A96-42B2-8F0E-C8E6B1F56F0D}" name="Tbl_803_P_Y_Curve_Type" displayName="Tbl_803_P_Y_Curve_Type" ref="N4:O8" tableType="queryTable" totalsRowShown="0" headerRowDxfId="66" dataDxfId="65">
  <autoFilter ref="N4:O8" xr:uid="{E26616F8-924C-4FA7-A6DC-0F1C2B3DCD1E}"/>
  <tableColumns count="2">
    <tableColumn id="1" xr3:uid="{3C81D70E-CDB6-4579-8FB2-73D824A27D1C}" uniqueName="1" name="p-y Curve Type" queryTableFieldId="1" dataDxfId="64"/>
    <tableColumn id="2" xr3:uid="{AA46C3CF-ED41-4FD7-9486-E4D79F61DD3C}" uniqueName="2" name="Type" queryTableFieldId="2" dataDxfId="63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2B22A71-B544-41E5-8B16-A5881268E9A2}" name="Tbl_803_Soil_Classification" displayName="Tbl_803_Soil_Classification" ref="S4:S6" tableType="queryTable" totalsRowShown="0" headerRowDxfId="62" dataDxfId="61">
  <autoFilter ref="S4:S6" xr:uid="{B3666ECC-7C89-4962-A2F7-DDE5E458EBCD}"/>
  <tableColumns count="1">
    <tableColumn id="1" xr3:uid="{26DFF762-5490-4BE4-91D2-B095B04DF49B}" uniqueName="1" name="Soil Classification" queryTableFieldId="1" dataDxfId="60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E64AE3D-8BBF-4823-AC31-D0046C082DD5}" name="Tbl_803_Coarse_grain" displayName="Tbl_803_Coarse_grain" ref="U4:U6" tableType="queryTable" totalsRowShown="0" headerRowDxfId="59" dataDxfId="58">
  <autoFilter ref="U4:U6" xr:uid="{200EE1ED-84BE-4CE0-9F5C-52D09E6D2D68}"/>
  <tableColumns count="1">
    <tableColumn id="1" xr3:uid="{B627E265-FD4C-44BD-A9A1-B3E759D43F5A}" uniqueName="1" name="Coarse-grain" queryTableFieldId="1" dataDxfId="57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47B2F51-E537-488C-945B-AA8659F65E86}" name="Tbl_803_Coarse_grain_Consistency" displayName="Tbl_803_Coarse_grain_Consistency" ref="W4:W9" tableType="queryTable" totalsRowShown="0" headerRowDxfId="56" dataDxfId="55">
  <autoFilter ref="W4:W9" xr:uid="{DD2C8A50-3890-4542-993B-181B8943D308}"/>
  <tableColumns count="1">
    <tableColumn id="1" xr3:uid="{858628F8-9451-4B6B-BFA9-9C90A0E58698}" uniqueName="1" name="Coarse-grain Consistency" queryTableFieldId="1" dataDxfId="54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B4A4576-C0EC-431F-A36B-C6C6D14CD178}" name="Tbl_803_Fine_grain" displayName="Tbl_803_Fine_grain" ref="Y4:Y6" tableType="queryTable" totalsRowShown="0" headerRowDxfId="53" dataDxfId="52">
  <autoFilter ref="Y4:Y6" xr:uid="{D7825D3F-F96E-454E-8793-761B83508D56}"/>
  <tableColumns count="1">
    <tableColumn id="1" xr3:uid="{E1EE55FC-F9E0-4DB3-896C-B6C4C693D283}" uniqueName="1" name="Fine-grain" queryTableFieldId="1" dataDxfId="51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6E2A17B-5AF6-4FCE-A2AF-3C3F7844F148}" name="Tbl_803_Fine_grain_Consistency" displayName="Tbl_803_Fine_grain_Consistency" ref="AA4:AA9" tableType="queryTable" totalsRowShown="0" headerRowDxfId="50" dataDxfId="49">
  <autoFilter ref="AA4:AA9" xr:uid="{E8E90B01-6019-4A1E-BCC6-7CA8BE2AF073}"/>
  <tableColumns count="1">
    <tableColumn id="1" xr3:uid="{F4CB6EC8-050A-4C96-8A1E-BE7A129712C7}" uniqueName="1" name="Fine-grain Consistency" queryTableFieldId="1" dataDxfId="48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42A47C2-E6A6-49F9-9E0C-7E3B95F39E12}" name="Tbl_803_Fine_And_Coarse_Grain" displayName="Tbl_803_Fine_And_Coarse_Grain" ref="Q4:Q8" tableType="queryTable" totalsRowShown="0" headerRowDxfId="47" dataDxfId="46">
  <autoFilter ref="Q4:Q8" xr:uid="{763D0140-C710-4D40-A64F-E0283B40AF5E}"/>
  <tableColumns count="1">
    <tableColumn id="1" xr3:uid="{21AA9B72-449F-498F-8D92-9BC15707E23E}" uniqueName="1" name="Fine And Coarse Grain" queryTableFieldId="1" dataDxfId="45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1EF909A-5FCD-4596-A839-C38F57B40860}" name="Tbl_803_Kt" displayName="Tbl_803_Kt" ref="E4:I17" tableType="queryTable" totalsRowShown="0" headerRowDxfId="44" dataDxfId="43">
  <autoFilter ref="E4:I17" xr:uid="{9FF24F2D-D1BD-45AA-8420-CC278CDA4D90}"/>
  <tableColumns count="5">
    <tableColumn id="1" xr3:uid="{8F2230B5-9070-4496-8C96-9F76DB1590E1}" uniqueName="1" name="Pile Shape" queryTableFieldId="1" dataDxfId="42"/>
    <tableColumn id="2" xr3:uid="{F6855E45-2632-4D20-8990-4BC455071AA8}" uniqueName="2" name="Diameter" queryTableFieldId="2" dataDxfId="41"/>
    <tableColumn id="3" xr3:uid="{7FCFFB74-63D6-4983-AAF9-08C8C7EEB75F}" uniqueName="3" name="Th" queryTableFieldId="3" dataDxfId="40"/>
    <tableColumn id="4" xr3:uid="{E9627B1C-D14B-436E-88D0-8F2B2A3D1B16}" uniqueName="4" name="Kt" queryTableFieldId="4" dataDxfId="39"/>
    <tableColumn id="5" xr3:uid="{CEF1937A-C07A-4D4C-B486-679AF5EF6FA0}" uniqueName="5" name="Max Torque" queryTableFieldId="5" dataDxfId="38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7E14F88A-806B-4AAC-B2FD-B512AE7F8982}" name="Tbl_803_SQ_Helix_Capacities" displayName="Tbl_803_SQ_Helix_Capacities" ref="AC4:AG6" tableType="queryTable" totalsRowShown="0" headerRowDxfId="37" dataDxfId="36">
  <autoFilter ref="AC4:AG6" xr:uid="{AEB2C7D4-D990-4CB7-B7FA-E9CAD7334ACF}"/>
  <tableColumns count="5">
    <tableColumn id="1" xr3:uid="{D764541A-700B-4172-BF5A-8C763F191396}" uniqueName="1" name="Diameter" queryTableFieldId="1" dataDxfId="35"/>
    <tableColumn id="2" xr3:uid="{D073456D-ACBF-4147-A9BF-4772101E5AF0}" uniqueName="2" name="8" queryTableFieldId="2" dataDxfId="34"/>
    <tableColumn id="3" xr3:uid="{8871791D-F9F0-45DB-9F32-92ECC92B4FDD}" uniqueName="3" name="10" queryTableFieldId="3" dataDxfId="33"/>
    <tableColumn id="4" xr3:uid="{F885FD64-B2D9-4079-BF23-88C5E2E71146}" uniqueName="4" name="12" queryTableFieldId="4" dataDxfId="32"/>
    <tableColumn id="5" xr3:uid="{1DF39656-E62C-46C2-865E-0EBCB59291F3}" uniqueName="5" name="14" queryTableFieldId="5" dataDxfId="3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_804_Diameter_TOPR" displayName="Tbl_804_Diameter_TOPR" ref="Q4:Q9" tableType="queryTable" totalsRowShown="0" headerRowDxfId="30" dataDxfId="29">
  <autoFilter ref="Q4:Q9" xr:uid="{0FEAD6E0-BF09-46C1-8DF8-62D673AB9EF3}"/>
  <tableColumns count="1">
    <tableColumn id="3" xr3:uid="{00000000-0010-0000-0500-000003000000}" uniqueName="3" name="Diameter" queryTableFieldId="3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_804_Pile_Shape" displayName="Tbl_804_Pile_Shape" ref="D4:D6" tableType="queryTable" totalsRowShown="0" headerRowDxfId="28" dataDxfId="27">
  <autoFilter ref="D4:D6" xr:uid="{87C5348B-125E-495E-9365-8E4CF9D2C10D}"/>
  <tableColumns count="1">
    <tableColumn id="1" xr3:uid="{00000000-0010-0000-0600-000001000000}" uniqueName="1" name="Pile_Shape" queryTableFieldId="1" dataDxfId="26"/>
  </tableColumns>
  <tableStyleInfo name="TableStyleLight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804_Diam_ANCH_SQ" displayName="Tbl_804_Diam_ANCH_SQ" ref="F4:F6" tableType="queryTable" totalsRowShown="0" headerRowDxfId="25" dataDxfId="24">
  <autoFilter ref="F4:F6" xr:uid="{F6D6524C-D070-412F-AB66-923F9E0E7A5F}"/>
  <tableColumns count="1">
    <tableColumn id="1" xr3:uid="{00000000-0010-0000-0700-000001000000}" uniqueName="1" name="Diameter" queryTableFieldId="1" dataDxfId="23"/>
  </tableColumns>
  <tableStyleInfo name="TableStyleLight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804_Diam_PILE_RD" displayName="Tbl_804_Diam_PILE_RD" ref="F19:F25" tableType="queryTable" totalsRowShown="0" headerRowDxfId="22" dataDxfId="21">
  <autoFilter ref="F19:F25" xr:uid="{BFDD1D65-B518-4FFC-AE39-85833974B074}"/>
  <tableColumns count="1">
    <tableColumn id="1" xr3:uid="{00000000-0010-0000-0800-000001000000}" uniqueName="1" name="Diameter" queryTableFieldId="1" dataDxfId="20"/>
  </tableColumns>
  <tableStyleInfo name="TableStyleLight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804_Diam_PILE_SQ" displayName="Tbl_804_Diam_PILE_SQ" ref="F9:F11" tableType="queryTable" totalsRowShown="0" headerRowDxfId="19" dataDxfId="18">
  <autoFilter ref="F9:F11" xr:uid="{32902755-D846-42BC-A734-311621921E1D}"/>
  <tableColumns count="1">
    <tableColumn id="1" xr3:uid="{00000000-0010-0000-0900-000001000000}" uniqueName="1" name="Diameter" queryTableFieldId="1" dataDxfId="17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61731C2-E49A-44DF-A554-584C2CC57FB2}" name="Tbl_804_SQ_Helix_Area" displayName="Tbl_804_SQ_Helix_Area" ref="S4:W11" tableType="queryTable" totalsRowShown="0" headerRowDxfId="16" dataDxfId="15">
  <autoFilter ref="S4:W11" xr:uid="{3E756B62-93DA-4A28-BB84-172B11C9E45E}"/>
  <tableColumns count="5">
    <tableColumn id="1" xr3:uid="{32D715B3-ABBB-4AED-A16B-2C67FD9D027B}" uniqueName="1" name="Helix Diameter" queryTableFieldId="4"/>
    <tableColumn id="2" xr3:uid="{B1EB0B71-BF36-4E9E-AAE7-12D7EFE684DB}" uniqueName="2" name="01.50" queryTableFieldId="5"/>
    <tableColumn id="3" xr3:uid="{51953A1F-4081-47A3-B7F2-ED5E7FE23F3D}" uniqueName="3" name="01.75" queryTableFieldId="6"/>
    <tableColumn id="4" xr3:uid="{04505E1F-984A-4F8A-978E-42E2D12EF772}" uniqueName="4" name="03.00" queryTableFieldId="7"/>
    <tableColumn id="5" xr3:uid="{FD5A5E10-2E9D-43E3-9226-91A2A8C0BB33}" uniqueName="5" name="04.00" queryTableFieldId="8"/>
  </tableColumns>
  <tableStyleInfo name="TableStyleLight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EC9F2E3-7A45-45D2-B361-D5EBDB659B12}" name="Tbl_804_Pile_Std_Th" displayName="Tbl_804_Pile_Std_Th" ref="Y4:AA14" tableType="queryTable" totalsRowShown="0" headerRowDxfId="14" dataDxfId="13">
  <autoFilter ref="Y4:AA14" xr:uid="{A9813C80-C566-4F60-9CBA-7C0BDD3C9275}"/>
  <tableColumns count="3">
    <tableColumn id="1" xr3:uid="{6A46227E-56AD-4590-A49C-A7628E042232}" uniqueName="1" name="Pile Shape" queryTableFieldId="4"/>
    <tableColumn id="3" xr3:uid="{2057B8C6-DFF8-45D5-B6A3-CD2E55FCA3B1}" uniqueName="3" name="Diameter" queryTableFieldId="3"/>
    <tableColumn id="2" xr3:uid="{644462FD-7793-4A20-9963-62298AA9F8DA}" uniqueName="2" name="Std Th" queryTableFieldId="5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214DDB9-E9D9-4D4E-A85E-1003BC8AF6DE}" name="Tbl_805_Piles_Geometry" displayName="Tbl_805_Piles_Geometry" ref="D4:N15" tableType="queryTable" totalsRowShown="0" headerRowDxfId="12" dataDxfId="11">
  <tableColumns count="11">
    <tableColumn id="1" xr3:uid="{68E2AB36-FE5E-480B-B3A2-7139E2E8C673}" uniqueName="1" name="Pile_Diameter" queryTableFieldId="2" dataDxfId="10"/>
    <tableColumn id="2" xr3:uid="{D8E0C180-E533-4044-B641-BE95A5D1CB2D}" uniqueName="2" name="BHP" queryTableFieldId="3" dataDxfId="9"/>
    <tableColumn id="3" xr3:uid="{E2CB96F7-6DA5-4022-B582-A8285EDD04E8}" uniqueName="3" name="TBHP" queryTableFieldId="4" dataDxfId="8"/>
    <tableColumn id="4" xr3:uid="{E3463B08-0D9E-49B6-A339-956CE984135A}" uniqueName="4" name="Ext_Coupling_in" queryTableFieldId="5" dataDxfId="7"/>
    <tableColumn id="5" xr3:uid="{25ABE55D-D333-461C-B314-FFEED7A7290C}" uniqueName="5" name="Ext_Coupling_ft" queryTableFieldId="6" dataDxfId="6"/>
    <tableColumn id="6" xr3:uid="{AB2A1BA0-3667-4C05-A129-AC770CE1E99B}" uniqueName="6" name="Pitch_In" queryTableFieldId="7" dataDxfId="5"/>
    <tableColumn id="7" xr3:uid="{D2D9E6F8-F093-44D2-85DA-DF0C3FE9A4B5}" uniqueName="7" name="Pitch_ft" queryTableFieldId="8" dataDxfId="4"/>
    <tableColumn id="8" xr3:uid="{3FE69B5F-AF85-45A1-9014-7D5DF9A255FE}" uniqueName="8" name="Start_Tolerace_in" queryTableFieldId="9" dataDxfId="3"/>
    <tableColumn id="9" xr3:uid="{96970F91-B90E-43B4-89D1-74A3D08E884E}" uniqueName="9" name="H1_S_in" queryTableFieldId="10" dataDxfId="2"/>
    <tableColumn id="10" xr3:uid="{B1693515-0732-434C-9F1A-8D55ACA53C9F}" uniqueName="10" name="H1_S_ft" queryTableFieldId="11" dataDxfId="1"/>
    <tableColumn id="11" xr3:uid="{3FB081A0-09A1-4656-B284-A4BFCADDB8A2}" uniqueName="11" name="Topper_Helix" queryTableFieldId="12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22.emf"/><Relationship Id="rId18" Type="http://schemas.openxmlformats.org/officeDocument/2006/relationships/table" Target="../tables/table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10.xml"/><Relationship Id="rId17" Type="http://schemas.openxmlformats.org/officeDocument/2006/relationships/table" Target="../tables/table7.xml"/><Relationship Id="rId2" Type="http://schemas.openxmlformats.org/officeDocument/2006/relationships/drawing" Target="../drawings/drawing3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table" Target="../tables/table5.xml"/><Relationship Id="rId10" Type="http://schemas.openxmlformats.org/officeDocument/2006/relationships/control" Target="../activeX/activeX9.xml"/><Relationship Id="rId19" Type="http://schemas.openxmlformats.org/officeDocument/2006/relationships/table" Target="../tables/table9.xml"/><Relationship Id="rId4" Type="http://schemas.openxmlformats.org/officeDocument/2006/relationships/control" Target="../activeX/activeX6.xml"/><Relationship Id="rId9" Type="http://schemas.openxmlformats.org/officeDocument/2006/relationships/image" Target="../media/image20.emf"/><Relationship Id="rId1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8.xml"/><Relationship Id="rId4" Type="http://schemas.openxmlformats.org/officeDocument/2006/relationships/table" Target="../tables/table2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4.xml"/><Relationship Id="rId13" Type="http://schemas.openxmlformats.org/officeDocument/2006/relationships/table" Target="../tables/table39.xml"/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12" Type="http://schemas.openxmlformats.org/officeDocument/2006/relationships/table" Target="../tables/table38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32.xml"/><Relationship Id="rId11" Type="http://schemas.openxmlformats.org/officeDocument/2006/relationships/table" Target="../tables/table37.xml"/><Relationship Id="rId5" Type="http://schemas.openxmlformats.org/officeDocument/2006/relationships/table" Target="../tables/table31.xml"/><Relationship Id="rId10" Type="http://schemas.openxmlformats.org/officeDocument/2006/relationships/table" Target="../tables/table36.xml"/><Relationship Id="rId4" Type="http://schemas.openxmlformats.org/officeDocument/2006/relationships/table" Target="../tables/table30.xml"/><Relationship Id="rId9" Type="http://schemas.openxmlformats.org/officeDocument/2006/relationships/table" Target="../tables/table3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table" Target="../tables/table40.xml"/><Relationship Id="rId1" Type="http://schemas.openxmlformats.org/officeDocument/2006/relationships/drawing" Target="../drawings/drawing28.xml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010"/>
  <dimension ref="A1:AC43"/>
  <sheetViews>
    <sheetView showGridLines="0" tabSelected="1" zoomScale="80" zoomScaleNormal="80" workbookViewId="0">
      <selection activeCell="C3" sqref="C3:G3"/>
    </sheetView>
  </sheetViews>
  <sheetFormatPr defaultColWidth="9.140625" defaultRowHeight="16.5" x14ac:dyDescent="0.3"/>
  <cols>
    <col min="1" max="1" width="27.85546875" style="4" customWidth="1"/>
    <col min="2" max="2" width="4.28515625" style="1" customWidth="1"/>
    <col min="3" max="3" width="26.28515625" style="1" customWidth="1"/>
    <col min="4" max="4" width="36.7109375" style="1" bestFit="1" customWidth="1"/>
    <col min="5" max="5" width="3.85546875" style="1" customWidth="1"/>
    <col min="6" max="6" width="25.5703125" style="1" customWidth="1"/>
    <col min="7" max="7" width="18.28515625" style="1" bestFit="1" customWidth="1"/>
    <col min="8" max="8" width="4.140625" style="1" customWidth="1"/>
    <col min="9" max="9" width="20.28515625" style="1" customWidth="1"/>
    <col min="10" max="10" width="11" style="1" customWidth="1"/>
    <col min="11" max="11" width="72.28515625" style="1" customWidth="1"/>
    <col min="12" max="12" width="26.42578125" style="1" bestFit="1" customWidth="1"/>
    <col min="13" max="13" width="22.7109375" style="1" bestFit="1" customWidth="1"/>
    <col min="14" max="14" width="3" style="1" customWidth="1"/>
    <col min="15" max="15" width="13.140625" style="1" customWidth="1"/>
    <col min="16" max="16" width="24" style="1" customWidth="1"/>
    <col min="17" max="17" width="21" style="1" customWidth="1"/>
    <col min="18" max="18" width="29.42578125" style="1" bestFit="1" customWidth="1"/>
    <col min="19" max="20" width="23.5703125" style="1" bestFit="1" customWidth="1"/>
    <col min="21" max="21" width="33.42578125" style="1" customWidth="1"/>
    <col min="22" max="22" width="13.28515625" style="1" customWidth="1"/>
    <col min="23" max="23" width="16.85546875" style="1" customWidth="1"/>
    <col min="24" max="24" width="11.42578125" style="1" customWidth="1"/>
    <col min="25" max="26" width="9.140625" style="1"/>
    <col min="27" max="27" width="15" style="1" customWidth="1"/>
    <col min="28" max="28" width="23.42578125" style="1" customWidth="1"/>
    <col min="29" max="29" width="16.7109375" style="1" customWidth="1"/>
    <col min="30" max="16384" width="9.140625" style="1"/>
  </cols>
  <sheetData>
    <row r="1" spans="1:29" s="2" customFormat="1" ht="130.5" customHeight="1" thickBot="1" x14ac:dyDescent="0.35">
      <c r="A1" s="3"/>
    </row>
    <row r="2" spans="1:29" ht="40.5" customHeight="1" thickTop="1" x14ac:dyDescent="0.3"/>
    <row r="3" spans="1:29" ht="51" thickBot="1" x14ac:dyDescent="0.7">
      <c r="C3" s="315" t="s">
        <v>403</v>
      </c>
      <c r="D3" s="315"/>
      <c r="E3" s="315"/>
      <c r="F3" s="315"/>
      <c r="G3" s="315"/>
      <c r="H3" s="126"/>
      <c r="I3" s="315" t="s">
        <v>404</v>
      </c>
      <c r="J3" s="315"/>
      <c r="K3" s="315"/>
      <c r="L3" s="315"/>
      <c r="M3" s="315"/>
      <c r="O3" s="316"/>
      <c r="P3" s="316"/>
      <c r="Q3" s="316"/>
      <c r="R3" s="316"/>
      <c r="S3" s="316"/>
      <c r="T3" s="316"/>
      <c r="U3" s="316"/>
      <c r="V3" s="316"/>
      <c r="W3" s="316"/>
      <c r="X3" s="316"/>
      <c r="Y3" s="316"/>
      <c r="Z3" s="316"/>
      <c r="AA3" s="316"/>
      <c r="AB3" s="316"/>
      <c r="AC3" s="316"/>
    </row>
    <row r="4" spans="1:29" ht="17.25" thickTop="1" x14ac:dyDescent="0.3"/>
    <row r="5" spans="1:29" ht="33" customHeight="1" x14ac:dyDescent="0.3">
      <c r="B5" s="123"/>
      <c r="C5" s="115" t="s">
        <v>434</v>
      </c>
      <c r="D5" s="201"/>
      <c r="E5" s="115"/>
      <c r="F5" s="115"/>
      <c r="G5" s="115"/>
      <c r="I5" s="222" t="s">
        <v>21</v>
      </c>
      <c r="J5" s="222">
        <f>INDEX(Tbl_X1_10_IFQ_Rev_Number[Revision],1)</f>
        <v>0</v>
      </c>
      <c r="N5" s="114"/>
      <c r="O5" s="117" t="s">
        <v>375</v>
      </c>
      <c r="P5" s="117" t="s">
        <v>8</v>
      </c>
      <c r="Q5" s="123" t="s">
        <v>433</v>
      </c>
      <c r="R5" s="117" t="s">
        <v>15</v>
      </c>
      <c r="S5" s="120" t="s">
        <v>400</v>
      </c>
      <c r="T5" s="123" t="s">
        <v>9</v>
      </c>
      <c r="U5" s="117" t="s">
        <v>368</v>
      </c>
      <c r="V5" s="117" t="s">
        <v>370</v>
      </c>
      <c r="W5" s="118" t="s">
        <v>10</v>
      </c>
      <c r="X5" s="118" t="s">
        <v>11</v>
      </c>
      <c r="Y5" s="118" t="s">
        <v>12</v>
      </c>
      <c r="Z5" s="118" t="s">
        <v>13</v>
      </c>
      <c r="AA5" s="117" t="s">
        <v>365</v>
      </c>
      <c r="AB5" s="118" t="s">
        <v>402</v>
      </c>
      <c r="AC5" s="119" t="s">
        <v>401</v>
      </c>
    </row>
    <row r="6" spans="1:29" ht="24" x14ac:dyDescent="0.3">
      <c r="B6" s="123"/>
      <c r="C6" s="122"/>
      <c r="D6" s="123"/>
      <c r="E6" s="123"/>
      <c r="F6" s="123"/>
      <c r="G6" s="123"/>
      <c r="N6" s="114"/>
      <c r="O6" s="131">
        <v>0</v>
      </c>
      <c r="P6" s="221">
        <v>0</v>
      </c>
      <c r="Q6" s="123"/>
      <c r="R6" s="117"/>
      <c r="S6" s="120"/>
      <c r="T6" s="123"/>
      <c r="U6" s="117" t="s">
        <v>463</v>
      </c>
      <c r="V6" s="117" t="s">
        <v>463</v>
      </c>
      <c r="W6" s="118">
        <v>0</v>
      </c>
      <c r="X6" s="118">
        <v>0</v>
      </c>
      <c r="Y6" s="118">
        <v>0</v>
      </c>
      <c r="Z6" s="118">
        <v>0</v>
      </c>
      <c r="AA6" s="117"/>
      <c r="AB6" s="118">
        <f>IFERROR(
          MAX(
                _xlfn.CEILING.MATH(
                              Tbl_10_IFQ[[#This Row],[Comp]]*2/
                              INDEX(
                                      Tbl_50_Pile_Type_Design[Kt (ft-1)],
                                      MATCH(
                                              Tbl_10_IFQ[[#This Row],[Shaft Description]],
                                              Tbl_50_Pile_Type_Design[Pile Description],
                                              0)
                                  ),
                                500
                              ),
                  _xlfn.CEILING.MATH(
                                Tbl_10_IFQ[[#This Row],[Tension]]*2*1.15/
                                INDEX(
                                        Tbl_50_Pile_Type_Design[Kt (ft-1)],
                                        MATCH(
                                                Tbl_10_IFQ[[#This Row],[Shaft Description]],
                                                Tbl_50_Pile_Type_Design[Pile Description],
                                                0)
                                    ),
                                  500
                                ),
                2500),
      0
  )</f>
        <v>2500</v>
      </c>
      <c r="AC6" s="119">
        <f>INDEX(Tbl_50_Pile_Type_Design[Minimum Depth (ft)],MATCH(Tbl_10_IFQ[[#This Row],[Shaft Description]],Tbl_50_Pile_Type_Design[Pile Description],0))</f>
        <v>1.3125</v>
      </c>
    </row>
    <row r="7" spans="1:29" ht="25.5" x14ac:dyDescent="0.3">
      <c r="B7" s="123"/>
      <c r="C7" s="115" t="s">
        <v>49</v>
      </c>
      <c r="D7" s="115"/>
      <c r="E7" s="122"/>
      <c r="F7" s="115" t="s">
        <v>435</v>
      </c>
      <c r="G7" s="115"/>
      <c r="I7" s="222" t="s">
        <v>22</v>
      </c>
      <c r="J7" s="223">
        <f>INDEX(Tbl_X1_10_IFC_Rev_Number[Revision],1)</f>
        <v>0</v>
      </c>
      <c r="N7" s="114"/>
    </row>
    <row r="8" spans="1:29" ht="24" x14ac:dyDescent="0.3">
      <c r="B8" s="123"/>
      <c r="C8" s="122"/>
      <c r="D8" s="123"/>
      <c r="E8" s="123"/>
    </row>
    <row r="9" spans="1:29" ht="38.25" customHeight="1" x14ac:dyDescent="0.3">
      <c r="B9" s="123"/>
      <c r="C9" s="115" t="s">
        <v>0</v>
      </c>
      <c r="D9" s="115"/>
      <c r="E9" s="122"/>
      <c r="F9" s="115" t="s">
        <v>436</v>
      </c>
      <c r="G9" s="115"/>
      <c r="I9" s="12" t="s">
        <v>375</v>
      </c>
      <c r="J9" s="12" t="s">
        <v>398</v>
      </c>
      <c r="K9" s="12" t="s">
        <v>368</v>
      </c>
      <c r="L9" s="12" t="s">
        <v>370</v>
      </c>
      <c r="M9" s="12" t="s">
        <v>432</v>
      </c>
    </row>
    <row r="10" spans="1:29" ht="24" x14ac:dyDescent="0.3">
      <c r="B10" s="123"/>
      <c r="C10" s="122"/>
      <c r="D10" s="123"/>
      <c r="E10" s="123"/>
      <c r="F10" s="123"/>
      <c r="G10" s="123"/>
      <c r="I10" s="245" t="s">
        <v>380</v>
      </c>
      <c r="J10" s="245"/>
      <c r="K10" s="12" t="s">
        <v>463</v>
      </c>
      <c r="L10" s="12" t="s">
        <v>463</v>
      </c>
      <c r="M10" s="181"/>
    </row>
    <row r="11" spans="1:29" ht="24" x14ac:dyDescent="0.3">
      <c r="B11" s="123"/>
      <c r="C11" s="115" t="s">
        <v>438</v>
      </c>
      <c r="D11" s="243"/>
      <c r="E11" s="122"/>
      <c r="F11" s="115" t="s">
        <v>1</v>
      </c>
      <c r="G11" s="115"/>
    </row>
    <row r="12" spans="1:29" ht="24" x14ac:dyDescent="0.3">
      <c r="B12" s="123"/>
      <c r="C12" s="122"/>
      <c r="D12" s="123"/>
      <c r="E12" s="123"/>
      <c r="F12" s="123"/>
      <c r="G12" s="123"/>
    </row>
    <row r="13" spans="1:29" ht="24" x14ac:dyDescent="0.3">
      <c r="B13" s="123"/>
      <c r="C13" s="115" t="s">
        <v>327</v>
      </c>
      <c r="D13" s="124">
        <v>50</v>
      </c>
      <c r="E13" s="125"/>
      <c r="F13" s="115" t="s">
        <v>6</v>
      </c>
      <c r="G13" s="115" t="s">
        <v>406</v>
      </c>
    </row>
    <row r="14" spans="1:29" ht="24" x14ac:dyDescent="0.45">
      <c r="C14" s="253"/>
    </row>
    <row r="15" spans="1:29" ht="48" x14ac:dyDescent="0.45">
      <c r="C15" s="254" t="s">
        <v>319</v>
      </c>
      <c r="D15" s="39">
        <v>0.5</v>
      </c>
      <c r="F15" s="115" t="s">
        <v>2</v>
      </c>
      <c r="G15" s="115"/>
    </row>
    <row r="16" spans="1:29" ht="31.5" customHeight="1" x14ac:dyDescent="0.45">
      <c r="C16" s="255"/>
      <c r="E16" s="121"/>
    </row>
    <row r="17" spans="3:7" ht="48" x14ac:dyDescent="0.45">
      <c r="C17" s="254" t="s">
        <v>320</v>
      </c>
      <c r="D17" s="43">
        <v>100</v>
      </c>
      <c r="F17" s="115" t="s">
        <v>3</v>
      </c>
      <c r="G17" s="115"/>
    </row>
    <row r="18" spans="3:7" ht="15.75" customHeight="1" x14ac:dyDescent="0.45">
      <c r="C18" s="255"/>
      <c r="E18" s="121"/>
    </row>
    <row r="19" spans="3:7" ht="48" x14ac:dyDescent="0.45">
      <c r="C19" s="254" t="s">
        <v>165</v>
      </c>
      <c r="D19" s="40">
        <v>0.5</v>
      </c>
      <c r="F19" s="115" t="s">
        <v>4</v>
      </c>
      <c r="G19" s="115"/>
    </row>
    <row r="20" spans="3:7" ht="24" x14ac:dyDescent="0.45">
      <c r="C20" s="255"/>
    </row>
    <row r="21" spans="3:7" ht="48" x14ac:dyDescent="0.45">
      <c r="C21" s="254" t="s">
        <v>298</v>
      </c>
      <c r="D21" s="37">
        <v>2</v>
      </c>
      <c r="F21" s="115" t="s">
        <v>5</v>
      </c>
      <c r="G21" s="115" t="s">
        <v>405</v>
      </c>
    </row>
    <row r="22" spans="3:7" ht="15.75" customHeight="1" x14ac:dyDescent="0.45">
      <c r="C22" s="255"/>
    </row>
    <row r="23" spans="3:7" ht="43.5" customHeight="1" x14ac:dyDescent="0.45">
      <c r="C23" s="254" t="s">
        <v>299</v>
      </c>
      <c r="D23" s="37">
        <v>2</v>
      </c>
      <c r="F23" s="115" t="s">
        <v>7</v>
      </c>
      <c r="G23" s="115"/>
    </row>
    <row r="24" spans="3:7" ht="24" x14ac:dyDescent="0.45">
      <c r="C24" s="253"/>
    </row>
    <row r="25" spans="3:7" ht="48" x14ac:dyDescent="0.45">
      <c r="C25" s="254" t="s">
        <v>456</v>
      </c>
      <c r="D25" s="219">
        <v>3</v>
      </c>
    </row>
    <row r="26" spans="3:7" ht="24" x14ac:dyDescent="0.45">
      <c r="C26" s="253"/>
    </row>
    <row r="27" spans="3:7" ht="21" thickBot="1" x14ac:dyDescent="0.4">
      <c r="C27" s="317" t="s">
        <v>515</v>
      </c>
      <c r="D27" s="317"/>
      <c r="E27" s="317"/>
      <c r="F27" s="317"/>
      <c r="G27" s="317"/>
    </row>
    <row r="28" spans="3:7" ht="17.25" thickTop="1" x14ac:dyDescent="0.3"/>
    <row r="29" spans="3:7" ht="18.75" x14ac:dyDescent="0.3">
      <c r="C29" s="280" t="s">
        <v>490</v>
      </c>
      <c r="D29" s="281"/>
      <c r="E29" s="282"/>
      <c r="F29" s="280" t="s">
        <v>497</v>
      </c>
      <c r="G29" s="281"/>
    </row>
    <row r="30" spans="3:7" ht="18.75" x14ac:dyDescent="0.3">
      <c r="C30" s="282"/>
      <c r="D30" s="282"/>
      <c r="E30" s="282"/>
      <c r="F30" s="282"/>
      <c r="G30" s="282"/>
    </row>
    <row r="31" spans="3:7" ht="18.75" x14ac:dyDescent="0.3">
      <c r="C31" s="280" t="s">
        <v>495</v>
      </c>
      <c r="D31" s="281"/>
      <c r="E31" s="282"/>
      <c r="F31" s="282"/>
      <c r="G31" s="282"/>
    </row>
    <row r="32" spans="3:7" ht="18.75" x14ac:dyDescent="0.3">
      <c r="C32" s="283"/>
      <c r="D32" s="283"/>
      <c r="E32" s="282"/>
      <c r="F32" s="282"/>
      <c r="G32" s="282"/>
    </row>
    <row r="33" spans="3:7" ht="18.75" x14ac:dyDescent="0.3">
      <c r="C33" s="280" t="s">
        <v>494</v>
      </c>
      <c r="D33" s="281"/>
      <c r="E33" s="282"/>
      <c r="F33" s="280" t="s">
        <v>516</v>
      </c>
      <c r="G33" s="281"/>
    </row>
    <row r="34" spans="3:7" ht="18.75" x14ac:dyDescent="0.3">
      <c r="C34" s="282"/>
      <c r="D34" s="282"/>
      <c r="E34" s="282"/>
      <c r="F34" s="282"/>
      <c r="G34" s="282"/>
    </row>
    <row r="35" spans="3:7" ht="18.75" x14ac:dyDescent="0.3">
      <c r="C35" s="280" t="s">
        <v>529</v>
      </c>
      <c r="D35" s="284"/>
      <c r="E35" s="282"/>
      <c r="F35" s="280" t="s">
        <v>517</v>
      </c>
      <c r="G35" s="281"/>
    </row>
    <row r="36" spans="3:7" ht="18.75" x14ac:dyDescent="0.3">
      <c r="C36" s="282"/>
      <c r="D36" s="282"/>
      <c r="E36" s="282"/>
      <c r="F36" s="285"/>
      <c r="G36" s="282"/>
    </row>
    <row r="37" spans="3:7" ht="37.5" x14ac:dyDescent="0.3">
      <c r="C37" s="280" t="s">
        <v>518</v>
      </c>
      <c r="D37" s="290"/>
      <c r="E37" s="282"/>
      <c r="F37" s="280" t="s">
        <v>521</v>
      </c>
      <c r="G37" s="286"/>
    </row>
    <row r="38" spans="3:7" ht="18.75" x14ac:dyDescent="0.3">
      <c r="C38" s="282"/>
      <c r="D38" s="282"/>
      <c r="E38" s="282"/>
      <c r="F38" s="282"/>
      <c r="G38" s="282"/>
    </row>
    <row r="39" spans="3:7" ht="37.5" x14ac:dyDescent="0.3">
      <c r="C39" s="280" t="s">
        <v>519</v>
      </c>
      <c r="D39" s="281"/>
      <c r="E39" s="282"/>
      <c r="F39" s="280" t="s">
        <v>522</v>
      </c>
      <c r="G39" s="286"/>
    </row>
    <row r="40" spans="3:7" ht="24" x14ac:dyDescent="0.3">
      <c r="C40" s="279"/>
      <c r="D40" s="278"/>
      <c r="E40" s="278"/>
      <c r="F40" s="278"/>
      <c r="G40" s="278"/>
    </row>
    <row r="41" spans="3:7" ht="37.5" x14ac:dyDescent="0.3">
      <c r="C41" s="280" t="s">
        <v>520</v>
      </c>
      <c r="D41" s="281"/>
      <c r="E41" s="282"/>
      <c r="F41" s="280" t="s">
        <v>523</v>
      </c>
      <c r="G41" s="286"/>
    </row>
    <row r="42" spans="3:7" x14ac:dyDescent="0.3">
      <c r="C42" s="278"/>
      <c r="D42" s="278"/>
      <c r="E42" s="278"/>
      <c r="F42" s="278"/>
      <c r="G42" s="278"/>
    </row>
    <row r="43" spans="3:7" x14ac:dyDescent="0.3">
      <c r="E43" s="278"/>
      <c r="F43" s="278"/>
      <c r="G43" s="278"/>
    </row>
  </sheetData>
  <sheetProtection selectLockedCells="1"/>
  <mergeCells count="4">
    <mergeCell ref="C3:G3"/>
    <mergeCell ref="O3:AC3"/>
    <mergeCell ref="I3:M3"/>
    <mergeCell ref="C27:G27"/>
  </mergeCells>
  <conditionalFormatting sqref="D9 G11 G15 G17 G19 G21 G13 G23">
    <cfRule type="cellIs" dxfId="521" priority="37" operator="equal">
      <formula>""</formula>
    </cfRule>
  </conditionalFormatting>
  <conditionalFormatting sqref="D7">
    <cfRule type="cellIs" dxfId="520" priority="36" operator="equal">
      <formula>""</formula>
    </cfRule>
  </conditionalFormatting>
  <conditionalFormatting sqref="D15">
    <cfRule type="cellIs" dxfId="519" priority="34" operator="equal">
      <formula>""</formula>
    </cfRule>
  </conditionalFormatting>
  <conditionalFormatting sqref="D19">
    <cfRule type="cellIs" dxfId="518" priority="33" operator="equal">
      <formula>""</formula>
    </cfRule>
  </conditionalFormatting>
  <conditionalFormatting sqref="D21">
    <cfRule type="cellIs" dxfId="517" priority="32" operator="equal">
      <formula>""</formula>
    </cfRule>
  </conditionalFormatting>
  <conditionalFormatting sqref="D23">
    <cfRule type="cellIs" dxfId="516" priority="31" operator="equal">
      <formula>""</formula>
    </cfRule>
  </conditionalFormatting>
  <conditionalFormatting sqref="D17">
    <cfRule type="cellIs" dxfId="515" priority="30" operator="equal">
      <formula>""</formula>
    </cfRule>
  </conditionalFormatting>
  <conditionalFormatting sqref="D13">
    <cfRule type="cellIs" dxfId="514" priority="29" operator="equal">
      <formula>""</formula>
    </cfRule>
  </conditionalFormatting>
  <conditionalFormatting sqref="J5">
    <cfRule type="cellIs" dxfId="513" priority="27" operator="equal">
      <formula>""</formula>
    </cfRule>
  </conditionalFormatting>
  <conditionalFormatting sqref="J7">
    <cfRule type="cellIs" dxfId="512" priority="26" operator="equal">
      <formula>""</formula>
    </cfRule>
  </conditionalFormatting>
  <conditionalFormatting sqref="D5:G5">
    <cfRule type="expression" dxfId="511" priority="25">
      <formula>$D$5=""</formula>
    </cfRule>
  </conditionalFormatting>
  <conditionalFormatting sqref="G7">
    <cfRule type="cellIs" dxfId="510" priority="24" operator="equal">
      <formula>""</formula>
    </cfRule>
  </conditionalFormatting>
  <conditionalFormatting sqref="G9">
    <cfRule type="cellIs" dxfId="509" priority="23" operator="equal">
      <formula>""</formula>
    </cfRule>
  </conditionalFormatting>
  <conditionalFormatting sqref="D11">
    <cfRule type="cellIs" dxfId="508" priority="22" operator="equal">
      <formula>""</formula>
    </cfRule>
  </conditionalFormatting>
  <conditionalFormatting sqref="D25">
    <cfRule type="cellIs" dxfId="507" priority="21" operator="equal">
      <formula>""</formula>
    </cfRule>
  </conditionalFormatting>
  <conditionalFormatting sqref="G35">
    <cfRule type="cellIs" dxfId="506" priority="9" operator="equal">
      <formula>""</formula>
    </cfRule>
  </conditionalFormatting>
  <conditionalFormatting sqref="D29">
    <cfRule type="cellIs" dxfId="505" priority="14" operator="equal">
      <formula>""</formula>
    </cfRule>
  </conditionalFormatting>
  <conditionalFormatting sqref="D33">
    <cfRule type="cellIs" dxfId="504" priority="13" operator="equal">
      <formula>""</formula>
    </cfRule>
  </conditionalFormatting>
  <conditionalFormatting sqref="D35">
    <cfRule type="cellIs" dxfId="503" priority="12" operator="equal">
      <formula>""</formula>
    </cfRule>
  </conditionalFormatting>
  <conditionalFormatting sqref="D37">
    <cfRule type="cellIs" dxfId="502" priority="11" operator="equal">
      <formula>""</formula>
    </cfRule>
  </conditionalFormatting>
  <conditionalFormatting sqref="G33">
    <cfRule type="cellIs" dxfId="501" priority="10" operator="equal">
      <formula>""</formula>
    </cfRule>
  </conditionalFormatting>
  <conditionalFormatting sqref="D31">
    <cfRule type="cellIs" dxfId="500" priority="8" operator="equal">
      <formula>""</formula>
    </cfRule>
  </conditionalFormatting>
  <conditionalFormatting sqref="G37">
    <cfRule type="cellIs" dxfId="499" priority="7" operator="equal">
      <formula>""</formula>
    </cfRule>
  </conditionalFormatting>
  <conditionalFormatting sqref="G29">
    <cfRule type="cellIs" dxfId="498" priority="6" operator="equal">
      <formula>""</formula>
    </cfRule>
  </conditionalFormatting>
  <conditionalFormatting sqref="D39">
    <cfRule type="cellIs" dxfId="497" priority="5" operator="equal">
      <formula>""</formula>
    </cfRule>
  </conditionalFormatting>
  <conditionalFormatting sqref="D41">
    <cfRule type="cellIs" dxfId="496" priority="3" operator="equal">
      <formula>""</formula>
    </cfRule>
  </conditionalFormatting>
  <conditionalFormatting sqref="G41">
    <cfRule type="cellIs" dxfId="495" priority="2" operator="equal">
      <formula>""</formula>
    </cfRule>
  </conditionalFormatting>
  <conditionalFormatting sqref="G39">
    <cfRule type="cellIs" dxfId="494" priority="1" operator="equal">
      <formula>""</formula>
    </cfRule>
  </conditionalFormatting>
  <dataValidations disablePrompts="1" count="2">
    <dataValidation allowBlank="1" showInputMessage="1" showErrorMessage="1" promptTitle="Deflection Above Grade" prompt="(Use 100 if L/100, use 240 if L/240)" sqref="D17" xr:uid="{304C09DC-C29C-4BBD-8024-DF844AFF2A77}"/>
    <dataValidation allowBlank="1" showErrorMessage="1" promptTitle="Autocalculated" prompt="SmartPile Autocalculates this field._x000a_Overwriting will do nothing_x000a_" sqref="J5" xr:uid="{8BACD979-EAA4-4DD4-9FA5-FAE5045BFF68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heckBox_10_Device_Laptop">
          <controlPr defaultSize="0" autoLine="0" r:id="rId5">
            <anchor moveWithCells="1">
              <from>
                <xdr:col>15</xdr:col>
                <xdr:colOff>0</xdr:colOff>
                <xdr:row>0</xdr:row>
                <xdr:rowOff>133350</xdr:rowOff>
              </from>
              <to>
                <xdr:col>16</xdr:col>
                <xdr:colOff>238125</xdr:colOff>
                <xdr:row>0</xdr:row>
                <xdr:rowOff>600075</xdr:rowOff>
              </to>
            </anchor>
          </controlPr>
        </control>
      </mc:Choice>
      <mc:Fallback>
        <control shapeId="1025" r:id="rId4" name="CheckBox_10_Device_Laptop"/>
      </mc:Fallback>
    </mc:AlternateContent>
  </controls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030"/>
  <dimension ref="A1:AO13"/>
  <sheetViews>
    <sheetView showGridLines="0" zoomScale="80" zoomScaleNormal="80" workbookViewId="0">
      <pane ySplit="1" topLeftCell="A2" activePane="bottomLeft" state="frozen"/>
      <selection pane="bottomLeft" activeCell="J17" sqref="J17"/>
    </sheetView>
  </sheetViews>
  <sheetFormatPr defaultColWidth="9.140625" defaultRowHeight="17.25" outlineLevelCol="1" x14ac:dyDescent="0.3"/>
  <cols>
    <col min="1" max="1" width="26.7109375" style="5" customWidth="1"/>
    <col min="2" max="2" width="4.28515625" style="6" customWidth="1"/>
    <col min="3" max="3" width="30.7109375" style="6" bestFit="1" customWidth="1"/>
    <col min="4" max="4" width="23.42578125" style="6" hidden="1" customWidth="1" outlineLevel="1"/>
    <col min="5" max="5" width="19.28515625" style="6" bestFit="1" customWidth="1" collapsed="1"/>
    <col min="6" max="6" width="25.85546875" style="6" bestFit="1" customWidth="1"/>
    <col min="7" max="7" width="15.140625" style="6" customWidth="1"/>
    <col min="8" max="8" width="10" style="6" customWidth="1"/>
    <col min="9" max="9" width="20.42578125" style="6" hidden="1" customWidth="1" outlineLevel="1"/>
    <col min="10" max="10" width="16.7109375" style="6" bestFit="1" customWidth="1" collapsed="1"/>
    <col min="11" max="11" width="12.85546875" style="6" bestFit="1" customWidth="1"/>
    <col min="12" max="12" width="18.42578125" style="6" bestFit="1" customWidth="1"/>
    <col min="13" max="13" width="15" style="6" bestFit="1" customWidth="1"/>
    <col min="14" max="14" width="18.7109375" style="6" bestFit="1" customWidth="1"/>
    <col min="15" max="15" width="28.85546875" style="6" bestFit="1" customWidth="1"/>
    <col min="16" max="16" width="88.42578125" style="6" hidden="1" customWidth="1" outlineLevel="1"/>
    <col min="17" max="17" width="1.7109375" style="6" customWidth="1" collapsed="1"/>
    <col min="18" max="18" width="22.7109375" style="6" customWidth="1"/>
    <col min="19" max="19" width="13.42578125" style="6" hidden="1" customWidth="1" outlineLevel="1"/>
    <col min="20" max="20" width="18.7109375" style="6" hidden="1" customWidth="1" outlineLevel="1"/>
    <col min="21" max="21" width="16.42578125" style="6" hidden="1" customWidth="1" outlineLevel="1"/>
    <col min="22" max="22" width="34.28515625" style="6" hidden="1" customWidth="1" outlineLevel="1"/>
    <col min="23" max="23" width="24.140625" style="6" hidden="1" customWidth="1" outlineLevel="1"/>
    <col min="24" max="24" width="2.5703125" customWidth="1" collapsed="1"/>
    <col min="25" max="25" width="14.85546875" style="6" bestFit="1" customWidth="1"/>
    <col min="26" max="26" width="10.7109375" style="6" bestFit="1" customWidth="1"/>
    <col min="27" max="27" width="9.28515625" style="6" bestFit="1" customWidth="1"/>
    <col min="28" max="28" width="10.140625" style="6" bestFit="1" customWidth="1"/>
    <col min="29" max="29" width="1.5703125" style="6" customWidth="1"/>
    <col min="30" max="30" width="13.140625" style="6" bestFit="1" customWidth="1"/>
    <col min="31" max="31" width="2.42578125" style="6" customWidth="1"/>
    <col min="32" max="32" width="111.7109375" style="6" hidden="1" customWidth="1" outlineLevel="1"/>
    <col min="33" max="33" width="2.140625" style="6" customWidth="1" collapsed="1"/>
    <col min="34" max="34" width="14.28515625" style="6" hidden="1" customWidth="1" outlineLevel="1"/>
    <col min="35" max="35" width="21.42578125" style="6" customWidth="1" collapsed="1"/>
    <col min="36" max="36" width="14.28515625" style="6" customWidth="1"/>
    <col min="37" max="37" width="2.5703125" style="6" hidden="1" customWidth="1" outlineLevel="1"/>
    <col min="38" max="38" width="14.85546875" style="6" customWidth="1" collapsed="1"/>
    <col min="39" max="39" width="13.28515625" style="6" customWidth="1"/>
    <col min="40" max="40" width="0.85546875" style="6" customWidth="1"/>
    <col min="41" max="41" width="35.5703125" style="6" bestFit="1" customWidth="1"/>
    <col min="42" max="16384" width="9.140625" style="6"/>
  </cols>
  <sheetData>
    <row r="1" spans="1:41" s="8" customFormat="1" ht="129" customHeight="1" thickBot="1" x14ac:dyDescent="0.35">
      <c r="A1" s="7"/>
    </row>
    <row r="2" spans="1:41" ht="18" thickTop="1" x14ac:dyDescent="0.3">
      <c r="X2" s="6"/>
    </row>
    <row r="5" spans="1:41" ht="38.25" customHeight="1" x14ac:dyDescent="0.3">
      <c r="C5" s="230" t="s">
        <v>19</v>
      </c>
      <c r="D5" s="230" t="s">
        <v>18</v>
      </c>
      <c r="E5" s="230" t="s">
        <v>464</v>
      </c>
      <c r="F5" s="230" t="s">
        <v>8</v>
      </c>
      <c r="G5" s="230" t="s">
        <v>15</v>
      </c>
      <c r="H5" s="230" t="s">
        <v>433</v>
      </c>
      <c r="I5" s="230" t="s">
        <v>470</v>
      </c>
      <c r="J5" s="231" t="s">
        <v>47</v>
      </c>
      <c r="K5" s="231" t="s">
        <v>48</v>
      </c>
      <c r="L5" s="241" t="s">
        <v>16</v>
      </c>
      <c r="M5" s="230" t="s">
        <v>465</v>
      </c>
      <c r="N5" s="232" t="s">
        <v>9</v>
      </c>
      <c r="O5" s="230" t="s">
        <v>14</v>
      </c>
      <c r="P5" s="233" t="s">
        <v>368</v>
      </c>
      <c r="Q5" s="234" t="s">
        <v>372</v>
      </c>
      <c r="R5" s="230" t="s">
        <v>328</v>
      </c>
      <c r="S5" s="230" t="s">
        <v>329</v>
      </c>
      <c r="T5" s="230" t="s">
        <v>330</v>
      </c>
      <c r="U5" s="230" t="s">
        <v>331</v>
      </c>
      <c r="V5" s="230" t="s">
        <v>371</v>
      </c>
      <c r="W5" s="235" t="s">
        <v>370</v>
      </c>
      <c r="X5" s="234" t="s">
        <v>373</v>
      </c>
      <c r="Y5" s="236" t="s">
        <v>10</v>
      </c>
      <c r="Z5" s="236" t="s">
        <v>11</v>
      </c>
      <c r="AA5" s="236" t="s">
        <v>12</v>
      </c>
      <c r="AB5" s="236" t="s">
        <v>13</v>
      </c>
      <c r="AC5" s="234" t="s">
        <v>374</v>
      </c>
      <c r="AD5" s="237" t="s">
        <v>375</v>
      </c>
      <c r="AE5" s="234" t="s">
        <v>376</v>
      </c>
      <c r="AF5" s="237" t="s">
        <v>369</v>
      </c>
      <c r="AG5" s="234" t="s">
        <v>377</v>
      </c>
      <c r="AH5" s="238" t="s">
        <v>461</v>
      </c>
      <c r="AI5" s="238" t="s">
        <v>462</v>
      </c>
      <c r="AJ5" s="238" t="s">
        <v>365</v>
      </c>
      <c r="AK5" s="239" t="s">
        <v>378</v>
      </c>
      <c r="AL5" s="238" t="s">
        <v>366</v>
      </c>
      <c r="AM5" s="238" t="s">
        <v>367</v>
      </c>
      <c r="AN5" s="239" t="s">
        <v>469</v>
      </c>
      <c r="AO5" s="237" t="s">
        <v>468</v>
      </c>
    </row>
    <row r="6" spans="1:41" ht="34.5" x14ac:dyDescent="0.3">
      <c r="C6" s="10" t="s">
        <v>530</v>
      </c>
      <c r="D6" s="10"/>
      <c r="E6" s="10"/>
      <c r="F6" s="313" t="s">
        <v>532</v>
      </c>
      <c r="G6" s="230" t="s">
        <v>44</v>
      </c>
      <c r="H6" s="200"/>
      <c r="I6" s="200"/>
      <c r="J6" s="231"/>
      <c r="K6" s="231"/>
      <c r="L6" s="242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6" s="11" t="s">
        <v>540</v>
      </c>
      <c r="N6" s="232">
        <v>2</v>
      </c>
      <c r="O6" s="10" t="s">
        <v>467</v>
      </c>
      <c r="P6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6" s="234"/>
      <c r="R6" s="116"/>
      <c r="S6" s="10"/>
      <c r="T6" s="41"/>
      <c r="U6" s="74"/>
      <c r="V6" s="74"/>
      <c r="W6" s="128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6" s="269"/>
      <c r="Y6" s="271">
        <f t="shared" ref="Y6:AB6" si="0"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$M6&amp;"_Comb"&amp;"["&amp;Y$5&amp;"]")
     )
    ),
0
 )</f>
        <v>0</v>
      </c>
      <c r="Z6" s="271">
        <f t="shared" si="0"/>
        <v>0</v>
      </c>
      <c r="AA6" s="271">
        <f t="shared" si="0"/>
        <v>0</v>
      </c>
      <c r="AB6" s="271">
        <f t="shared" si="0"/>
        <v>0</v>
      </c>
      <c r="AC6" s="129"/>
      <c r="AD6" s="109" t="str">
        <f t="array" ref="AD6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6" s="130"/>
      <c r="AF6" s="272" t="str">
        <f>IF(
         Tbl_30_Structures[[#This Row],[Shaft Description]] ="", "",
         Tbl_30_Structures[[#This Row],[Shaft Description]]&amp;"_"&amp;Tbl_30_Structures[[ Cap Description]]
)</f>
        <v/>
      </c>
      <c r="AG6" s="270"/>
      <c r="AH6" s="228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Cable Tray Tee
P-03, P-06STEEL2PLAN_RD_07.00X0000000</v>
      </c>
      <c r="AI6" s="228"/>
      <c r="AJ6" s="225"/>
      <c r="AK6" s="226"/>
      <c r="AL6" s="227"/>
      <c r="AM6" s="225"/>
      <c r="AN6" s="273"/>
      <c r="AO6" s="229" t="str">
        <f>IF(Tbl_30_Structures[[#This Row],[Tag Name]] = "",Tbl_30_Structures[[#This Row],[Structure Name]],Tbl_30_Structures[[#This Row],[Tag Name]]&amp;" "&amp;Tbl_30_Structures[[#This Row],[Structure Name]])</f>
        <v>Cable Tray Tee
P-03, P-06</v>
      </c>
    </row>
    <row r="7" spans="1:41" x14ac:dyDescent="0.3">
      <c r="C7" s="292" t="s">
        <v>531</v>
      </c>
      <c r="D7" s="292"/>
      <c r="E7" s="292"/>
      <c r="F7" s="293" t="s">
        <v>533</v>
      </c>
      <c r="G7" s="292" t="s">
        <v>44</v>
      </c>
      <c r="H7" s="293"/>
      <c r="I7" s="293"/>
      <c r="J7" s="294"/>
      <c r="K7" s="294"/>
      <c r="L7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7" s="294" t="s">
        <v>541</v>
      </c>
      <c r="N7" s="296">
        <v>8</v>
      </c>
      <c r="O7" s="292" t="s">
        <v>466</v>
      </c>
      <c r="P7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7" s="297"/>
      <c r="R7" s="116"/>
      <c r="S7" s="292"/>
      <c r="T7" s="298"/>
      <c r="U7" s="299"/>
      <c r="V7" s="299"/>
      <c r="W7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7" s="301"/>
      <c r="Y7" s="302">
        <f t="shared" ref="Y7:AB13" si="1"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$M7&amp;"_Comb"&amp;"["&amp;Y$5&amp;"]")
     )
    ),
0
 )</f>
        <v>0</v>
      </c>
      <c r="Z7" s="302">
        <f t="shared" si="1"/>
        <v>0</v>
      </c>
      <c r="AA7" s="302">
        <f t="shared" si="1"/>
        <v>0</v>
      </c>
      <c r="AB7" s="302">
        <f t="shared" si="1"/>
        <v>0</v>
      </c>
      <c r="AC7" s="303"/>
      <c r="AD7" s="304" t="str">
        <f t="array" ref="AD7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7" s="305"/>
      <c r="AF7" s="302" t="str">
        <f>IF(
         Tbl_30_Structures[[#This Row],[Shaft Description]] ="", "",
         Tbl_30_Structures[[#This Row],[Shaft Description]]&amp;"_"&amp;Tbl_30_Structures[[ Cap Description]]
)</f>
        <v/>
      </c>
      <c r="AG7" s="306"/>
      <c r="AH7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03.00"STEEL8PLAN_SQ_03.00X3130000</v>
      </c>
      <c r="AI7" s="307"/>
      <c r="AJ7" s="308"/>
      <c r="AK7" s="309"/>
      <c r="AL7" s="310"/>
      <c r="AM7" s="308"/>
      <c r="AN7" s="311"/>
      <c r="AO7" s="312" t="str">
        <f>IF(Tbl_30_Structures[[#This Row],[Tag Name]] = "",Tbl_30_Structures[[#This Row],[Structure Name]],Tbl_30_Structures[[#This Row],[Tag Name]]&amp;" "&amp;Tbl_30_Structures[[#This Row],[Structure Name]])</f>
        <v>MPS 03.00"</v>
      </c>
    </row>
    <row r="8" spans="1:41" ht="34.5" x14ac:dyDescent="0.3">
      <c r="C8" s="292" t="s">
        <v>530</v>
      </c>
      <c r="D8" s="292"/>
      <c r="E8" s="292"/>
      <c r="F8" s="314" t="s">
        <v>534</v>
      </c>
      <c r="G8" s="292" t="s">
        <v>44</v>
      </c>
      <c r="H8" s="293"/>
      <c r="I8" s="293"/>
      <c r="J8" s="294"/>
      <c r="K8" s="294"/>
      <c r="L8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8" s="294" t="s">
        <v>542</v>
      </c>
      <c r="N8" s="296">
        <v>4</v>
      </c>
      <c r="O8" s="292" t="s">
        <v>467</v>
      </c>
      <c r="P8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8" s="297"/>
      <c r="R8" s="116"/>
      <c r="S8" s="292"/>
      <c r="T8" s="298"/>
      <c r="U8" s="299"/>
      <c r="V8" s="299"/>
      <c r="W8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8" s="301"/>
      <c r="Y8" s="302">
        <f t="shared" si="1"/>
        <v>0</v>
      </c>
      <c r="Z8" s="302">
        <f t="shared" si="1"/>
        <v>0</v>
      </c>
      <c r="AA8" s="302">
        <f t="shared" si="1"/>
        <v>0</v>
      </c>
      <c r="AB8" s="302">
        <f t="shared" si="1"/>
        <v>0</v>
      </c>
      <c r="AC8" s="303"/>
      <c r="AD8" s="304" t="str">
        <f t="array" ref="AD8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8" s="305"/>
      <c r="AF8" s="302" t="str">
        <f>IF(
         Tbl_30_Structures[[#This Row],[Shaft Description]] ="", "",
         Tbl_30_Structures[[#This Row],[Shaft Description]]&amp;"_"&amp;Tbl_30_Structures[[ Cap Description]]
)</f>
        <v/>
      </c>
      <c r="AG8" s="306"/>
      <c r="AH8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Building
P-01,P-02,P-04,P-05STEEL4PLAN_RD_07.00X0000000</v>
      </c>
      <c r="AI8" s="307"/>
      <c r="AJ8" s="308"/>
      <c r="AK8" s="309"/>
      <c r="AL8" s="310"/>
      <c r="AM8" s="308"/>
      <c r="AN8" s="311"/>
      <c r="AO8" s="312" t="str">
        <f>IF(Tbl_30_Structures[[#This Row],[Tag Name]] = "",Tbl_30_Structures[[#This Row],[Structure Name]],Tbl_30_Structures[[#This Row],[Tag Name]]&amp;" "&amp;Tbl_30_Structures[[#This Row],[Structure Name]])</f>
        <v>Building
P-01,P-02,P-04,P-05</v>
      </c>
    </row>
    <row r="9" spans="1:41" x14ac:dyDescent="0.3">
      <c r="C9" s="292" t="s">
        <v>531</v>
      </c>
      <c r="D9" s="292"/>
      <c r="E9" s="292"/>
      <c r="F9" s="293" t="s">
        <v>535</v>
      </c>
      <c r="G9" s="292" t="s">
        <v>44</v>
      </c>
      <c r="H9" s="293"/>
      <c r="I9" s="293"/>
      <c r="J9" s="294"/>
      <c r="K9" s="294"/>
      <c r="L9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9" s="294" t="s">
        <v>543</v>
      </c>
      <c r="N9" s="296">
        <v>5</v>
      </c>
      <c r="O9" s="292" t="s">
        <v>467</v>
      </c>
      <c r="P9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9" s="297"/>
      <c r="R9" s="116"/>
      <c r="S9" s="292"/>
      <c r="T9" s="298"/>
      <c r="U9" s="299"/>
      <c r="V9" s="299"/>
      <c r="W9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9" s="301"/>
      <c r="Y9" s="302">
        <f t="shared" si="1"/>
        <v>0</v>
      </c>
      <c r="Z9" s="302">
        <f t="shared" si="1"/>
        <v>0</v>
      </c>
      <c r="AA9" s="302">
        <f t="shared" si="1"/>
        <v>0</v>
      </c>
      <c r="AB9" s="302">
        <f t="shared" si="1"/>
        <v>0</v>
      </c>
      <c r="AC9" s="303"/>
      <c r="AD9" s="304" t="str">
        <f t="array" ref="AD9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9" s="305"/>
      <c r="AF9" s="302" t="str">
        <f>IF(
         Tbl_30_Structures[[#This Row],[Shaft Description]] ="", "",
         Tbl_30_Structures[[#This Row],[Shaft Description]]&amp;"_"&amp;Tbl_30_Structures[[ Cap Description]]
)</f>
        <v/>
      </c>
      <c r="AG9" s="306"/>
      <c r="AH9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05.50"STEEL5PLAN_RD_07.00X0000000</v>
      </c>
      <c r="AI9" s="307"/>
      <c r="AJ9" s="308"/>
      <c r="AK9" s="309"/>
      <c r="AL9" s="310"/>
      <c r="AM9" s="308"/>
      <c r="AN9" s="311"/>
      <c r="AO9" s="312" t="str">
        <f>IF(Tbl_30_Structures[[#This Row],[Tag Name]] = "",Tbl_30_Structures[[#This Row],[Structure Name]],Tbl_30_Structures[[#This Row],[Tag Name]]&amp;" "&amp;Tbl_30_Structures[[#This Row],[Structure Name]])</f>
        <v>MPS 05.50"</v>
      </c>
    </row>
    <row r="10" spans="1:41" x14ac:dyDescent="0.3">
      <c r="C10" s="292" t="s">
        <v>531</v>
      </c>
      <c r="D10" s="292"/>
      <c r="E10" s="292"/>
      <c r="F10" s="293" t="s">
        <v>536</v>
      </c>
      <c r="G10" s="292" t="s">
        <v>44</v>
      </c>
      <c r="H10" s="293"/>
      <c r="I10" s="293"/>
      <c r="J10" s="294"/>
      <c r="K10" s="294"/>
      <c r="L10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0" s="294" t="s">
        <v>544</v>
      </c>
      <c r="N10" s="296">
        <v>6</v>
      </c>
      <c r="O10" s="292" t="s">
        <v>467</v>
      </c>
      <c r="P10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0" s="297"/>
      <c r="R10" s="116"/>
      <c r="S10" s="292"/>
      <c r="T10" s="298"/>
      <c r="U10" s="299"/>
      <c r="V10" s="299"/>
      <c r="W10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0" s="301"/>
      <c r="Y10" s="302">
        <f t="shared" si="1"/>
        <v>0</v>
      </c>
      <c r="Z10" s="302">
        <f t="shared" si="1"/>
        <v>0</v>
      </c>
      <c r="AA10" s="302">
        <f t="shared" si="1"/>
        <v>0</v>
      </c>
      <c r="AB10" s="302">
        <f t="shared" si="1"/>
        <v>0</v>
      </c>
      <c r="AC10" s="303"/>
      <c r="AD10" s="304" t="str">
        <f t="array" ref="AD10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0" s="305"/>
      <c r="AF10" s="302" t="str">
        <f>IF(
         Tbl_30_Structures[[#This Row],[Shaft Description]] ="", "",
         Tbl_30_Structures[[#This Row],[Shaft Description]]&amp;"_"&amp;Tbl_30_Structures[[ Cap Description]]
)</f>
        <v/>
      </c>
      <c r="AG10" s="306"/>
      <c r="AH10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07.00"STEEL6PLAN_RD_07.00X0000000</v>
      </c>
      <c r="AI10" s="307"/>
      <c r="AJ10" s="308"/>
      <c r="AK10" s="309"/>
      <c r="AL10" s="310"/>
      <c r="AM10" s="308"/>
      <c r="AN10" s="311"/>
      <c r="AO10" s="312" t="str">
        <f>IF(Tbl_30_Structures[[#This Row],[Tag Name]] = "",Tbl_30_Structures[[#This Row],[Structure Name]],Tbl_30_Structures[[#This Row],[Tag Name]]&amp;" "&amp;Tbl_30_Structures[[#This Row],[Structure Name]])</f>
        <v>MPS 07.00"</v>
      </c>
    </row>
    <row r="11" spans="1:41" x14ac:dyDescent="0.3">
      <c r="C11" s="292" t="s">
        <v>531</v>
      </c>
      <c r="D11" s="292"/>
      <c r="E11" s="292"/>
      <c r="F11" s="293" t="s">
        <v>537</v>
      </c>
      <c r="G11" s="292" t="s">
        <v>44</v>
      </c>
      <c r="H11" s="293"/>
      <c r="I11" s="293"/>
      <c r="J11" s="294"/>
      <c r="K11" s="294"/>
      <c r="L11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1" s="294" t="s">
        <v>545</v>
      </c>
      <c r="N11" s="296">
        <v>3</v>
      </c>
      <c r="O11" s="292" t="s">
        <v>548</v>
      </c>
      <c r="P11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1" s="297"/>
      <c r="R11" s="116"/>
      <c r="S11" s="292"/>
      <c r="T11" s="298"/>
      <c r="U11" s="299"/>
      <c r="V11" s="299"/>
      <c r="W11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1" s="301"/>
      <c r="Y11" s="302">
        <f t="shared" si="1"/>
        <v>0</v>
      </c>
      <c r="Z11" s="302">
        <f t="shared" si="1"/>
        <v>0</v>
      </c>
      <c r="AA11" s="302">
        <f t="shared" si="1"/>
        <v>0</v>
      </c>
      <c r="AB11" s="302">
        <f t="shared" si="1"/>
        <v>0</v>
      </c>
      <c r="AC11" s="303"/>
      <c r="AD11" s="304" t="str">
        <f t="array" ref="AD1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1" s="305"/>
      <c r="AF11" s="302" t="str">
        <f>IF(
         Tbl_30_Structures[[#This Row],[Shaft Description]] ="", "",
         Tbl_30_Structures[[#This Row],[Shaft Description]]&amp;"_"&amp;Tbl_30_Structures[[ Cap Description]]
)</f>
        <v/>
      </c>
      <c r="AG11" s="306"/>
      <c r="AH11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10.75"STEEL3PLAN_RD_10.75X0000000</v>
      </c>
      <c r="AI11" s="307"/>
      <c r="AJ11" s="308"/>
      <c r="AK11" s="309"/>
      <c r="AL11" s="310"/>
      <c r="AM11" s="308"/>
      <c r="AN11" s="311"/>
      <c r="AO11" s="312" t="str">
        <f>IF(Tbl_30_Structures[[#This Row],[Tag Name]] = "",Tbl_30_Structures[[#This Row],[Structure Name]],Tbl_30_Structures[[#This Row],[Tag Name]]&amp;" "&amp;Tbl_30_Structures[[#This Row],[Structure Name]])</f>
        <v>MPS 10.75"</v>
      </c>
    </row>
    <row r="12" spans="1:41" ht="69" x14ac:dyDescent="0.3">
      <c r="C12" s="292" t="s">
        <v>530</v>
      </c>
      <c r="D12" s="292"/>
      <c r="E12" s="292"/>
      <c r="F12" s="314" t="s">
        <v>538</v>
      </c>
      <c r="G12" s="292" t="s">
        <v>44</v>
      </c>
      <c r="H12" s="293"/>
      <c r="I12" s="293"/>
      <c r="J12" s="294"/>
      <c r="K12" s="294"/>
      <c r="L12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2" s="294" t="s">
        <v>546</v>
      </c>
      <c r="N12" s="296">
        <v>10</v>
      </c>
      <c r="O12" s="292" t="s">
        <v>466</v>
      </c>
      <c r="P12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2" s="297"/>
      <c r="R12" s="116"/>
      <c r="S12" s="292"/>
      <c r="T12" s="298"/>
      <c r="U12" s="299"/>
      <c r="V12" s="299"/>
      <c r="W12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2" s="301"/>
      <c r="Y12" s="302">
        <f t="shared" si="1"/>
        <v>0</v>
      </c>
      <c r="Z12" s="302">
        <f t="shared" si="1"/>
        <v>0</v>
      </c>
      <c r="AA12" s="302">
        <f t="shared" si="1"/>
        <v>0</v>
      </c>
      <c r="AB12" s="302">
        <f t="shared" si="1"/>
        <v>0</v>
      </c>
      <c r="AC12" s="303"/>
      <c r="AD12" s="304" t="str">
        <f t="array" ref="AD12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2" s="305"/>
      <c r="AF12" s="302" t="str">
        <f>IF(
         Tbl_30_Structures[[#This Row],[Shaft Description]] ="", "",
         Tbl_30_Structures[[#This Row],[Shaft Description]]&amp;"_"&amp;Tbl_30_Structures[[ Cap Description]]
)</f>
        <v/>
      </c>
      <c r="AG12" s="306"/>
      <c r="AH12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Meters Skid
P-07, P-08, P-11, P-12, P-13, P-14, P-15, P-16, P-19, P-20STEEL10PLAN_SQ_03.00X3130000</v>
      </c>
      <c r="AI12" s="307"/>
      <c r="AJ12" s="308"/>
      <c r="AK12" s="309"/>
      <c r="AL12" s="310"/>
      <c r="AM12" s="308"/>
      <c r="AN12" s="311"/>
      <c r="AO12" s="312" t="str">
        <f>IF(Tbl_30_Structures[[#This Row],[Tag Name]] = "",Tbl_30_Structures[[#This Row],[Structure Name]],Tbl_30_Structures[[#This Row],[Tag Name]]&amp;" "&amp;Tbl_30_Structures[[#This Row],[Structure Name]])</f>
        <v>Meters Skid
P-07, P-08, P-11, P-12, P-13, P-14, P-15, P-16, P-19, P-20</v>
      </c>
    </row>
    <row r="13" spans="1:41" x14ac:dyDescent="0.3">
      <c r="C13" s="292" t="s">
        <v>531</v>
      </c>
      <c r="D13" s="292"/>
      <c r="E13" s="292"/>
      <c r="F13" s="293" t="s">
        <v>539</v>
      </c>
      <c r="G13" s="292" t="s">
        <v>44</v>
      </c>
      <c r="H13" s="293"/>
      <c r="I13" s="293"/>
      <c r="J13" s="294"/>
      <c r="K13" s="294"/>
      <c r="L13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3" s="294" t="s">
        <v>547</v>
      </c>
      <c r="N13" s="296">
        <v>1</v>
      </c>
      <c r="O13" s="292" t="s">
        <v>549</v>
      </c>
      <c r="P13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3" s="297"/>
      <c r="R13" s="116"/>
      <c r="S13" s="292"/>
      <c r="T13" s="298"/>
      <c r="U13" s="299"/>
      <c r="V13" s="299"/>
      <c r="W13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3" s="301"/>
      <c r="Y13" s="302">
        <f t="shared" si="1"/>
        <v>0</v>
      </c>
      <c r="Z13" s="302">
        <f t="shared" si="1"/>
        <v>0</v>
      </c>
      <c r="AA13" s="302">
        <f t="shared" si="1"/>
        <v>0</v>
      </c>
      <c r="AB13" s="302">
        <f t="shared" si="1"/>
        <v>0</v>
      </c>
      <c r="AC13" s="303"/>
      <c r="AD13" s="304" t="str">
        <f t="array" ref="AD13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3" s="305"/>
      <c r="AF13" s="302" t="str">
        <f>IF(
         Tbl_30_Structures[[#This Row],[Shaft Description]] ="", "",
         Tbl_30_Structures[[#This Row],[Shaft Description]]&amp;"_"&amp;Tbl_30_Structures[[ Cap Description]]
)</f>
        <v/>
      </c>
      <c r="AG13" s="306"/>
      <c r="AH13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12.75"STEEL1PLAN_RD_12.75X0000000</v>
      </c>
      <c r="AI13" s="307"/>
      <c r="AJ13" s="308"/>
      <c r="AK13" s="309"/>
      <c r="AL13" s="310"/>
      <c r="AM13" s="308"/>
      <c r="AN13" s="311"/>
      <c r="AO13" s="312" t="str">
        <f>IF(Tbl_30_Structures[[#This Row],[Tag Name]] = "",Tbl_30_Structures[[#This Row],[Structure Name]],Tbl_30_Structures[[#This Row],[Tag Name]]&amp;" "&amp;Tbl_30_Structures[[#This Row],[Structure Name]])</f>
        <v>MPS 12.75"</v>
      </c>
    </row>
  </sheetData>
  <conditionalFormatting sqref="J6:J13">
    <cfRule type="expression" dxfId="469" priority="2">
      <formula>$G6="Steel"</formula>
    </cfRule>
  </conditionalFormatting>
  <conditionalFormatting sqref="S6:U13">
    <cfRule type="expression" dxfId="468" priority="1">
      <formula>$R6="Yes"</formula>
    </cfRule>
  </conditionalFormatting>
  <dataValidations disablePrompts="1" count="7">
    <dataValidation type="list" allowBlank="1" showInputMessage="1" showErrorMessage="1" sqref="G6:G13" xr:uid="{00000000-0002-0000-0100-000000000000}">
      <formula1>INDIRECT("Tbl_803_Connection_Type[Connection_Type]")</formula1>
    </dataValidation>
    <dataValidation type="list" allowBlank="1" showInputMessage="1" showErrorMessage="1" sqref="O6:P13" xr:uid="{00000000-0002-0000-0100-000001000000}">
      <formula1>INDIRECT("Tbl_X1_30_Help_Shaft_Type[Shaft_Type]")</formula1>
    </dataValidation>
    <dataValidation type="list" allowBlank="1" showInputMessage="1" showErrorMessage="1" sqref="R6:R13" xr:uid="{317A5388-9317-4E1F-AC44-6D3442D073DF}">
      <formula1>"Yes,No"</formula1>
    </dataValidation>
    <dataValidation type="list" allowBlank="1" showInputMessage="1" showErrorMessage="1" sqref="S6:S13" xr:uid="{9EA10DF2-62CD-4127-AC28-2B5E75759D54}">
      <formula1>"(A),(Fixed),Plain Plate,SQ (A),SQ (Fixed), SQ Plain Plate"</formula1>
    </dataValidation>
    <dataValidation type="decimal" allowBlank="1" showInputMessage="1" showErrorMessage="1" errorTitle="Avoid special characters" error="Use whole numbers only. Avoid using &quot;&quot; or ' special character" promptTitle="A" sqref="U6:U13" xr:uid="{EF2EA10E-AD47-4321-9176-4A28668F192D}">
      <formula1>0</formula1>
      <formula2>3</formula2>
    </dataValidation>
    <dataValidation type="whole" allowBlank="1" showInputMessage="1" showErrorMessage="1" errorTitle="Avoid special characters" error="Use whole numbers only. Avoid using &quot;&quot; or ' special character" sqref="T6:T13" xr:uid="{FA9338E7-FA1F-4DFE-992B-AD497193F78C}">
      <formula1>0</formula1>
      <formula2>100</formula2>
    </dataValidation>
    <dataValidation type="list" allowBlank="1" showInputMessage="1" showErrorMessage="1" sqref="H6:H13" xr:uid="{7C2C898F-A515-48E9-BE5D-25B16CCFE378}">
      <formula1>"Beam,Frame,Pile Location,NR"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heckBox_30_Multiple_Rows">
          <controlPr defaultSize="0" autoLine="0" r:id="rId5">
            <anchor moveWithCells="1">
              <from>
                <xdr:col>9</xdr:col>
                <xdr:colOff>266700</xdr:colOff>
                <xdr:row>0</xdr:row>
                <xdr:rowOff>371475</xdr:rowOff>
              </from>
              <to>
                <xdr:col>11</xdr:col>
                <xdr:colOff>190500</xdr:colOff>
                <xdr:row>0</xdr:row>
                <xdr:rowOff>695325</xdr:rowOff>
              </to>
            </anchor>
          </controlPr>
        </control>
      </mc:Choice>
      <mc:Fallback>
        <control shapeId="2060" r:id="rId4" name="CheckBox_30_Multiple_Rows"/>
      </mc:Fallback>
    </mc:AlternateContent>
    <mc:AlternateContent xmlns:mc="http://schemas.openxmlformats.org/markup-compatibility/2006">
      <mc:Choice Requires="x14">
        <control shapeId="2059" r:id="rId6" name="CheckBox_30_Row_Last">
          <controlPr defaultSize="0" autoLine="0" r:id="rId7">
            <anchor moveWithCells="1">
              <from>
                <xdr:col>9</xdr:col>
                <xdr:colOff>257175</xdr:colOff>
                <xdr:row>0</xdr:row>
                <xdr:rowOff>923925</xdr:rowOff>
              </from>
              <to>
                <xdr:col>11</xdr:col>
                <xdr:colOff>647700</xdr:colOff>
                <xdr:row>0</xdr:row>
                <xdr:rowOff>1428750</xdr:rowOff>
              </to>
            </anchor>
          </controlPr>
        </control>
      </mc:Choice>
      <mc:Fallback>
        <control shapeId="2059" r:id="rId6" name="CheckBox_30_Row_Last"/>
      </mc:Fallback>
    </mc:AlternateContent>
    <mc:AlternateContent xmlns:mc="http://schemas.openxmlformats.org/markup-compatibility/2006">
      <mc:Choice Requires="x14">
        <control shapeId="2052" r:id="rId8" name="CheckBox_30_Structures">
          <controlPr defaultSize="0" autoLine="0" r:id="rId9">
            <anchor moveWithCells="1">
              <from>
                <xdr:col>13</xdr:col>
                <xdr:colOff>609600</xdr:colOff>
                <xdr:row>1</xdr:row>
                <xdr:rowOff>142875</xdr:rowOff>
              </from>
              <to>
                <xdr:col>14</xdr:col>
                <xdr:colOff>1562100</xdr:colOff>
                <xdr:row>3</xdr:row>
                <xdr:rowOff>133350</xdr:rowOff>
              </to>
            </anchor>
          </controlPr>
        </control>
      </mc:Choice>
      <mc:Fallback>
        <control shapeId="2052" r:id="rId8" name="CheckBox_30_Structures"/>
      </mc:Fallback>
    </mc:AlternateContent>
    <mc:AlternateContent xmlns:mc="http://schemas.openxmlformats.org/markup-compatibility/2006">
      <mc:Choice Requires="x14">
        <control shapeId="2054" r:id="rId10" name="CheckBox_30_Caps">
          <controlPr defaultSize="0" autoLine="0" r:id="rId11">
            <anchor moveWithCells="1">
              <from>
                <xdr:col>16</xdr:col>
                <xdr:colOff>57150</xdr:colOff>
                <xdr:row>1</xdr:row>
                <xdr:rowOff>142875</xdr:rowOff>
              </from>
              <to>
                <xdr:col>24</xdr:col>
                <xdr:colOff>142875</xdr:colOff>
                <xdr:row>3</xdr:row>
                <xdr:rowOff>133350</xdr:rowOff>
              </to>
            </anchor>
          </controlPr>
        </control>
      </mc:Choice>
      <mc:Fallback>
        <control shapeId="2054" r:id="rId10" name="CheckBox_30_Caps"/>
      </mc:Fallback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B537-7D1B-4F26-925C-536D9B858098}">
  <sheetPr codeName="Sheet_040"/>
  <dimension ref="A1:AA23"/>
  <sheetViews>
    <sheetView showGridLines="0" zoomScale="80" zoomScaleNormal="80" workbookViewId="0">
      <pane ySplit="1" topLeftCell="A2" activePane="bottomLeft" state="frozen"/>
      <selection pane="bottomLeft"/>
    </sheetView>
  </sheetViews>
  <sheetFormatPr defaultColWidth="9.140625" defaultRowHeight="17.25" outlineLevelCol="1" x14ac:dyDescent="0.3"/>
  <cols>
    <col min="1" max="1" width="25.140625" style="5" customWidth="1"/>
    <col min="2" max="2" width="4.28515625" style="6" customWidth="1"/>
    <col min="3" max="3" width="29.7109375" style="6" customWidth="1"/>
    <col min="4" max="4" width="16.42578125" style="6" bestFit="1" customWidth="1"/>
    <col min="5" max="5" width="8.140625" style="6" bestFit="1" customWidth="1"/>
    <col min="6" max="6" width="20.7109375" style="6" bestFit="1" customWidth="1"/>
    <col min="7" max="7" width="17.85546875" style="6" bestFit="1" customWidth="1"/>
    <col min="8" max="8" width="21.28515625" style="6" bestFit="1" customWidth="1"/>
    <col min="9" max="9" width="12.28515625" style="6" customWidth="1"/>
    <col min="10" max="10" width="6.28515625" style="6" customWidth="1"/>
    <col min="11" max="11" width="8.140625" style="6" bestFit="1" customWidth="1"/>
    <col min="12" max="12" width="11.7109375" style="6" bestFit="1" customWidth="1"/>
    <col min="13" max="13" width="15.85546875" style="6" customWidth="1"/>
    <col min="14" max="14" width="13.28515625" style="6" customWidth="1"/>
    <col min="15" max="15" width="16.42578125" style="6" customWidth="1"/>
    <col min="16" max="16" width="24.28515625" style="6" customWidth="1"/>
    <col min="17" max="17" width="12.85546875" style="6" customWidth="1"/>
    <col min="18" max="18" width="14.7109375" style="6" hidden="1" customWidth="1" outlineLevel="1"/>
    <col min="19" max="19" width="18.42578125" style="6" hidden="1" customWidth="1" outlineLevel="1"/>
    <col min="20" max="20" width="27" style="6" hidden="1" customWidth="1" outlineLevel="1"/>
    <col min="21" max="21" width="15" style="6" hidden="1" customWidth="1" outlineLevel="1"/>
    <col min="22" max="22" width="17.28515625" style="6" hidden="1" customWidth="1" outlineLevel="1"/>
    <col min="23" max="23" width="20.7109375" style="6" hidden="1" customWidth="1" outlineLevel="1"/>
    <col min="24" max="24" width="17.85546875" style="6" bestFit="1" customWidth="1" collapsed="1"/>
    <col min="25" max="25" width="28" style="6" hidden="1" customWidth="1" outlineLevel="1"/>
    <col min="26" max="26" width="20.7109375" style="6" hidden="1" customWidth="1" outlineLevel="1"/>
    <col min="27" max="27" width="20.85546875" style="6" bestFit="1" customWidth="1" collapsed="1"/>
    <col min="28" max="16384" width="9.140625" style="6"/>
  </cols>
  <sheetData>
    <row r="1" spans="1:27" s="8" customFormat="1" ht="128.65" customHeight="1" thickBot="1" x14ac:dyDescent="0.35">
      <c r="A1" s="7"/>
    </row>
    <row r="2" spans="1:27" ht="18.75" thickTop="1" thickBot="1" x14ac:dyDescent="0.35"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27" ht="28.5" x14ac:dyDescent="0.3">
      <c r="K3" s="322"/>
      <c r="L3" s="322"/>
      <c r="M3" s="322"/>
      <c r="N3" s="323"/>
      <c r="O3" s="30" t="s">
        <v>123</v>
      </c>
      <c r="P3" s="31" t="s">
        <v>139</v>
      </c>
      <c r="Q3" s="30" t="s">
        <v>124</v>
      </c>
      <c r="R3" s="32"/>
      <c r="S3" s="31" t="s">
        <v>136</v>
      </c>
      <c r="T3" s="31" t="s">
        <v>137</v>
      </c>
      <c r="U3" s="31" t="s">
        <v>138</v>
      </c>
      <c r="V3" s="30" t="s">
        <v>140</v>
      </c>
      <c r="W3" s="30" t="s">
        <v>141</v>
      </c>
      <c r="X3" s="31" t="s">
        <v>135</v>
      </c>
      <c r="Y3" s="31" t="s">
        <v>131</v>
      </c>
      <c r="Z3" s="31" t="s">
        <v>130</v>
      </c>
      <c r="AA3" s="33" t="s">
        <v>134</v>
      </c>
    </row>
    <row r="4" spans="1:27" ht="34.5" x14ac:dyDescent="0.3">
      <c r="C4" s="27" t="s">
        <v>78</v>
      </c>
      <c r="D4" s="28" t="s">
        <v>79</v>
      </c>
      <c r="F4" s="29" t="s">
        <v>91</v>
      </c>
      <c r="G4" s="29" t="s">
        <v>79</v>
      </c>
      <c r="K4" s="25" t="s">
        <v>118</v>
      </c>
      <c r="L4" s="25" t="s">
        <v>85</v>
      </c>
      <c r="M4" s="25" t="s">
        <v>86</v>
      </c>
      <c r="N4" s="25" t="s">
        <v>87</v>
      </c>
      <c r="O4" s="25" t="s">
        <v>117</v>
      </c>
      <c r="P4" s="25" t="s">
        <v>77</v>
      </c>
      <c r="Q4" s="25" t="s">
        <v>84</v>
      </c>
      <c r="R4" s="25" t="s">
        <v>119</v>
      </c>
      <c r="S4" s="25" t="s">
        <v>120</v>
      </c>
      <c r="T4" s="25" t="s">
        <v>121</v>
      </c>
      <c r="U4" s="25" t="s">
        <v>122</v>
      </c>
      <c r="V4" s="26" t="s">
        <v>125</v>
      </c>
      <c r="W4" s="26" t="s">
        <v>126</v>
      </c>
      <c r="X4" s="26" t="s">
        <v>127</v>
      </c>
      <c r="Y4" s="25" t="s">
        <v>132</v>
      </c>
      <c r="Z4" s="25" t="s">
        <v>128</v>
      </c>
      <c r="AA4" s="25" t="s">
        <v>129</v>
      </c>
    </row>
    <row r="5" spans="1:27" x14ac:dyDescent="0.3">
      <c r="C5" s="18" t="s">
        <v>81</v>
      </c>
      <c r="D5" s="19">
        <v>0</v>
      </c>
      <c r="F5" s="24" t="s">
        <v>92</v>
      </c>
      <c r="G5" s="35">
        <v>0</v>
      </c>
      <c r="K5" s="13">
        <v>1</v>
      </c>
      <c r="L5" s="13"/>
      <c r="M5" s="13"/>
      <c r="N5" s="13"/>
      <c r="O5" s="13"/>
      <c r="P5" s="22"/>
      <c r="Q5" s="13"/>
      <c r="R5" s="12">
        <f xml:space="preserve">
  ROUND(
   IFERROR(
    IF(
     Tbl_40_Soil_Profile_01[[#This Row],[N Value (bpf)]]&lt;&gt;0,
     Tbl_40_Soil_Profile_01[[#This Row],[N Value (bpf)]],
     IF(
      Tbl_40_Soil_Profile_01[[#This Row],[N Value (bpf)]]=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0)
       ),
      Tbl_40_Soil_Profile_01[[#This Row],[N Value (bpf)]],
     R4+(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
        )
       ) -
       R4
      )/MATCH(
        TRUE,
        INDEX(
           OFFSET(Tbl_40_Soil_Profile_01[[#This Row],[N Value (bpf)]],,,(MAX(Tbl_40_Soil_Profile_01[Depth (ft)])-Tbl_40_Soil_Profile_01[[#This Row],[Depth (ft)]]+1),)&lt;&gt;0,
          ),
        0
        )
      )
    ),
   0),
   0)</f>
        <v>0</v>
      </c>
      <c r="S5" s="12">
        <f xml:space="preserve">
  ROUND(
   IFERROR(
    IF(
     Tbl_40_Soil_Profile_01[[#This Row],[Unit Weight (pcf)]]&lt;&gt;0,
     Tbl_40_Soil_Profile_01[[#This Row],[Unit Weight (pcf)]],
     IF(
      Tbl_40_Soil_Profile_01[[#This Row],[Unit Weight (pcf)]]=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0)
       ),
      Tbl_40_Soil_Profile_01[[#This Row],[Unit Weight (pcf)]],
     S4+(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
        )
       ) -
       S4
      )/MATCH(
        TRUE,
        INDEX(
           OFFSET(Tbl_40_Soil_Profile_01[[#This Row],[Unit Weight (pcf)]],,,(MAX(Tbl_40_Soil_Profile_01[Depth (ft)])-Tbl_40_Soil_Profile_01[[#This Row],[Depth (ft)]]+1),)&lt;&gt;0,
          ),
        0
        )
      )
    ),
   0),
  0)</f>
        <v>0</v>
      </c>
      <c r="T5" s="23">
        <f xml:space="preserve">
IF(Tbl_40_Soil_Profile_01[[#This Row],[Soil Type]]="Coarse-grain","",
  ROUND(
   IFERROR(
    IF(
     Tbl_40_Soil_Profile_01[[#This Row],[Undrained Cohesion (psf)]]&lt;&gt;0,
     Tbl_40_Soil_Profile_01[[#This Row],[Undrained Cohesion (psf)]],
     IF(
      Tbl_40_Soil_Profile_01[[#This Row],[Undrained Cohesion (psf)]]=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0)
       ),
      Tbl_40_Soil_Profile_01[[#This Row],[Undrained Cohesion (psf)]],
     T4+(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
        )
       ) - T4
      )/MATCH(
        TRUE,
        INDEX(
           OFFSET(Tbl_40_Soil_Profile_01[[#This Row],[Undrained Cohesion (psf)]],,,(MAX(Tbl_40_Soil_Profile_01[Depth (ft)])-Tbl_40_Soil_Profile_01[[#This Row],[Depth (ft)]]+1),)&lt;&gt;0,
          ),
        0
        )
      )
    ),
   0),
  0)
)</f>
        <v>0</v>
      </c>
      <c r="U5" s="12">
        <f xml:space="preserve">
IF(Tbl_40_Soil_Profile_01[[#This Row],[Soil Type]]="Fine-grain","",
  ROUND(
   IFERROR(
    IF(
     Tbl_40_Soil_Profile_01[[#This Row],[Friction Angle]]&lt;&gt;0,
     Tbl_40_Soil_Profile_01[[#This Row],[Friction Angle]],
     IF(
      Tbl_40_Soil_Profile_01[[#This Row],[Friction Angle]]=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0)
       ),
      Tbl_40_Soil_Profile_01[[#This Row],[Friction Angle]],
     U4+(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
        )
       ) - U4
      )/MATCH(
        TRUE,
        INDEX(
           OFFSET(Tbl_40_Soil_Profile_01[[#This Row],[Friction Angle]],,,(MAX(Tbl_40_Soil_Profile_01[Depth (ft)])-Tbl_40_Soil_Profile_01[[#This Row],[Depth (ft)]]+1),)&lt;&gt;0,
          ),
        0
        )
      )
    ),
   0),
  0)
)</f>
        <v>0</v>
      </c>
      <c r="V5" s="22">
        <f>IF(
 Tbl_40_Soil_Profile_01[[#This Row],[Depth (ft)]]&lt;14,
 Tbl_40_Soil_Profile_01[[#This Row],[Depth (ft)]]*Tbl_40_Soil_Profile_01[[#This Row],[Unit_Weight_(pcf)]],
 14*Tbl_40_Soil_Profile_01[[#This Row],[Unit_Weight_(pcf)]]
)</f>
        <v>0</v>
      </c>
      <c r="W5" s="22">
        <f>IF(Tbl_40_Soil_Profile_01[[#This Row],[Depth (ft)]]&gt;14,Tbl_40_Soil_Profile_01[[#This Row],[Total Stress (psf)]]-(IF(Tbl_40_Soil_Profile_01[[#This Row],[Depth (ft)]]&lt;$D$5,0,62.4*14)),
Tbl_40_Soil_Profile_01[[#This Row],[Total Stress (psf)]]-(IF(Tbl_40_Soil_Profile_01[[#This Row],[Depth (ft)]]&lt;$D$5,0,62.4*Tbl_40_Soil_Profile_01[[#This Row],[Depth (ft)]])))</f>
        <v>-62.4</v>
      </c>
      <c r="X5" s="22" t="str">
        <f>_xlfn.IFS(
Tbl_40_Soil_Profile_01[[#This Row],[Soil Type]]="","",
Tbl_40_Soil_Profile_01[[#This Row],[Soil Type]] ="Fine-grain",
                                                  IF(
                                                 Tbl_40_Soil_Profile_01[[#This Row],[N_Value_(bpf)]]&lt;&gt;0,
                                                 Tbl_40_Soil_Profile_01[[#This Row],[N_Value_(bpf)]]*0.13*11*1000,
                                                 Tbl_40_Soil_Profile_01[[#This Row],[Undrained_Cohesion_(psf)]]*9
                                                 ),
Tbl_40_Soil_Profile_01[[#This Row],[Soil Type]]="Coarse-grain",
                                                   IF(
                                                 Tbl_40_Soil_Profile_01[[#This Row],[N_Value_(bpf)]]&lt;&gt;0,
                                                 Tbl_40_Soil_Profile_01[[#This Row],[N_Value_(bpf)]]*0.13*12*1000,
                                                 Tbl_40_Soil_Profile_01[[#This Row],[Effective Stress (psf)]] *TAN(RADIANS(45+(Tbl_40_Soil_Profile_01[[#This Row],[Friction_Angle]]*0.5)))^2*EXP(PI()*TAN(RADIANS(Tbl_40_Soil_Profile_01[[#This Row],[Friction_Angle]])))
                                                    )
)</f>
        <v/>
      </c>
      <c r="Y5" s="13">
        <f>IFERROR(ROUND(0.09*EXP(0.08*Tbl_40_Soil_Profile_01[[#This Row],[Friction_Angle]]),2),"")</f>
        <v>0.09</v>
      </c>
      <c r="Z5" s="22" t="e">
        <f>ROUND(_xlfn.IFS(
         Tbl_40_Soil_Profile_01[[#This Row],[Soil Type]]="",
                                              "",
         Tbl_40_Soil_Profile_01[[#This Row],[Soil Type]]="Fine-grain",
                                              Tbl_40_Soil_Profile_01[[#This Row],[Undrained_Cohesion_(psf)]],
         Tbl_40_Soil_Profile_01[[#This Row],[Soil Type]]="Coarse-grain",
                                              Tbl_40_Soil_Profile_01[[#This Row],[Effective Stress (psf)]]*Tbl_40_Soil_Profile_01[[#This Row],[Laterar Earth Pressure (psf)]]*TAN(RADIANS(Tbl_40_Soil_Profile_01[[#This Row],[Friction_Angle]]))
             ),0)</f>
        <v>#VALUE!</v>
      </c>
      <c r="AA5" s="22">
        <f>IFERROR(ROUND(IF(Tbl_40_Soil_Profile_01[[#This Row],[Depth (ft)]]&lt;=$D$6,0,
(2/3)*AVERAGE(Z4,Z5))+AA4,0),0)</f>
        <v>0</v>
      </c>
    </row>
    <row r="6" spans="1:27" x14ac:dyDescent="0.3">
      <c r="C6" s="20" t="s">
        <v>133</v>
      </c>
      <c r="D6" s="21">
        <v>5</v>
      </c>
      <c r="F6" s="24" t="s">
        <v>82</v>
      </c>
      <c r="G6" s="36">
        <v>0</v>
      </c>
      <c r="K6" s="14"/>
    </row>
    <row r="7" spans="1:27" x14ac:dyDescent="0.3">
      <c r="C7" s="18" t="s">
        <v>80</v>
      </c>
      <c r="D7" s="19">
        <v>0</v>
      </c>
      <c r="F7" s="24" t="s">
        <v>352</v>
      </c>
      <c r="G7" s="44">
        <v>0</v>
      </c>
      <c r="H7" s="45"/>
    </row>
    <row r="8" spans="1:27" x14ac:dyDescent="0.3">
      <c r="C8" s="20" t="s">
        <v>83</v>
      </c>
      <c r="D8" s="21">
        <v>0</v>
      </c>
      <c r="F8" s="24"/>
      <c r="G8" s="13"/>
    </row>
    <row r="11" spans="1:27" ht="25.5" x14ac:dyDescent="0.3">
      <c r="C11" s="319" t="s">
        <v>90</v>
      </c>
      <c r="D11" s="320"/>
      <c r="E11" s="320"/>
      <c r="F11" s="320"/>
      <c r="G11" s="320"/>
      <c r="H11" s="320"/>
      <c r="I11" s="321"/>
    </row>
    <row r="12" spans="1:27" ht="34.5" x14ac:dyDescent="0.3">
      <c r="C12" s="12" t="s">
        <v>74</v>
      </c>
      <c r="D12" s="12" t="s">
        <v>86</v>
      </c>
      <c r="E12" s="15" t="s">
        <v>75</v>
      </c>
      <c r="F12" s="15" t="s">
        <v>76</v>
      </c>
      <c r="G12" s="12" t="s">
        <v>117</v>
      </c>
      <c r="H12" s="12" t="s">
        <v>77</v>
      </c>
      <c r="I12" s="12" t="s">
        <v>84</v>
      </c>
    </row>
    <row r="13" spans="1:27" x14ac:dyDescent="0.3">
      <c r="C13" s="268"/>
      <c r="D13" s="181"/>
      <c r="E13" s="16">
        <v>0</v>
      </c>
      <c r="F13" s="16"/>
      <c r="G13" s="268"/>
      <c r="H13" s="268"/>
      <c r="I13" s="268"/>
    </row>
    <row r="14" spans="1:27" x14ac:dyDescent="0.3">
      <c r="C14" s="13"/>
      <c r="D14" s="12"/>
      <c r="E14" s="16"/>
      <c r="F14" s="16"/>
      <c r="G14" s="13"/>
      <c r="H14" s="13"/>
      <c r="I14" s="13"/>
    </row>
    <row r="16" spans="1:27" ht="25.5" x14ac:dyDescent="0.3">
      <c r="C16" s="319" t="s">
        <v>88</v>
      </c>
      <c r="D16" s="320"/>
      <c r="E16" s="320"/>
      <c r="F16" s="320"/>
      <c r="G16" s="320"/>
      <c r="H16" s="320"/>
      <c r="I16" s="321"/>
    </row>
    <row r="17" spans="3:9" ht="34.5" x14ac:dyDescent="0.3">
      <c r="C17" s="12" t="s">
        <v>85</v>
      </c>
      <c r="D17" s="12" t="s">
        <v>86</v>
      </c>
      <c r="E17" s="15" t="s">
        <v>75</v>
      </c>
      <c r="F17" s="15" t="s">
        <v>76</v>
      </c>
      <c r="G17" s="12" t="s">
        <v>117</v>
      </c>
      <c r="H17" s="12" t="s">
        <v>77</v>
      </c>
      <c r="I17" s="12" t="s">
        <v>84</v>
      </c>
    </row>
    <row r="18" spans="3:9" x14ac:dyDescent="0.3">
      <c r="C18" s="13"/>
      <c r="D18" s="13"/>
      <c r="E18" s="16">
        <v>0</v>
      </c>
      <c r="F18" s="16"/>
      <c r="G18" s="13"/>
      <c r="H18" s="13"/>
      <c r="I18" s="13"/>
    </row>
    <row r="19" spans="3:9" x14ac:dyDescent="0.3">
      <c r="C19" s="14"/>
      <c r="D19" s="14"/>
      <c r="E19" s="13"/>
      <c r="F19" s="13"/>
      <c r="G19" s="14"/>
      <c r="H19" s="14"/>
      <c r="I19" s="14"/>
    </row>
    <row r="20" spans="3:9" x14ac:dyDescent="0.3">
      <c r="E20" s="13"/>
      <c r="F20" s="13"/>
      <c r="G20" s="14"/>
      <c r="H20" s="14"/>
      <c r="I20" s="14"/>
    </row>
    <row r="21" spans="3:9" ht="18.75" x14ac:dyDescent="0.35">
      <c r="C21" s="318" t="s">
        <v>89</v>
      </c>
      <c r="D21" s="318"/>
    </row>
    <row r="22" spans="3:9" x14ac:dyDescent="0.3">
      <c r="C22" s="14" t="s">
        <v>118</v>
      </c>
      <c r="D22" s="17" t="s">
        <v>87</v>
      </c>
    </row>
    <row r="23" spans="3:9" x14ac:dyDescent="0.3">
      <c r="C23" s="14">
        <v>1</v>
      </c>
      <c r="D23" s="14"/>
    </row>
  </sheetData>
  <mergeCells count="4">
    <mergeCell ref="C21:D21"/>
    <mergeCell ref="C11:I11"/>
    <mergeCell ref="C16:I16"/>
    <mergeCell ref="K3:N3"/>
  </mergeCells>
  <conditionalFormatting sqref="N5:Q5">
    <cfRule type="expression" dxfId="426" priority="37">
      <formula>N5&lt;&gt;""</formula>
    </cfRule>
  </conditionalFormatting>
  <conditionalFormatting sqref="AA5">
    <cfRule type="cellIs" dxfId="425" priority="13" stopIfTrue="1" operator="equal">
      <formula>0</formula>
    </cfRule>
  </conditionalFormatting>
  <conditionalFormatting sqref="K5:AA5">
    <cfRule type="expression" dxfId="424" priority="42">
      <formula>$M5&lt;&gt;$M4</formula>
    </cfRule>
    <cfRule type="expression" dxfId="423" priority="43">
      <formula>$K5&lt;=$D$7</formula>
    </cfRule>
    <cfRule type="expression" dxfId="422" priority="44">
      <formula>$K5&lt;=$D$8</formula>
    </cfRule>
    <cfRule type="expression" dxfId="421" priority="45">
      <formula>$K5=$D$5</formula>
    </cfRule>
  </conditionalFormatting>
  <dataValidations disablePrompts="1" count="3">
    <dataValidation type="list" allowBlank="1" showInputMessage="1" showErrorMessage="1" sqref="C18" xr:uid="{1AB5BA78-9C66-48D5-8D20-B14C30611A35}">
      <formula1>INDIRECT("Tbl_803_Soil_Classification[Soil Classification]")</formula1>
    </dataValidation>
    <dataValidation type="list" allowBlank="1" showInputMessage="1" sqref="D18" xr:uid="{DD9FAE04-AD7E-40DF-9D81-B5CDF96EE6BA}">
      <formula1>INDIRECT("Tbl_803_"&amp;SUBSTITUTE($C18,"-","_"))</formula1>
    </dataValidation>
    <dataValidation type="list" allowBlank="1" showInputMessage="1" showErrorMessage="1" sqref="C13" xr:uid="{DE76B634-137D-40DF-AD3A-7202936BD203}">
      <formula1>INDIRECT("Tbl_803_P_Y_Curve_Type[p-y Curve Type]")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91" r:id="rId4" name="CheckBox_40_Axial_QS">
          <controlPr defaultSize="0" autoLine="0" r:id="rId5">
            <anchor moveWithCells="1">
              <from>
                <xdr:col>7</xdr:col>
                <xdr:colOff>771525</xdr:colOff>
                <xdr:row>14</xdr:row>
                <xdr:rowOff>200025</xdr:rowOff>
              </from>
              <to>
                <xdr:col>9</xdr:col>
                <xdr:colOff>28575</xdr:colOff>
                <xdr:row>16</xdr:row>
                <xdr:rowOff>47625</xdr:rowOff>
              </to>
            </anchor>
          </controlPr>
        </control>
      </mc:Choice>
      <mc:Fallback>
        <control shapeId="3091" r:id="rId4" name="CheckBox_40_Axial_QS"/>
      </mc:Fallback>
    </mc:AlternateContent>
    <mc:AlternateContent xmlns:mc="http://schemas.openxmlformats.org/markup-compatibility/2006">
      <mc:Choice Requires="x14">
        <control shapeId="3090" r:id="rId6" name="CheckBox_40_Lateral_QS">
          <controlPr defaultSize="0" autoLine="0" r:id="rId7">
            <anchor moveWithCells="1">
              <from>
                <xdr:col>7</xdr:col>
                <xdr:colOff>762000</xdr:colOff>
                <xdr:row>10</xdr:row>
                <xdr:rowOff>0</xdr:rowOff>
              </from>
              <to>
                <xdr:col>9</xdr:col>
                <xdr:colOff>9525</xdr:colOff>
                <xdr:row>11</xdr:row>
                <xdr:rowOff>38100</xdr:rowOff>
              </to>
            </anchor>
          </controlPr>
        </control>
      </mc:Choice>
      <mc:Fallback>
        <control shapeId="3090" r:id="rId6" name="CheckBox_40_Lateral_QS"/>
      </mc:Fallback>
    </mc:AlternateContent>
    <mc:AlternateContent xmlns:mc="http://schemas.openxmlformats.org/markup-compatibility/2006">
      <mc:Choice Requires="x14">
        <control shapeId="3075" r:id="rId8" name="CheckBox_40_Use_N_Values">
          <controlPr defaultSize="0" autoLine="0" r:id="rId9">
            <anchor moveWithCells="1">
              <from>
                <xdr:col>12</xdr:col>
                <xdr:colOff>142875</xdr:colOff>
                <xdr:row>0</xdr:row>
                <xdr:rowOff>723900</xdr:rowOff>
              </from>
              <to>
                <xdr:col>13</xdr:col>
                <xdr:colOff>600075</xdr:colOff>
                <xdr:row>0</xdr:row>
                <xdr:rowOff>1190625</xdr:rowOff>
              </to>
            </anchor>
          </controlPr>
        </control>
      </mc:Choice>
      <mc:Fallback>
        <control shapeId="3075" r:id="rId8" name="CheckBox_40_Use_N_Values"/>
      </mc:Fallback>
    </mc:AlternateContent>
    <mc:AlternateContent xmlns:mc="http://schemas.openxmlformats.org/markup-compatibility/2006">
      <mc:Choice Requires="x14">
        <control shapeId="3074" r:id="rId10" name="CheckBox_40_Axial_vs_Lateral">
          <controlPr defaultSize="0" autoLine="0" r:id="rId11">
            <anchor moveWithCells="1">
              <from>
                <xdr:col>12</xdr:col>
                <xdr:colOff>85725</xdr:colOff>
                <xdr:row>0</xdr:row>
                <xdr:rowOff>266700</xdr:rowOff>
              </from>
              <to>
                <xdr:col>15</xdr:col>
                <xdr:colOff>1104900</xdr:colOff>
                <xdr:row>0</xdr:row>
                <xdr:rowOff>742950</xdr:rowOff>
              </to>
            </anchor>
          </controlPr>
        </control>
      </mc:Choice>
      <mc:Fallback>
        <control shapeId="3074" r:id="rId10" name="CheckBox_40_Axial_vs_Lateral"/>
      </mc:Fallback>
    </mc:AlternateContent>
    <mc:AlternateContent xmlns:mc="http://schemas.openxmlformats.org/markup-compatibility/2006">
      <mc:Choice Requires="x14">
        <control shapeId="3085" r:id="rId12" name="CheckBox_40_N_Value_QS">
          <controlPr defaultSize="0" autoLine="0" autoPict="0" r:id="rId13">
            <anchor moveWithCells="1">
              <from>
                <xdr:col>3</xdr:col>
                <xdr:colOff>95250</xdr:colOff>
                <xdr:row>19</xdr:row>
                <xdr:rowOff>152400</xdr:rowOff>
              </from>
              <to>
                <xdr:col>4</xdr:col>
                <xdr:colOff>47625</xdr:colOff>
                <xdr:row>21</xdr:row>
                <xdr:rowOff>76200</xdr:rowOff>
              </to>
            </anchor>
          </controlPr>
        </control>
      </mc:Choice>
      <mc:Fallback>
        <control shapeId="3085" r:id="rId12" name="CheckBox_40_N_Value_QS"/>
      </mc:Fallback>
    </mc:AlternateContent>
  </controls>
  <tableParts count="6">
    <tablePart r:id="rId14"/>
    <tablePart r:id="rId15"/>
    <tablePart r:id="rId16"/>
    <tablePart r:id="rId17"/>
    <tablePart r:id="rId18"/>
    <tablePart r:id="rId19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5BB1418B-FABB-4324-929F-85D82E916F3B}">
          <x14:formula1>
            <xm:f>INDIRECT("Tbl_803_"&amp;SUBSTITUTE(INDEX(Y_Lib_03_Helicals_Design_Cond!$O$5:$O$8,MATCH($C13,Y_Lib_03_Helicals_Design_Cond!$N$5:$N$8,0)),"-","_"))</xm:f>
          </x14:formula1>
          <xm:sqref>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CB2EB-05DF-4D27-B60C-EB17E820E856}">
  <sheetPr codeName="Sheet_050"/>
  <dimension ref="A1:EC16"/>
  <sheetViews>
    <sheetView showGridLines="0" zoomScale="80" zoomScaleNormal="80" workbookViewId="0"/>
  </sheetViews>
  <sheetFormatPr defaultColWidth="15.42578125" defaultRowHeight="17.25" outlineLevelCol="1" x14ac:dyDescent="0.3"/>
  <cols>
    <col min="1" max="1" width="28.28515625" style="5" customWidth="1"/>
    <col min="2" max="2" width="5.5703125" style="6" customWidth="1"/>
    <col min="3" max="3" width="3.7109375" style="6" bestFit="1" customWidth="1"/>
    <col min="4" max="5" width="38.5703125" style="6" bestFit="1" customWidth="1"/>
    <col min="6" max="6" width="7.42578125" style="6" hidden="1" customWidth="1" outlineLevel="1"/>
    <col min="7" max="7" width="13" style="6" hidden="1" customWidth="1" outlineLevel="1"/>
    <col min="8" max="8" width="8.85546875" style="6" bestFit="1" customWidth="1" collapsed="1"/>
    <col min="9" max="9" width="10.140625" style="6" bestFit="1" customWidth="1"/>
    <col min="10" max="10" width="6.28515625" style="6" bestFit="1" customWidth="1"/>
    <col min="11" max="11" width="17.42578125" style="6" customWidth="1"/>
    <col min="12" max="12" width="15.140625" style="6" bestFit="1" customWidth="1"/>
    <col min="13" max="13" width="7.28515625" style="6" bestFit="1" customWidth="1"/>
    <col min="14" max="14" width="15.42578125" style="6" hidden="1" customWidth="1" outlineLevel="1"/>
    <col min="15" max="15" width="15.140625" style="6" hidden="1" customWidth="1" outlineLevel="1"/>
    <col min="16" max="16" width="7.7109375" style="6" hidden="1" customWidth="1" outlineLevel="1"/>
    <col min="17" max="17" width="12.140625" style="6" hidden="1" customWidth="1" outlineLevel="1"/>
    <col min="18" max="18" width="11" style="6" hidden="1" customWidth="1" outlineLevel="1"/>
    <col min="19" max="19" width="15" style="6" hidden="1" customWidth="1" outlineLevel="1"/>
    <col min="20" max="20" width="13.42578125" style="6" hidden="1" customWidth="1" outlineLevel="1"/>
    <col min="21" max="21" width="14.28515625" style="6" customWidth="1" collapsed="1"/>
    <col min="22" max="22" width="7.7109375" style="6" customWidth="1"/>
    <col min="23" max="23" width="9.28515625" style="6" customWidth="1"/>
    <col min="24" max="24" width="11.7109375" style="6" hidden="1" customWidth="1" outlineLevel="1"/>
    <col min="25" max="25" width="13" style="6" hidden="1" customWidth="1" outlineLevel="1"/>
    <col min="26" max="26" width="9.28515625" style="6" hidden="1" customWidth="1" outlineLevel="1"/>
    <col min="27" max="27" width="14.42578125" style="6" hidden="1" customWidth="1" outlineLevel="1"/>
    <col min="28" max="28" width="6.5703125" customWidth="1" collapsed="1"/>
    <col min="29" max="29" width="8" customWidth="1"/>
    <col min="30" max="30" width="11.7109375" style="6" customWidth="1"/>
    <col min="31" max="31" width="14.7109375" style="6" customWidth="1"/>
    <col min="32" max="32" width="5.42578125" style="6" bestFit="1" customWidth="1"/>
    <col min="33" max="33" width="4.85546875" style="6" customWidth="1"/>
    <col min="34" max="34" width="4.85546875" style="6" hidden="1" customWidth="1" outlineLevel="1"/>
    <col min="35" max="37" width="5.42578125" style="6" hidden="1" customWidth="1" outlineLevel="1"/>
    <col min="38" max="38" width="10.7109375" style="6" customWidth="1" collapsed="1"/>
    <col min="39" max="39" width="15.28515625" style="6" customWidth="1"/>
    <col min="40" max="40" width="3" customWidth="1"/>
    <col min="41" max="41" width="13.85546875" style="6" customWidth="1"/>
    <col min="42" max="42" width="10.140625" style="6" customWidth="1"/>
    <col min="43" max="43" width="14.42578125" style="6" customWidth="1"/>
    <col min="44" max="44" width="10.5703125" style="6" customWidth="1"/>
    <col min="45" max="45" width="3.7109375" style="6" customWidth="1"/>
    <col min="46" max="46" width="9.140625" style="6" customWidth="1"/>
    <col min="47" max="47" width="3.7109375" style="6" customWidth="1"/>
    <col min="48" max="48" width="12.7109375" style="6" customWidth="1"/>
    <col min="49" max="49" width="3.28515625" style="6" customWidth="1"/>
    <col min="50" max="50" width="12.140625" style="6" customWidth="1"/>
    <col min="51" max="51" width="3.140625" style="6" customWidth="1"/>
    <col min="52" max="52" width="10.85546875" style="6" customWidth="1"/>
    <col min="53" max="53" width="6.42578125" style="6" customWidth="1"/>
    <col min="54" max="54" width="14.42578125" style="6" customWidth="1"/>
    <col min="55" max="55" width="14.28515625" style="6" customWidth="1"/>
    <col min="56" max="56" width="6.5703125" style="6" customWidth="1"/>
    <col min="57" max="57" width="15" style="6" customWidth="1"/>
    <col min="58" max="58" width="12" style="6" customWidth="1"/>
    <col min="59" max="62" width="12.28515625" style="6" hidden="1" customWidth="1" outlineLevel="1"/>
    <col min="63" max="63" width="12.28515625" style="6" customWidth="1" collapsed="1"/>
    <col min="64" max="64" width="6.5703125" style="6" customWidth="1"/>
    <col min="65" max="65" width="14.28515625" style="6" customWidth="1"/>
    <col min="66" max="66" width="10.140625" style="6" customWidth="1"/>
    <col min="67" max="70" width="10.5703125" style="6" hidden="1" customWidth="1" outlineLevel="1"/>
    <col min="71" max="71" width="10.5703125" style="6" customWidth="1" collapsed="1"/>
    <col min="72" max="72" width="7.7109375" style="6" customWidth="1"/>
    <col min="73" max="73" width="15.42578125" style="6" customWidth="1"/>
    <col min="74" max="74" width="13.5703125" style="6" customWidth="1"/>
    <col min="75" max="75" width="8.7109375" style="6" customWidth="1"/>
    <col min="76" max="76" width="15.42578125" style="6" customWidth="1"/>
    <col min="77" max="77" width="13.140625" style="6" customWidth="1"/>
    <col min="78" max="78" width="7.7109375" style="6" customWidth="1"/>
    <col min="79" max="79" width="15" style="6" customWidth="1"/>
    <col min="80" max="80" width="13.85546875" style="6" customWidth="1" outlineLevel="1"/>
    <col min="81" max="81" width="10" style="6" customWidth="1" outlineLevel="1"/>
    <col min="82" max="85" width="10.28515625" style="6" customWidth="1" outlineLevel="1"/>
    <col min="86" max="86" width="10.28515625" style="6" customWidth="1"/>
    <col min="87" max="87" width="9.140625" style="6" customWidth="1"/>
    <col min="88" max="88" width="15.28515625" style="6" customWidth="1"/>
    <col min="89" max="92" width="15.28515625" style="6" customWidth="1" outlineLevel="1"/>
    <col min="93" max="93" width="15.28515625" style="6" customWidth="1"/>
    <col min="94" max="94" width="4.5703125" style="6" customWidth="1"/>
    <col min="95" max="95" width="18.42578125" style="6" customWidth="1"/>
    <col min="96" max="101" width="15.28515625" style="6" hidden="1" customWidth="1" outlineLevel="1"/>
    <col min="102" max="102" width="7.7109375" style="6" customWidth="1" collapsed="1"/>
    <col min="103" max="103" width="25.7109375" style="6" hidden="1" customWidth="1" outlineLevel="1"/>
    <col min="104" max="104" width="26.28515625" style="6" hidden="1" customWidth="1" outlineLevel="1"/>
    <col min="105" max="105" width="30.42578125" style="6" hidden="1" customWidth="1" outlineLevel="1"/>
    <col min="106" max="106" width="16.7109375" style="6" hidden="1" customWidth="1" outlineLevel="1"/>
    <col min="107" max="107" width="26" style="6" customWidth="1" collapsed="1"/>
    <col min="108" max="108" width="22.5703125" style="6" customWidth="1"/>
    <col min="109" max="109" width="26.28515625" style="6" customWidth="1"/>
    <col min="110" max="110" width="9.140625" style="6" customWidth="1"/>
    <col min="111" max="111" width="23.7109375" style="6" customWidth="1"/>
    <col min="112" max="112" width="18.140625" style="6" customWidth="1"/>
    <col min="113" max="113" width="9.140625" style="6" hidden="1" customWidth="1" outlineLevel="1"/>
    <col min="114" max="114" width="15.5703125" style="6" hidden="1" customWidth="1" outlineLevel="1"/>
    <col min="115" max="116" width="17.7109375" style="6" hidden="1" customWidth="1" outlineLevel="1"/>
    <col min="117" max="117" width="14.85546875" style="6" customWidth="1" collapsed="1"/>
    <col min="118" max="118" width="24.42578125" style="6" customWidth="1"/>
    <col min="119" max="119" width="18.42578125" style="6" customWidth="1"/>
    <col min="120" max="120" width="8" style="6" customWidth="1"/>
    <col min="121" max="121" width="15.28515625" style="6" customWidth="1"/>
    <col min="122" max="122" width="15.140625" style="6" customWidth="1"/>
    <col min="123" max="123" width="12.140625" style="6" customWidth="1"/>
    <col min="124" max="124" width="7.7109375" style="6" customWidth="1"/>
    <col min="125" max="125" width="13.42578125" style="6" customWidth="1"/>
    <col min="126" max="126" width="12.85546875" style="6" customWidth="1"/>
    <col min="127" max="127" width="8" style="6" customWidth="1"/>
    <col min="128" max="128" width="8.85546875" style="6" bestFit="1" customWidth="1"/>
    <col min="129" max="129" width="12.140625" style="6" customWidth="1"/>
    <col min="130" max="130" width="15.140625" style="6" bestFit="1" customWidth="1"/>
    <col min="131" max="131" width="16.42578125" style="6" bestFit="1" customWidth="1"/>
    <col min="132" max="132" width="8" style="6" bestFit="1" customWidth="1"/>
    <col min="133" max="133" width="14.42578125" style="6" bestFit="1" customWidth="1"/>
    <col min="134" max="16384" width="15.42578125" style="6"/>
  </cols>
  <sheetData>
    <row r="1" spans="1:133" s="8" customFormat="1" ht="127.5" customHeight="1" thickBot="1" x14ac:dyDescent="0.35">
      <c r="A1" s="7"/>
    </row>
    <row r="2" spans="1:133" ht="18.75" thickTop="1" thickBot="1" x14ac:dyDescent="0.35"/>
    <row r="3" spans="1:133" ht="25.5" x14ac:dyDescent="0.5">
      <c r="F3" s="324" t="s">
        <v>301</v>
      </c>
      <c r="G3" s="325"/>
      <c r="H3" s="325"/>
      <c r="I3" s="326"/>
      <c r="K3" s="324" t="s">
        <v>294</v>
      </c>
      <c r="L3" s="326"/>
      <c r="M3" s="14"/>
      <c r="N3" s="324" t="s">
        <v>293</v>
      </c>
      <c r="O3" s="326"/>
      <c r="P3" s="14"/>
      <c r="Q3" s="14"/>
      <c r="R3" s="14"/>
      <c r="S3" s="324" t="s">
        <v>316</v>
      </c>
      <c r="T3" s="325"/>
      <c r="U3" s="326"/>
      <c r="V3" s="14"/>
      <c r="W3" s="324" t="s">
        <v>166</v>
      </c>
      <c r="X3" s="325"/>
      <c r="Y3" s="325"/>
      <c r="Z3" s="325"/>
      <c r="AA3" s="326"/>
      <c r="AC3" s="324" t="s">
        <v>182</v>
      </c>
      <c r="AD3" s="325"/>
      <c r="AE3" s="325"/>
      <c r="AF3" s="325"/>
      <c r="AG3" s="325"/>
      <c r="AH3" s="325"/>
      <c r="AI3" s="325"/>
      <c r="AJ3" s="325"/>
      <c r="AK3" s="325"/>
      <c r="AL3" s="325"/>
      <c r="AM3" s="326"/>
      <c r="AO3" s="324" t="s">
        <v>205</v>
      </c>
      <c r="AP3" s="326"/>
      <c r="AQ3" s="324" t="s">
        <v>206</v>
      </c>
      <c r="AR3" s="326"/>
      <c r="AS3" s="14"/>
      <c r="BB3" s="324" t="s">
        <v>181</v>
      </c>
      <c r="BC3" s="326"/>
      <c r="BE3" s="324" t="s">
        <v>233</v>
      </c>
      <c r="BF3" s="325"/>
      <c r="BG3" s="325"/>
      <c r="BH3" s="325"/>
      <c r="BI3" s="325"/>
      <c r="BJ3" s="325"/>
      <c r="BK3" s="326"/>
      <c r="BM3" s="324" t="s">
        <v>242</v>
      </c>
      <c r="BN3" s="325"/>
      <c r="BO3" s="325"/>
      <c r="BP3" s="325"/>
      <c r="BQ3" s="325"/>
      <c r="BR3" s="325"/>
      <c r="BS3" s="326"/>
      <c r="BU3" s="324" t="s">
        <v>251</v>
      </c>
      <c r="BV3" s="326"/>
      <c r="BX3" s="324" t="s">
        <v>252</v>
      </c>
      <c r="BY3" s="326"/>
      <c r="CA3" s="324" t="s">
        <v>250</v>
      </c>
      <c r="CB3" s="325"/>
      <c r="CC3" s="325"/>
      <c r="CD3" s="325"/>
      <c r="CE3" s="325"/>
      <c r="CF3" s="325"/>
      <c r="CG3" s="325"/>
      <c r="CH3" s="326"/>
      <c r="CJ3" s="324" t="s">
        <v>512</v>
      </c>
      <c r="CK3" s="325"/>
      <c r="CL3" s="325"/>
      <c r="CM3" s="325"/>
      <c r="CN3" s="325"/>
      <c r="CO3" s="326"/>
      <c r="CP3" s="274"/>
      <c r="CQ3" s="324" t="s">
        <v>302</v>
      </c>
      <c r="CR3" s="325"/>
      <c r="CS3" s="325"/>
      <c r="CT3" s="325"/>
      <c r="CU3" s="325"/>
      <c r="CV3" s="325"/>
      <c r="CW3" s="326"/>
      <c r="CY3" s="324" t="s">
        <v>281</v>
      </c>
      <c r="CZ3" s="325"/>
      <c r="DA3" s="325"/>
      <c r="DB3" s="325"/>
      <c r="DC3" s="325"/>
      <c r="DD3" s="325"/>
      <c r="DE3" s="325"/>
      <c r="DF3" s="325"/>
      <c r="DG3" s="325"/>
      <c r="DH3" s="326"/>
      <c r="DJ3" s="324" t="s">
        <v>296</v>
      </c>
      <c r="DK3" s="325"/>
      <c r="DL3" s="325"/>
      <c r="DM3" s="325"/>
      <c r="DN3" s="325"/>
      <c r="DO3" s="326"/>
      <c r="DQ3" s="324" t="s">
        <v>306</v>
      </c>
      <c r="DR3" s="325"/>
      <c r="DS3" s="326"/>
    </row>
    <row r="4" spans="1:133" ht="52.5" customHeight="1" x14ac:dyDescent="0.3">
      <c r="C4" s="75" t="s">
        <v>142</v>
      </c>
      <c r="D4" s="76" t="s">
        <v>157</v>
      </c>
      <c r="E4" s="76" t="s">
        <v>143</v>
      </c>
      <c r="F4" s="77" t="s">
        <v>10</v>
      </c>
      <c r="G4" s="77" t="s">
        <v>11</v>
      </c>
      <c r="H4" s="77" t="s">
        <v>12</v>
      </c>
      <c r="I4" s="77" t="s">
        <v>13</v>
      </c>
      <c r="J4" s="78" t="s">
        <v>207</v>
      </c>
      <c r="K4" s="79" t="s">
        <v>304</v>
      </c>
      <c r="L4" s="80" t="s">
        <v>303</v>
      </c>
      <c r="M4" s="78" t="s">
        <v>244</v>
      </c>
      <c r="N4" s="79" t="s">
        <v>280</v>
      </c>
      <c r="O4" s="80" t="s">
        <v>279</v>
      </c>
      <c r="P4" s="78" t="s">
        <v>259</v>
      </c>
      <c r="Q4" s="80" t="s">
        <v>292</v>
      </c>
      <c r="R4" s="78" t="s">
        <v>300</v>
      </c>
      <c r="S4" s="81" t="s">
        <v>315</v>
      </c>
      <c r="T4" s="82" t="s">
        <v>309</v>
      </c>
      <c r="U4" s="80" t="s">
        <v>313</v>
      </c>
      <c r="V4" s="78" t="s">
        <v>266</v>
      </c>
      <c r="W4" s="79" t="s">
        <v>166</v>
      </c>
      <c r="X4" s="82" t="s">
        <v>167</v>
      </c>
      <c r="Y4" s="83" t="s">
        <v>168</v>
      </c>
      <c r="Z4" s="84" t="s">
        <v>169</v>
      </c>
      <c r="AA4" s="85" t="s">
        <v>170</v>
      </c>
      <c r="AB4" s="78" t="s">
        <v>208</v>
      </c>
      <c r="AC4" s="81" t="s">
        <v>219</v>
      </c>
      <c r="AD4" s="82" t="s">
        <v>20</v>
      </c>
      <c r="AE4" s="83" t="s">
        <v>171</v>
      </c>
      <c r="AF4" s="86" t="s">
        <v>220</v>
      </c>
      <c r="AG4" s="86" t="s">
        <v>221</v>
      </c>
      <c r="AH4" s="86" t="s">
        <v>222</v>
      </c>
      <c r="AI4" s="86" t="s">
        <v>223</v>
      </c>
      <c r="AJ4" s="86" t="s">
        <v>224</v>
      </c>
      <c r="AK4" s="86" t="s">
        <v>225</v>
      </c>
      <c r="AL4" s="86" t="s">
        <v>177</v>
      </c>
      <c r="AM4" s="87" t="s">
        <v>178</v>
      </c>
      <c r="AN4" s="78" t="s">
        <v>209</v>
      </c>
      <c r="AO4" s="88" t="s">
        <v>172</v>
      </c>
      <c r="AP4" s="85" t="s">
        <v>173</v>
      </c>
      <c r="AQ4" s="88" t="s">
        <v>174</v>
      </c>
      <c r="AR4" s="85" t="s">
        <v>175</v>
      </c>
      <c r="AS4" s="78" t="s">
        <v>210</v>
      </c>
      <c r="AT4" s="76" t="s">
        <v>179</v>
      </c>
      <c r="AU4" s="78" t="s">
        <v>211</v>
      </c>
      <c r="AV4" s="84" t="s">
        <v>399</v>
      </c>
      <c r="AW4" s="78" t="s">
        <v>437</v>
      </c>
      <c r="AX4" s="89" t="s">
        <v>176</v>
      </c>
      <c r="AY4" s="78" t="s">
        <v>212</v>
      </c>
      <c r="AZ4" s="76" t="s">
        <v>180</v>
      </c>
      <c r="BA4" s="78" t="s">
        <v>213</v>
      </c>
      <c r="BB4" s="90" t="s">
        <v>158</v>
      </c>
      <c r="BC4" s="91" t="s">
        <v>159</v>
      </c>
      <c r="BD4" s="78" t="s">
        <v>214</v>
      </c>
      <c r="BE4" s="92" t="s">
        <v>226</v>
      </c>
      <c r="BF4" s="93" t="s">
        <v>227</v>
      </c>
      <c r="BG4" s="93" t="s">
        <v>228</v>
      </c>
      <c r="BH4" s="93" t="s">
        <v>229</v>
      </c>
      <c r="BI4" s="93" t="s">
        <v>230</v>
      </c>
      <c r="BJ4" s="93" t="s">
        <v>231</v>
      </c>
      <c r="BK4" s="94" t="s">
        <v>232</v>
      </c>
      <c r="BL4" s="78" t="s">
        <v>234</v>
      </c>
      <c r="BM4" s="95" t="s">
        <v>235</v>
      </c>
      <c r="BN4" s="96" t="s">
        <v>236</v>
      </c>
      <c r="BO4" s="96" t="s">
        <v>237</v>
      </c>
      <c r="BP4" s="96" t="s">
        <v>238</v>
      </c>
      <c r="BQ4" s="96" t="s">
        <v>239</v>
      </c>
      <c r="BR4" s="96" t="s">
        <v>240</v>
      </c>
      <c r="BS4" s="80" t="s">
        <v>241</v>
      </c>
      <c r="BT4" s="78" t="s">
        <v>243</v>
      </c>
      <c r="BU4" s="95" t="s">
        <v>245</v>
      </c>
      <c r="BV4" s="97" t="s">
        <v>246</v>
      </c>
      <c r="BW4" s="78" t="s">
        <v>289</v>
      </c>
      <c r="BX4" s="95" t="s">
        <v>247</v>
      </c>
      <c r="BY4" s="97" t="s">
        <v>248</v>
      </c>
      <c r="BZ4" s="78" t="s">
        <v>218</v>
      </c>
      <c r="CA4" s="98" t="s">
        <v>249</v>
      </c>
      <c r="CB4" s="77" t="s">
        <v>262</v>
      </c>
      <c r="CC4" s="77" t="s">
        <v>253</v>
      </c>
      <c r="CD4" s="77" t="s">
        <v>254</v>
      </c>
      <c r="CE4" s="77" t="s">
        <v>255</v>
      </c>
      <c r="CF4" s="77" t="s">
        <v>256</v>
      </c>
      <c r="CG4" s="77" t="s">
        <v>257</v>
      </c>
      <c r="CH4" s="99" t="s">
        <v>258</v>
      </c>
      <c r="CI4" s="78" t="s">
        <v>290</v>
      </c>
      <c r="CJ4" s="100" t="s">
        <v>505</v>
      </c>
      <c r="CK4" s="275" t="s">
        <v>506</v>
      </c>
      <c r="CL4" s="275" t="s">
        <v>507</v>
      </c>
      <c r="CM4" s="275" t="s">
        <v>508</v>
      </c>
      <c r="CN4" s="275" t="s">
        <v>509</v>
      </c>
      <c r="CO4" s="102" t="s">
        <v>510</v>
      </c>
      <c r="CP4" s="78" t="s">
        <v>267</v>
      </c>
      <c r="CQ4" s="100" t="s">
        <v>268</v>
      </c>
      <c r="CR4" s="101" t="s">
        <v>269</v>
      </c>
      <c r="CS4" s="101" t="s">
        <v>270</v>
      </c>
      <c r="CT4" s="101" t="s">
        <v>271</v>
      </c>
      <c r="CU4" s="101" t="s">
        <v>272</v>
      </c>
      <c r="CV4" s="101" t="s">
        <v>273</v>
      </c>
      <c r="CW4" s="102" t="s">
        <v>274</v>
      </c>
      <c r="CX4" s="78" t="s">
        <v>511</v>
      </c>
      <c r="CY4" s="103" t="s">
        <v>261</v>
      </c>
      <c r="CZ4" s="104" t="s">
        <v>263</v>
      </c>
      <c r="DA4" s="104" t="s">
        <v>260</v>
      </c>
      <c r="DB4" s="105" t="s">
        <v>276</v>
      </c>
      <c r="DC4" s="105" t="s">
        <v>275</v>
      </c>
      <c r="DD4" s="75" t="s">
        <v>264</v>
      </c>
      <c r="DE4" s="75" t="s">
        <v>265</v>
      </c>
      <c r="DF4" s="78" t="s">
        <v>291</v>
      </c>
      <c r="DG4" s="95" t="s">
        <v>277</v>
      </c>
      <c r="DH4" s="80" t="s">
        <v>278</v>
      </c>
      <c r="DI4" s="78" t="s">
        <v>285</v>
      </c>
      <c r="DJ4" s="95" t="s">
        <v>282</v>
      </c>
      <c r="DK4" s="96" t="s">
        <v>283</v>
      </c>
      <c r="DL4" s="96" t="s">
        <v>284</v>
      </c>
      <c r="DM4" s="96" t="s">
        <v>286</v>
      </c>
      <c r="DN4" s="96" t="s">
        <v>287</v>
      </c>
      <c r="DO4" s="97" t="s">
        <v>288</v>
      </c>
      <c r="DP4" s="78" t="s">
        <v>295</v>
      </c>
      <c r="DQ4" s="106" t="s">
        <v>307</v>
      </c>
      <c r="DR4" s="107" t="s">
        <v>305</v>
      </c>
      <c r="DS4" s="108" t="s">
        <v>297</v>
      </c>
      <c r="DT4" s="78" t="s">
        <v>308</v>
      </c>
      <c r="DU4" s="75" t="s">
        <v>317</v>
      </c>
      <c r="DV4" s="75" t="s">
        <v>318</v>
      </c>
      <c r="DW4" s="78" t="s">
        <v>314</v>
      </c>
      <c r="DX4" s="75" t="s">
        <v>310</v>
      </c>
      <c r="DY4" s="77" t="s">
        <v>311</v>
      </c>
      <c r="DZ4" s="77" t="s">
        <v>312</v>
      </c>
      <c r="EA4" s="77" t="s">
        <v>325</v>
      </c>
      <c r="EB4" s="78" t="s">
        <v>321</v>
      </c>
      <c r="EC4" s="75" t="s">
        <v>326</v>
      </c>
    </row>
    <row r="5" spans="1:133" ht="21" x14ac:dyDescent="0.3">
      <c r="C5" s="132">
        <v>1</v>
      </c>
      <c r="D5" s="133" t="s">
        <v>548</v>
      </c>
      <c r="E5" s="133" t="s">
        <v>548</v>
      </c>
      <c r="F5" s="134">
        <f>IFERROR(
                    INDEX(
                                 INDIRECT("Tbl_X2_30_Loads_Stick_Up["&amp;F$4&amp;"]"),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G5" s="134">
        <f>IFERROR(
                    INDEX(
                                 INDIRECT("Tbl_X2_30_Loads_Stick_Up["&amp;G$4&amp;"]"),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H5" s="134">
        <f>IFERROR(
                    INDEX(
                                 INDIRECT("Tbl_X2_30_Loads_Stick_Up["&amp;H$4&amp;"]"),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I5" s="134">
        <f>IFERROR(
                    INDEX(
                                 INDIRECT("Tbl_X2_30_Loads_Stick_Up["&amp;I$4&amp;"]"),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J5" s="135"/>
      <c r="K5" s="136">
        <f>IFERROR(Tbl_50_Pile_Type_Design[[#This Row],[I.B.M. Compression Ultimate Capacity (kips)]]/(Tbl_50_Pile_Type_Design[[#This Row],[Comp]]*0.001),0)</f>
        <v>0</v>
      </c>
      <c r="L5" s="137">
        <f>IFERROR(Tbl_50_Pile_Type_Design[[#This Row],[I.B.M. Tension Ultimate Capacity (kips)]]/(Tbl_50_Pile_Type_Design[[#This Row],[Tension]]*0.001),0)</f>
        <v>0</v>
      </c>
      <c r="M5" s="135"/>
      <c r="N5" s="136">
        <f>IFERROR(Tbl_50_Pile_Type_Design[[#This Row],[C.S.M. Compression Ultimate Capacity (kips)]]/(Tbl_50_Pile_Type_Design[[#This Row],[Comp]]*0.001),0)</f>
        <v>0</v>
      </c>
      <c r="O5" s="137">
        <f>IFERROR(Tbl_50_Pile_Type_Design[[#This Row],[C.S.M. Tension Ultimate Capacity (kips)]]/(Tbl_50_Pile_Type_Design[[#This Row],[Tension]]*0.001),0)</f>
        <v>0</v>
      </c>
      <c r="P5" s="135"/>
      <c r="Q5" s="137">
        <f>IFERROR(Tbl_50_Pile_Type_Design[[#This Row],[Soil Cone Weight (kips)]]/(Tbl_50_Pile_Type_Design[[#This Row],[Tension]]*0.001),0)</f>
        <v>0</v>
      </c>
      <c r="R5" s="135"/>
      <c r="S5" s="138" t="str">
        <f>"Structural Integrity: " &amp;Tbl_50_Pile_Type_Design[[#This Row],[Calc. Structural Capacities]]</f>
        <v>Structural Integrity: Pending</v>
      </c>
      <c r="T5" s="139" t="str">
        <f>"Helix Capacities: "&amp;Tbl_50_Pile_Type_Design[[#This Row],[Calc. Helix Capacities]]</f>
        <v>Helix Capacities: Pending</v>
      </c>
      <c r="U5" s="240">
        <f>IFERROR(1/(Tbl_50_Pile_Type_Design[[#This Row],[Torque Shaft Max Capacity
ft-lb]]/Tbl_50_Pile_Type_Design[[#This Row],[Inst. Torque (ft-kips)]]),0)</f>
        <v>2.1186440677966101E-2</v>
      </c>
      <c r="V5" s="135"/>
      <c r="W5" s="140" t="str">
        <f xml:space="preserve">
IF(
ISNUMBER(SEARCH("TOPR",Tbl_50_Pile_Type_Design[[#This Row],[Child Shaft Type]],1)),"YES","NO")</f>
        <v>NO</v>
      </c>
      <c r="X5" s="141" t="str">
        <f>IF(
        Tbl_50_Pile_Type_Design[[#This Row],[Topper]]="YES",
       VALUE(MID(Tbl_50_Pile_Type_Design[[#This Row],[Child Shaft Type]],6,5)),
       "")</f>
        <v/>
      </c>
      <c r="Y5" s="142" t="str">
        <f xml:space="preserve">
IF(
      Tbl_50_Pile_Type_Design[[#This Row],[Topper Diameter]]&lt;&gt;"",
      IF(
         VALUE(MID(Tbl_50_Pile_Type_Design[[#This Row],[Child Shaft Type]],12,3)) = 0,
        INDEX(Tbl_804_Pile_Std_Th[Std Th],MATCH(TEXT(Tbl_50_Pile_Type_Design[[#This Row],[Topper Diameter]],"00.00"),Tbl_804_Pile_Std_Th[Diameter],0)),
        VALUE(MID(Tbl_50_Pile_Type_Design[[#This Row],[Child Shaft Type]],12,3))
      ),
      ""
    )</f>
        <v/>
      </c>
      <c r="Z5" s="143">
        <v>0</v>
      </c>
      <c r="AA5" s="144">
        <v>0</v>
      </c>
      <c r="AB5" s="145"/>
      <c r="AC5" s="146" t="str">
        <f>IF(
Tbl_50_Pile_Type_Design[[#This Row],[Topper]]="YES",
MID(Tbl_50_Pile_Type_Design[[#This Row],[Child Shaft Type]],21,2),
MID(Tbl_50_Pile_Type_Design[[#This Row],[Child Shaft Type]],6,2)
)</f>
        <v>RD</v>
      </c>
      <c r="AD5" s="147">
        <f>IFERROR(IF(
Tbl_50_Pile_Type_Design[[#This Row],[Topper]]="YES",
VALUE(MID(Tbl_50_Pile_Type_Design[[#This Row],[Child Shaft Type]],24,5)),
VALUE(MID(Tbl_50_Pile_Type_Design[[#This Row],[Child Shaft Type]],9,5))
),"00.00"&amp;CHAR(34))</f>
        <v>10.75</v>
      </c>
      <c r="AE5" s="148">
        <f t="array" ref="AE5">IFERROR(
IF(
Tbl_50_Pile_Type_Design[[#This Row],[Topper]]="YES",
  N("FORMULA AS ARRAY -If there is a Topper in this shaft THEN we extract the proper digits for the lead and extension; after that we check if the th = 0.000 which means that is Std. and then we bring the Std. thickness based on a database on  Wks 804") +
  IF(
     VALUE(MID(Tbl_50_Pile_Type_Design[[#This Row],[Child Shaft Type]],30,3))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Type]],30,3))
     ),
     IF(
     VALUE(MID(Tbl_50_Pile_Type_Design[[#This Row],[Child Shaft Type]],15,3))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Type]],15,3))
     )
),
"0.000"&amp;CHAR(34))</f>
        <v>0.36499999999999999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 t="s">
        <v>442</v>
      </c>
      <c r="AM5" s="150">
        <v>0</v>
      </c>
      <c r="AN5" s="145"/>
      <c r="AO5" s="151">
        <v>0</v>
      </c>
      <c r="AP5" s="144">
        <v>0</v>
      </c>
      <c r="AQ5" s="151">
        <v>0</v>
      </c>
      <c r="AR5" s="144">
        <v>0</v>
      </c>
      <c r="AS5" s="145"/>
      <c r="AT5" s="152"/>
      <c r="AU5" s="145"/>
      <c r="AV5" s="252">
        <f>MAX(
    INDEX(
    Tbl_40_Soil_Parameters[Value],
    MATCH(
    "Active Zone Depth",
    Tbl_40_Soil_Parameters[General Properties],
    0)
    ),
    INDEX(
    Tbl_40_Soil_Parameters[Value],
    MATCH(
    "Install bellow soft layer",
    Tbl_40_Soil_Parameters[General Properties],
    0)
    ),
    IFERROR(
    CONVERT(
    (
    N("Calculates the distance for minimum embedment of top helix base on 5D")+
    Project_Home!$D$25*MAX(Tbl_50_Pile_Type_Design[[#This Row],[H1]:[H6]])
    )+
    (
    N("Calcualtes the helix spacing")+
    (
    COUNTIF(Tbl_50_Pile_Type_Design[[#This Row],[H1]:[H6]],"&lt;&gt;0")-N("minus one helix")-1
    )*
    MAX(Tbl_50_Pile_Type_Design[[#This Row],[H1]:[H6]])*(N("Multiply by 3 minimum spacing")+3)
    )+
    (
    N("Adds the tip length + 5 in of tolearnce")+
    Tbl_50_Pile_Type_Design[[#This Row],[Diameter]]+5
    ),
    "in",
    "ft"),
    0
    )
    )</f>
        <v>1.3125</v>
      </c>
      <c r="AW5" s="203"/>
      <c r="AX5" s="153">
        <f xml:space="preserve">
IF(
   Tbl_50_Pile_Type_Design[[#This Row],[Topper]] ="YES",
    N("Add everything including topper length")+
    (Tbl_50_Pile_Type_Design[[#This Row],[Topper Length]]*Tbl_50_Pile_Type_Design[[#This Row],[Topper Qty]])
    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Qty]]),
    N("Exclude topper lenght because there is not any topper")+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
)</f>
        <v>0</v>
      </c>
      <c r="AY5" s="202"/>
      <c r="AZ5" s="154">
        <v>0</v>
      </c>
      <c r="BA5" s="145"/>
      <c r="BB5" s="155">
        <f>IFERROR(
                    INDEX(
                                 INDIRECT("Tbl_X2_30_Loads_Stick_Up["&amp;BB$4&amp;"]"),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C5" s="156">
        <f>IFERROR(
                    INDEX(
                                 INDIRECT("Tbl_X2_30_Loads_Stick_Up["&amp;BC$4&amp;"]"),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D5" s="145"/>
      <c r="BE5" s="157">
        <f>IFERROR(
   (
       Tbl_50_Pile_Type_Design[[#This Row],[Total Pile Length]] -
       Tbl_50_Pile_Type_Design[[#This Row],[TOPile Max]]
    ) *
    COS(RADIANS(Tbl_50_Pile_Type_Design[[#This Row],[Battered Angle]])),
0)</f>
        <v>0</v>
      </c>
      <c r="BF5" s="158" t="str">
        <f xml:space="preserve">
IF(
    Tbl_50_Pile_Type_Design[[#This Row],[H1]]=0,
         "",
         Tbl_50_Pile_Type_Design[[#This Row],[Depth Tip of Pile]]
          -
         (
           N("Returns the H1_S_Ft form table")+
           INDEX(
                        Tbl_805_Piles_Geometry[H1_S_ft],
                         MATCH(
                                        TEXT(Tbl_50_Pile_Type_Design[[#This Row],[Diameter]],"00.00")&amp;CHAR(34),
                                        Tbl_805_Piles_Geometry[Pile_Diameter],
                                        0
                                       )
                        )
       )
          *
           (
           N("Multiplies by cosine to prodive the battered distance") +
          COS(RADIANS(Tbl_50_Pile_Type_Design[[#This Row],[Battered Angle]]))
           )
)</f>
        <v/>
      </c>
      <c r="BG5" s="158" t="str">
        <f xml:space="preserve">
IF(
        Tbl_50_Pile_Type_Design[[#This Row],[H2]]=0,
        "",
ROUND(
      Tbl_50_Pile_Type_Design[[#This Row],[Depth H1]]
        -
      (
           3*CONVERT(Tbl_50_Pile_Type_Design[[#This Row],[H1]],"in","ft")
       )
         *
        COS(RADIANS(INDIRECT("Tbl_50_Pile_Type_Design[@[Battered Angle]]"))),2)
)</f>
        <v/>
      </c>
      <c r="BH5" s="158" t="str">
        <f xml:space="preserve">
IF(
        Tbl_50_Pile_Type_Design[[#This Row],[H3]]=0,
        "",
ROUND(
      Tbl_50_Pile_Type_Design[[#This Row],[Depth H2]]
        -
      (
           3*CONVERT(Tbl_50_Pile_Type_Design[[#This Row],[H2]],"in","ft")
       )
         *
        COS(RADIANS(INDIRECT("Tbl_50_Pile_Type_Design[@[Battered Angle]]"))),2)
)</f>
        <v/>
      </c>
      <c r="BI5" s="158" t="str">
        <f xml:space="preserve">
IF(
        Tbl_50_Pile_Type_Design[[#This Row],[H4]]=0,
        "",
ROUND(
      Tbl_50_Pile_Type_Design[[#This Row],[Depth H3]]
        -
      (
           3*CONVERT(Tbl_50_Pile_Type_Design[[#This Row],[H3]],"in","ft")
       )
         *
        COS(RADIANS(INDIRECT("Tbl_50_Pile_Type_Design[@[Battered Angle]]"))),2)
)</f>
        <v/>
      </c>
      <c r="BJ5" s="158" t="str">
        <f xml:space="preserve">
IF(
        Tbl_50_Pile_Type_Design[[#This Row],[H5]]=0,
        "",
ROUND(
      Tbl_50_Pile_Type_Design[[#This Row],[Depth H4]]
        -
      (
           3*CONVERT(Tbl_50_Pile_Type_Design[[#This Row],[H4]],"in","ft")
       )
         *
        COS(RADIANS(INDIRECT("Tbl_50_Pile_Type_Design[@[Battered Angle]]"))),2)
)</f>
        <v/>
      </c>
      <c r="BK5" s="159" t="str">
        <f xml:space="preserve">
IF(
        Tbl_50_Pile_Type_Design[[#This Row],[H6]]=0,
        "",
ROUND(
      Tbl_50_Pile_Type_Design[[#This Row],[Depth H5]]
        -
      (
           3*CONVERT(Tbl_50_Pile_Type_Design[[#This Row],[H5]],"in","ft")
       )
         *
        COS(RADIANS(INDIRECT("Tbl_50_Pile_Type_Design[@[Battered Angle]]"))),2)
)</f>
        <v/>
      </c>
      <c r="BL5" s="145"/>
      <c r="BM5" s="160">
        <f>IFERROR(
_xlfn.IFS(
        Tbl_50_Pile_Type_Design[[#This Row],[Shape]]="SQ",
         ROUND(Tbl_50_Pile_Type_Design[[#This Row],[Diameter]]^2,2),
        Tbl_50_Pile_Type_Design[[#This Row],[Shape]]="RD",
        ROUND(PI()*(Tbl_50_Pile_Type_Design[[#This Row],[Diameter]]/2)^2,2)
),0)</f>
        <v>90.76</v>
      </c>
      <c r="BN5" s="161" t="str">
        <f xml:space="preserve">
IFERROR(
                  _xlfn.IFS(
                          Tbl_50_Pile_Type_Design[[#This Row],[H1]]=0,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Row],[H1]],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Row],[H1]]/2)^2 -  PI()*(INDIRECT("Tbl_50_Pile_Type_Design[@Diameter]")/2)^2,2)
                        ),
0)</f>
        <v/>
      </c>
      <c r="BO5" s="161" t="str">
        <f xml:space="preserve">
IFERROR(
                  _xlfn.IFS(
                          Tbl_50_Pile_Type_Design[[#This Row],[H2]]=0,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Row],[H2]],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Row],[H2]]/2)^2 -  PI()*(INDIRECT("Tbl_50_Pile_Type_Design[@Diameter]")/2)^2,2)
                        ),
0)</f>
        <v/>
      </c>
      <c r="BP5" s="161" t="str">
        <f xml:space="preserve">
IFERROR(
                  _xlfn.IFS(
                          Tbl_50_Pile_Type_Design[[#This Row],[H3]]=0,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Row],[H3]],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Row],[H3]]/2)^2 -  PI()*(INDIRECT("Tbl_50_Pile_Type_Design[@Diameter]")/2)^2,2)
                        ),
0)</f>
        <v/>
      </c>
      <c r="BQ5" s="161" t="str">
        <f xml:space="preserve">
IFERROR(
                  _xlfn.IFS(
                          Tbl_50_Pile_Type_Design[[#This Row],[H4]]=0,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Row],[H4]],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Row],[H4]]/2)^2 -  PI()*(INDIRECT("Tbl_50_Pile_Type_Design[@Diameter]")/2)^2,2)
                        ),
0)</f>
        <v/>
      </c>
      <c r="BR5" s="161" t="str">
        <f xml:space="preserve">
IFERROR(
                  _xlfn.IFS(
                          Tbl_50_Pile_Type_Design[[#This Row],[H5]]=0,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Row],[H5]],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Row],[H5]]/2)^2 -  PI()*(INDIRECT("Tbl_50_Pile_Type_Design[@Diameter]")/2)^2,2)
                        ),
0)</f>
        <v/>
      </c>
      <c r="BS5" s="162" t="str">
        <f xml:space="preserve">
IFERROR(
                  _xlfn.IFS(
                          Tbl_50_Pile_Type_Design[[#This Row],[H6]]=0,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Row],[H6]],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Row],[H6]]/2)^2 -  PI()*(INDIRECT("Tbl_50_Pile_Type_Design[@Diameter]")/2)^2,2)
                        ),
0)</f>
        <v/>
      </c>
      <c r="BT5" s="145"/>
      <c r="BU5" s="160">
        <f>SUM(Tbl_50_Pile_Type_Design[[#This Row],[Area Tip of Pile]:[Area H6]])</f>
        <v>90.76</v>
      </c>
      <c r="BV5" s="163">
        <f>SUM(Tbl_50_Pile_Type_Design[[#This Row],[Area H1]:[Area H6]])</f>
        <v>0</v>
      </c>
      <c r="BW5" s="145"/>
      <c r="BX5" s="160">
        <f>CONVERT(Tbl_50_Pile_Type_Design[[#This Row],[Compression Tip + Helices in2]],"in^2","ft^2")</f>
        <v>0.63027777777777783</v>
      </c>
      <c r="BY5" s="163">
        <f>CONVERT(Tbl_50_Pile_Type_Design[[#This Row],[Tension Helices in2]],"in^2","ft^2")</f>
        <v>0</v>
      </c>
      <c r="BZ5" s="145"/>
      <c r="CA5" s="164" t="str">
        <f>IF(MID(RIGHT(Tbl_50_Pile_Type_Design[[#This Row],[Child Shaft Type]],5),1,2)="SP","Soil_Profile_"&amp;RIGHT(Tbl_50_Pile_Type_Design[[#This Row],[Child Shaft Type]],2),"Soil_Profile_01")</f>
        <v>Soil_Profile_01</v>
      </c>
      <c r="CB5" s="165">
        <f xml:space="preserve"> IFERROR(
       ROUND(INDEX(INDIRECT("Tbl_40_"&amp;INDIRECT("Tbl_50_Pile_Type_Design[@[Soil Profile]]")&amp;"[Qult (psf)]"),ROUND(Tbl_50_Pile_Type_Design[[#This Row],[Depth Tip of Pile]],0)),0),
0)</f>
        <v>0</v>
      </c>
      <c r="CC5" s="165" t="str">
        <f xml:space="preserve">
IF(
    Tbl_50_Pile_Type_Design[[#This Row],[H1]] =0,
   "",
       ROUND(INDEX(INDIRECT("Tbl_40_"&amp;INDIRECT("Tbl_50_Pile_Type_Design[@[Soil Profile]]")&amp;"[Qult (psf)]"),ROUND(Tbl_50_Pile_Type_Design[[#This Row],[Depth H1]],0)),0)
)</f>
        <v/>
      </c>
      <c r="CD5" s="165" t="str">
        <f xml:space="preserve">
IF(
    Tbl_50_Pile_Type_Design[[#This Row],[H2]] =0,
   "",
       ROUND(INDEX(INDIRECT("Tbl_40_"&amp;INDIRECT("Tbl_50_Pile_Type_Design[@[Soil Profile]]")&amp;"[Qult (psf)]"),ROUND(Tbl_50_Pile_Type_Design[[#This Row],[Depth H2]],0)),0)
)</f>
        <v/>
      </c>
      <c r="CE5" s="165" t="str">
        <f xml:space="preserve">
IF(
    Tbl_50_Pile_Type_Design[[#This Row],[H3]] =0,
   "",
       ROUND(INDEX(INDIRECT("Tbl_40_"&amp;INDIRECT("Tbl_50_Pile_Type_Design[@[Soil Profile]]")&amp;"[Qult (psf)]"),ROUND(Tbl_50_Pile_Type_Design[[#This Row],[Depth H3]],0)),0)
)</f>
        <v/>
      </c>
      <c r="CF5" s="165" t="str">
        <f xml:space="preserve">
IF(
    Tbl_50_Pile_Type_Design[[#This Row],[H4]] =0,
   "",
       ROUND(INDEX(INDIRECT("Tbl_40_"&amp;INDIRECT("Tbl_50_Pile_Type_Design[@[Soil Profile]]")&amp;"[Qult (psf)]"),ROUND(Tbl_50_Pile_Type_Design[[#This Row],[Depth H4]],0)),0)
)</f>
        <v/>
      </c>
      <c r="CG5" s="165" t="str">
        <f xml:space="preserve">
IF(
    Tbl_50_Pile_Type_Design[[#This Row],[H5]] =0,
   "",
       ROUND(INDEX(INDIRECT("Tbl_40_"&amp;INDIRECT("Tbl_50_Pile_Type_Design[@[Soil Profile]]")&amp;"[Qult (psf)]"),ROUND(Tbl_50_Pile_Type_Design[[#This Row],[Depth H5]],0)),0)
)</f>
        <v/>
      </c>
      <c r="CH5" s="166" t="str">
        <f xml:space="preserve">
IF(
    Tbl_50_Pile_Type_Design[[#This Row],[H6]] =0,
   "",
       ROUND(INDEX(INDIRECT("Tbl_40_"&amp;INDIRECT("Tbl_50_Pile_Type_Design[@[Soil Profile]]")&amp;"[Qult (psf)]"),ROUND(Tbl_50_Pile_Type_Design[[#This Row],[Depth H6]],0)),0)
)</f>
        <v/>
      </c>
      <c r="CI5" s="145"/>
      <c r="CJ5" s="287" t="str">
        <f>IF(Tbl_50_Pile_Type_Design[[#This Row],[H1]]=0,"",IF(INDIRECT("Tbl_50_Pile_Type_Design[@Shape]")="SQ",INDEX(INDIRECT("Tbl_803_SQ_Helix_Capacities["&amp;Tbl_50_Pile_Type_Design[[#This Row],[H1]]&amp;"]"),MATCH(INDIRECT("Tbl_50_Pile_Type_Design[@Diameter]"),INDIRECT("Tbl_803_SQ_Helix_Capacities[Diameter]"),0)),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Row],[H1]]-INDIRECT("Tbl_50_Pile_Type_Design[@Diameter]"))/2,
                  2
                  )
                  ),
                  3
                  )*ROUNDUP(
                  (
                  PI()*(
                  POWER(Tbl_50_Pile_Type_Design[[#This Row],[H1]],2)-POWER(INDIRECT("Tbl_50_Pile_Type_Design[@Diameter]"),2)
                  )/4
                  ),3
                  ),3
                  )*
                  1.67*
                  0.9,
        3
)
)
)</f>
        <v/>
      </c>
      <c r="CK5" s="288" t="str">
        <f>IF(Tbl_50_Pile_Type_Design[[#This Row],[H2]]=0,"",IF(INDIRECT("Tbl_50_Pile_Type_Design[@Shape]")="SQ",INDEX(INDIRECT("Tbl_803_SQ_Helix_Capacities["&amp;Tbl_50_Pile_Type_Design[[#This Row],[H2]]&amp;"]"),MATCH(INDIRECT("Tbl_50_Pile_Type_Design[@Diameter]"),INDIRECT("Tbl_803_SQ_Helix_Capacities[Diameter]"),0)),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Row],[H2]]-INDIRECT("Tbl_50_Pile_Type_Design[@Diameter]"))/2,
                  2
                  )
                  ),
                  3
                  )*ROUNDUP(
                  (
                  PI()*(
                  POWER(Tbl_50_Pile_Type_Design[[#This Row],[H2]],2)-POWER(INDIRECT("Tbl_50_Pile_Type_Design[@Diameter]"),2)
                  )/4
                  ),3
                  ),3
                  )*
                  1.67*
                  0.9,
        3
)
)
)</f>
        <v/>
      </c>
      <c r="CL5" s="288" t="str">
        <f>IF(Tbl_50_Pile_Type_Design[[#This Row],[H3]]=0,"",IF(INDIRECT("Tbl_50_Pile_Type_Design[@Shape]")="SQ",INDEX(INDIRECT("Tbl_803_SQ_Helix_Capacities["&amp;Tbl_50_Pile_Type_Design[[#This Row],[H3]]&amp;"]"),MATCH(INDIRECT("Tbl_50_Pile_Type_Design[@Diameter]"),INDIRECT("Tbl_803_SQ_Helix_Capacities[Diameter]"),0)),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Row],[H3]]-INDIRECT("Tbl_50_Pile_Type_Design[@Diameter]"))/2,
                  2
                  )
                  ),
                  3
                  )*ROUNDUP(
                  (
                  PI()*(
                  POWER(Tbl_50_Pile_Type_Design[[#This Row],[H3]],2)-POWER(INDIRECT("Tbl_50_Pile_Type_Design[@Diameter]"),2)
                  )/4
                  ),3
                  ),3
                  )*
                  1.67*
                  0.9,
        3
)
)
)</f>
        <v/>
      </c>
      <c r="CM5" s="288" t="str">
        <f>IF(Tbl_50_Pile_Type_Design[[#This Row],[H4]]=0,"",IF(INDIRECT("Tbl_50_Pile_Type_Design[@Shape]")="SQ",INDEX(INDIRECT("Tbl_803_SQ_Helix_Capacities["&amp;Tbl_50_Pile_Type_Design[[#This Row],[H4]]&amp;"]"),MATCH(INDIRECT("Tbl_50_Pile_Type_Design[@Diameter]"),INDIRECT("Tbl_803_SQ_Helix_Capacities[Diameter]"),0)),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Row],[H4]]-INDIRECT("Tbl_50_Pile_Type_Design[@Diameter]"))/2,
                  2
                  )
                  ),
                  3
                  )*ROUNDUP(
                  (
                  PI()*(
                  POWER(Tbl_50_Pile_Type_Design[[#This Row],[H4]],2)-POWER(INDIRECT("Tbl_50_Pile_Type_Design[@Diameter]"),2)
                  )/4
                  ),3
                  ),3
                  )*
                  1.67*
                  0.9,
        3
)
)
)</f>
        <v/>
      </c>
      <c r="CN5" s="288" t="str">
        <f>IF(Tbl_50_Pile_Type_Design[[#This Row],[H5]]=0,"",IF(INDIRECT("Tbl_50_Pile_Type_Design[@Shape]")="SQ",INDEX(INDIRECT("Tbl_803_SQ_Helix_Capacities["&amp;Tbl_50_Pile_Type_Design[[#This Row],[H5]]&amp;"]"),MATCH(INDIRECT("Tbl_50_Pile_Type_Design[@Diameter]"),INDIRECT("Tbl_803_SQ_Helix_Capacities[Diameter]"),0)),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Row],[H5]]-INDIRECT("Tbl_50_Pile_Type_Design[@Diameter]"))/2,
                  2
                  )
                  ),
                  3
                  )*ROUNDUP(
                  (
                  PI()*(
                  POWER(Tbl_50_Pile_Type_Design[[#This Row],[H5]],2)-POWER(INDIRECT("Tbl_50_Pile_Type_Design[@Diameter]"),2)
                  )/4
                  ),3
                  ),3
                  )*
                  1.67*
                  0.9,
        3
)
)
)</f>
        <v/>
      </c>
      <c r="CO5" s="289" t="str">
        <f>IF(Tbl_50_Pile_Type_Design[[#This Row],[H6]]=0,"",IF(INDIRECT("Tbl_50_Pile_Type_Design[@Shape]")="SQ",INDEX(INDIRECT("Tbl_803_SQ_Helix_Capacities["&amp;Tbl_50_Pile_Type_Design[[#This Row],[H6]]&amp;"]"),MATCH(INDIRECT("Tbl_50_Pile_Type_Design[@Diameter]"),INDIRECT("Tbl_803_SQ_Helix_Capacities[Diameter]"),0)),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Row],[H6]]-INDIRECT("Tbl_50_Pile_Type_Design[@Diameter]"))/2,
                  2
                  )
                  ),
                  3
                  )*ROUNDUP(
                  (
                  PI()*(
                  POWER(Tbl_50_Pile_Type_Design[[#This Row],[H6]],2)-POWER(INDIRECT("Tbl_50_Pile_Type_Design[@Diameter]"),2)
                  )/4
                  ),3
                  ),3
                  )*
                  1.67*
                  0.9,
        3
)
)
)</f>
        <v/>
      </c>
      <c r="CP5" s="145"/>
      <c r="CQ5" s="167">
        <f>Tbl_50_Pile_Type_Design[[#This Row],[Qult Tip of Pile]]*ROUND((CONVERT(Tbl_50_Pile_Type_Design[[#This Row],[Area Tip of Pile]],"in^2","ft^2")),2)</f>
        <v>0</v>
      </c>
      <c r="CR5" s="168" t="str">
        <f xml:space="preserve">
IF(Tbl_50_Pile_Type_Design[[#This Row],[H1]]=0,
   "",
Tbl_50_Pile_Type_Design[[#This Row],[Qult H1]]*ROUND((CONVERT(Tbl_50_Pile_Type_Design[[#This Row],[Area H1]],"in^2","ft^2")),2)
)</f>
        <v/>
      </c>
      <c r="CS5" s="168" t="str">
        <f xml:space="preserve">
IF(Tbl_50_Pile_Type_Design[[#This Row],[H2]]=0,
   "",
Tbl_50_Pile_Type_Design[[#This Row],[Qult H2]]*ROUND((CONVERT(Tbl_50_Pile_Type_Design[[#This Row],[Area H2]],"in^2","ft^2")),2)
)</f>
        <v/>
      </c>
      <c r="CT5" s="168" t="str">
        <f xml:space="preserve">
IF(Tbl_50_Pile_Type_Design[[#This Row],[H3]]=0,
   "",
Tbl_50_Pile_Type_Design[[#This Row],[Qult H3]]*ROUND((CONVERT(Tbl_50_Pile_Type_Design[[#This Row],[Area H3]],"in^2","ft^2")),2)
)</f>
        <v/>
      </c>
      <c r="CU5" s="168" t="str">
        <f xml:space="preserve">
IF(Tbl_50_Pile_Type_Design[[#This Row],[H4]]=0,
   "",
Tbl_50_Pile_Type_Design[[#This Row],[Qult H4]]*ROUND((CONVERT(Tbl_50_Pile_Type_Design[[#This Row],[Area H4]],"in^2","ft^2")),2)
)</f>
        <v/>
      </c>
      <c r="CV5" s="168" t="str">
        <f xml:space="preserve">
IF(Tbl_50_Pile_Type_Design[[#This Row],[H5]]=0,
   "",
Tbl_50_Pile_Type_Design[[#This Row],[Qult H5]]*ROUND((CONVERT(Tbl_50_Pile_Type_Design[[#This Row],[Area H5]],"in^2","ft^2")),2)
)</f>
        <v/>
      </c>
      <c r="CW5" s="169" t="str">
        <f xml:space="preserve">
IF(Tbl_50_Pile_Type_Design[[#This Row],[H6]]=0,
   "",
Tbl_50_Pile_Type_Design[[#This Row],[Qult H6]]*ROUND((CONVERT(Tbl_50_Pile_Type_Design[[#This Row],[Area H6]],"in^2","ft^2")),2)
)</f>
        <v/>
      </c>
      <c r="CX5" s="145"/>
      <c r="CY5" s="170" t="str">
        <f>_xlfn.IFS(
Tbl_50_Pile_Type_Design[[#This Row],[H6]] &lt;&gt; 0,
"Helix No. 6 Depth = " &amp;Tbl_50_Pile_Type_Design[[#This Row],[Depth H6]]&amp;" ft"&amp;"
"&amp;"Helix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Row],[H5]] &lt;&gt; 0,
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Row],[H4]] &lt;&gt; 0,
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Row],[H3]] &lt;&gt; 0,
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Row],[H2]] &lt;&gt; 0,
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Row],[H1]] &lt;&gt; 0,
"Helix No. 1 Depth = " &amp;Tbl_50_Pile_Type_Design[[#This Row],[Depth H1]]&amp;" ft"&amp;"
"&amp;"Pile Tip Depth = " &amp;Tbl_50_Pile_Type_Design[[#This Row],[Depth Tip of Pile]]&amp;" ft",
Tbl_50_Pile_Type_Design[[#This Row],[H1]] = 0,
"Please Insert Helices"
)</f>
        <v>Please Insert Helices</v>
      </c>
      <c r="CZ5" s="171" t="str">
        <f>_xlfn.IFS(
Tbl_50_Pile_Type_Design[[#This Row],[H6]] &lt;&gt; 0,
"Helix No. 6 Area = " &amp;ROUND(Tbl_50_Pile_Type_Design[[#This Row],[Area H6]]/144,2)&amp;" ft2"&amp;"
"&amp;"Helix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Row],[H5]] &lt;&gt; 0,
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Row],[H4]] &lt;&gt; 0,
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Row],[H3]] &lt;&gt; 0,
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Row],[H2]] &lt;&gt; 0,
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Row],[H1]] &lt;&gt; 0,
"Helix No. 1 Area = " &amp;ROUND(Tbl_50_Pile_Type_Design[[#This Row],[Area H1]]/144,2)&amp;" ft2"&amp;"
"&amp;"Pile Tip Area = " &amp;ROUND(Tbl_50_Pile_Type_Design[[#This Row],[Area Tip of Pile]]/144,2)&amp;" ft2",
Tbl_50_Pile_Type_Design[[#This Row],[H1]] = 0,
"Please Insert Helices"
)</f>
        <v>Please Insert Helices</v>
      </c>
      <c r="DA5" s="171" t="str">
        <f>_xlfn.IFS(
Tbl_50_Pile_Type_Design[[#This Row],[H6]] &lt;&gt; 0,
"Helix No. 6 Qult = " &amp;TEXT(Tbl_50_Pile_Type_Design[[#This Row],[Qult H6]],"##,#")&amp;" psf"&amp;"
"&amp;"Helix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Row],[H5]] &lt;&gt; 0,
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Row],[H4]] &lt;&gt; 0,
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Row],[H3]] &lt;&gt; 0,
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Row],[H2]] &lt;&gt; 0,
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Row],[H1]] &lt;&gt; 0,
"Helix No. 1 Qult = " &amp;TEXT(Tbl_50_Pile_Type_Design[[#This Row],[Qult H1]],"##,#")&amp;" psf"&amp;"
"&amp;"Pile Tip Qult = " &amp;TEXT(Tbl_50_Pile_Type_Design[[#This Row],[Qult Tip of Pile]],"##,#")&amp;" psf",
Tbl_50_Pile_Type_Design[[#This Row],[H1]] = 0,
"Please Insert Helices"
)</f>
        <v>Please Insert Helices</v>
      </c>
      <c r="DB5" s="172">
        <f>IF(
       Tbl_50_Pile_Type_Design[[#This Row],[Topper]]="YES",
       (
          (PI()*(CONVERT(Tbl_50_Pile_Type_Design[[#This Row],[Topper Diameter]],"in","ft")/2)^2)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)/1000,
        0
       )</f>
        <v>0</v>
      </c>
      <c r="DC5" s="172" t="e">
        <f>_xlfn.IFS(
OR(Tbl_50_Pile_Type_Design[[#This Row],[Shape]] ="SQ",Tbl_50_Pile_Type_Design[[#This Row],[Shape]]=""),0,
Tbl_50_Pile_Type_Design[[#This Row],[Topper]]="YES",
       (
          (PI()*CONVERT(Tbl_50_Pile_Type_Design[[#This Row],[Diameter]],"in","ft"))
          *
         (
           N("We substract the FR of the length of the topper minus fr at depth")
           +
           INDEX(
                  INDIRECT("Tbl_40_"&amp;INDIRECT("Tbl_50_Pile_Type_Design[@[Soil Profile]]")&amp;"[Shaft Adhesion (psf)]"),
                  MATCH(
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Qty]]+Tbl_50_Pile_Type_Design[[#This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  -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
     )/1000,
Tbl_50_Pile_Type_Design[[#This Row],[Topper]]="NO",
       (
          (PI()*CONVERT(Tbl_50_Pile_Type_Design[[#This Row],[Diameter]],"in","ft"))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Qty]]) - ABS(Tbl_50_Pile_Type_Design[[#This Row],[TOPile Max]]),0),
                              INDIRECT("Tbl_40_"&amp;INDIRECT("Tbl_50_Pile_Type_Design[@[Soil Profile]]")&amp;"[Depth (ft)]"),
                              0)
                       )
         )/1000
)</f>
        <v>#N/A</v>
      </c>
      <c r="DD5" s="173" t="str">
        <f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&lt;&gt; 0,
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= 0,
"Please Insert Helices"
)</f>
        <v>Please Insert Helices</v>
      </c>
      <c r="DE5" s="174" t="str">
        <f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Row],[H1]] &lt;&gt; 0,
"Helix No. 1 = " &amp;TEXT(MIN(Tbl_50_Pile_Type_Design[[#This Row],[Capacity H1]],Tbl_50_Pile_Type_Design[[#This Row],[Contribution Load H1]]),"##,#")&amp;" lb",
Tbl_50_Pile_Type_Design[[#This Row],[H1]] = 0,
"Please Insert Helices"
)</f>
        <v>Please Insert Helices</v>
      </c>
      <c r="DF5" s="145"/>
      <c r="DG5" s="160" t="e">
        <f>(
     SUM(
                   Tbl_50_Pile_Type_Design[[#This Row],[Contribution Load Tip of Pile]],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#N/A</v>
      </c>
      <c r="DH5" s="163" t="e">
        <f>(
     SUM(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#N/A</v>
      </c>
      <c r="DI5" s="145"/>
      <c r="DJ5" s="160">
        <f>IFERROR(Tbl_50_Pile_Type_Design[[#This Row],[Contribution Load Tip of Pile]]/1000,0)</f>
        <v>0</v>
      </c>
      <c r="DK5" s="161">
        <f>IFERROR(Tbl_50_Pile_Type_Design[[#This Row],[Contribution Load H1]]/1000,0)</f>
        <v>0</v>
      </c>
      <c r="DL5" s="161">
        <f>IFERROR((LOOKUP(2,1/(Tbl_50_Pile_Type_Design[[#This Row],[Contribution Load H1]:[Contribution Load H6]]&lt;&gt;""),Tbl_50_Pile_Type_Design[[#This Row],[Contribution Load H1]:[Contribution Load H6]]))/1000,0)</f>
        <v>0</v>
      </c>
      <c r="DM5" s="161">
        <f xml:space="preserve">
IFERROR(
  CONVERT(
                       N("Calcualte area and convert to ft2")+
                       PI()*
                           (
                                 (
                                       N("Calculate the average from the first helix and the top helix")+
                                             AVERAGE(Tbl_50_Pile_Type_Design[[#This Row],[H1]],(LOOKUP(2,1/(Tbl_50_Pile_Type_Design[[#This Row],[H1]:[H6]]&lt;&gt;0),Tbl_50_Pile_Type_Design[[#This Row],[H1]:[H6]])))
                                 )/2
                            )^2,
                           "in^2",
                           "ft^2"
                      ) *
                     (
                       N("Retrieve the length to calculate the cylinder volume whihc is the substraction between te top helix and the bottom helix") +
                        Tbl_50_Pile_Type_Design[[#This Row],[Depth H1]]-LOOKUP(2,1/(Tbl_50_Pile_Type_Design[[#This Row],[Depth H1]:[Depth H6]]&lt;&gt;""),Tbl_50_Pile_Type_Design[[#This Row],[Depth H1]:[Depth H6]])
                  )*
                  (
                    N("Retrieve and multiply  the skin friction at the average depth (which is rounded) of the cylindrical shear") +
                   INDEX(
                                 INDIRECT("Tbl_40_"&amp;INDIRECT("Tbl_50_Pile_Type_Design[@[Soil Profile]]")&amp;"[Shear Strenght (psf)]"),
                                  ROUND(
                                                       AVERAGE(
                                                                            Tbl_50_Pile_Type_Design[[#This Row],[Depth H1]],
                                                                            LOOKUP(2,1/(Tbl_50_Pile_Type_Design[[#This Row],[Depth H1]:[Depth H6]]&lt;&gt;""),Tbl_50_Pile_Type_Design[[#This Row],[Depth H1]:[Depth H6]])
                                                                           ),
                                                   0
                                                  )
                                )
                    )*
                   (N("Convert to kips multiplying by 0.001")+0.001),
0)</f>
        <v>0</v>
      </c>
      <c r="DN5" s="161">
        <f>IFERROR(
Tbl_50_Pile_Type_Design[[#This Row],[C.S.M. Pile Tip Capacity (kips)]]+Tbl_50_Pile_Type_Design[[#This Row],[C.S.M. Bottom Plate Capacity (kips)]]+Tbl_50_Pile_Type_Design[[#This Row],[Cylindrical Shear (kips)]],
0)</f>
        <v>0</v>
      </c>
      <c r="DO5" s="163">
        <f>IFERROR(
Tbl_50_Pile_Type_Design[[#This Row],[C.S.M. Top Plate Capacity (kips)]]+Tbl_50_Pile_Type_Design[[#This Row],[Cylindrical Shear (kips)]],
0)</f>
        <v>0</v>
      </c>
      <c r="DP5" s="145"/>
      <c r="DQ5" s="175">
        <f>IFERROR(PI()*(LOOKUP(2,1/(Tbl_50_Pile_Type_Design[[#This Row],[Depth H1]:[Depth H6]]&lt;&gt;""),Tbl_50_Pile_Type_Design[[#This Row],[Depth H1]:[Depth H6]]))^3/3,0)</f>
        <v>0</v>
      </c>
      <c r="DR5" s="176">
        <f>IFERROR(INDEX(INDIRECT("Tbl_40_"&amp;Tbl_50_Pile_Type_Design[[#This Row],[Soil Profile]]&amp;"[Unit_Weight_(pcf)]"),LOOKUP(2,1/(Tbl_50_Pile_Type_Design[[#This Row],[Depth H1]:[Depth H6]]&lt;&gt;""),Tbl_50_Pile_Type_Design[[#This Row],[Depth H1]:[Depth H6]])),0)</f>
        <v>0</v>
      </c>
      <c r="DS5" s="177">
        <f>IFERROR(Tbl_50_Pile_Type_Design[[#This Row],[Soil Cone Volume (ft3)]]*Tbl_50_Pile_Type_Design[[#This Row],[Soil Cone Unit Weight (pcf)]]/1000,0)</f>
        <v>0</v>
      </c>
      <c r="DT5" s="145"/>
      <c r="DU5" s="178" t="str">
        <f>"Pending"</f>
        <v>Pending</v>
      </c>
      <c r="DV5" s="178" t="str">
        <f>"Pending"</f>
        <v>Pending</v>
      </c>
      <c r="DW5" s="145"/>
      <c r="DX5" s="132">
        <f t="array" ref="DX5">IFERROR(
       INDEX(
         INDIRECT("Tbl_803_Kt[Kt]"),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3</v>
      </c>
      <c r="DY5" s="165">
        <f xml:space="preserve">
IFERROR(
IF(
               Tbl_50_Pile_Type_Design[[#This Row],[Comp]] = 0,
               N("This means that the pile is only designed for tension, then we apply the 0.85 F.S") +
                  (
                     Tbl_50_Pile_Type_Design[[#This Row],[Tension]]*2/Tbl_50_Pile_Type_Design[[#This Row],[Kt (ft-1)]]
                    )/0.85,
              N("We calculate the torque base on compression") +
                 (
                   Tbl_50_Pile_Type_Design[[#This Row],[Comp]]*2/Tbl_50_Pile_Type_Design[[#This Row],[Kt (ft-1)]]
                  )
        ),
0)</f>
        <v>0</v>
      </c>
      <c r="DZ5" s="165">
        <f>IFERROR(
                   IF(
                        Tbl_50_Pile_Type_Design[[#This Row],[Design Torque (ft-kips)]]&lt;2500,
                        2500,
                       _xlfn.CEILING.MATH(Tbl_50_Pile_Type_Design[[#This Row],[Design Torque (ft-kips)]],500)
                         ),
                  )</f>
        <v>2500</v>
      </c>
      <c r="EA5" s="165">
        <f t="array" ref="EA5">IFERROR(
       INDEX(
         INDIRECT("Tbl_803_Kt[Max Torque]"),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118000</v>
      </c>
      <c r="EB5" s="145"/>
      <c r="EC5" s="179" t="str">
        <f>IFERROR(
                IF( Tbl_50_Pile_Type_Design[[#This Row],[Topper]]="Yes",
                      "Topper "&amp;
                       Tbl_50_Pile_Type_Design[[#This Row],[Topper Diameter]]&amp;CHAR(34)&amp;IF(Tbl_50_Pile_Type_Design[[#This Row],[Topper Th]]="0.000","","x"&amp;Tbl_50_Pile_Type_Design[[#This Row],[Topper Th]]&amp;CHAR(34))&amp;" x "&amp;
                       TEXT(Tbl_50_Pile_Type_Design[[#This Row],[Topper Length]]*Tbl_50_Pile_Type_Design[[#This Row],[Topper Qty]],"00")&amp;CHAR(39)&amp;" / "&amp;
                       "Shaft " &amp;
                        TEXT( Tbl_50_Pile_Type_Design[[#This Row],[Diameter]],"00.00") &amp; CHAR(34)&amp;IF(Tbl_50_Pile_Type_Design[[#This Row],[Diameter Th]]="0.000","","x"&amp;Tbl_50_Pile_Type_Design[[#This Row],[Diameter Th]]&amp;CHAR(34))&amp;" x "&amp;
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 &amp;
                        "Part Config" &amp;"("&amp;Tbl_50_Pile_Type_Design[[#This Row],[Lead Section Length]] &amp;")("&amp;Tbl_50_Pile_Type_Design[[#This Row],[EX1 Length]]&amp;"-"&amp;Tbl_50_Pile_Type_Design[[#This Row],[EX1 Qty]]&amp;")("&amp;Tbl_50_Pile_Type_Design[[#This Row],[EX2 Length]]&amp;"-"&amp;Tbl_50_Pile_Type_Design[[#This Row],[EX2 Qty]]&amp;")",
                        "Shaft " &amp;
                      TEXT( Tbl_50_Pile_Type_Design[[#This Row],[Diameter]],"00.00") &amp; CHAR(34)&amp;IF(Tbl_50_Pile_Type_Design[[#This Row],[Diameter Th]]="0.000","","x"&amp;Tbl_50_Pile_Type_Design[[#This Row],[Diameter Th]]&amp;CHAR(34))&amp;" x "&amp;
 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Th]]&amp;
                        "Part Config" &amp;"("&amp;Tbl_50_Pile_Type_Design[[#This Row],[Lead Section Length]] &amp;")(" &amp;Tbl_50_Pile_Type_Design[[#This Row],[EX1 Length]]&amp;"-"&amp;Tbl_50_Pile_Type_Design[[#This Row],[EX1 Qty]]&amp;")("&amp;Tbl_50_Pile_Type_Design[[#This Row],[EX2 Length]]&amp;"-"&amp;Tbl_50_Pile_Type_Design[[#This Row],[EX2 Qty]]&amp;")"
                   ),"")</f>
        <v/>
      </c>
    </row>
    <row r="6" spans="1:133" x14ac:dyDescent="0.3">
      <c r="C6" s="13"/>
      <c r="D6" s="110"/>
      <c r="E6" s="110"/>
      <c r="F6" s="111"/>
      <c r="G6" s="111"/>
      <c r="H6" s="111"/>
      <c r="I6" s="111"/>
      <c r="J6" s="111"/>
      <c r="AX6" s="112"/>
    </row>
    <row r="7" spans="1:133" x14ac:dyDescent="0.3">
      <c r="C7" s="13"/>
      <c r="D7" s="14"/>
      <c r="E7" s="14"/>
      <c r="F7" s="14"/>
      <c r="G7" s="14"/>
      <c r="H7" s="14"/>
      <c r="I7" s="14"/>
      <c r="J7" s="14"/>
    </row>
    <row r="8" spans="1:133" x14ac:dyDescent="0.3">
      <c r="C8" s="13"/>
      <c r="D8" s="14"/>
      <c r="E8" s="14"/>
      <c r="F8" s="14"/>
      <c r="G8" s="14"/>
      <c r="H8" s="14"/>
      <c r="I8" s="14"/>
      <c r="J8" s="14"/>
    </row>
    <row r="9" spans="1:133" x14ac:dyDescent="0.3">
      <c r="C9" s="13"/>
      <c r="D9" s="14"/>
      <c r="E9" s="14"/>
      <c r="F9" s="14"/>
      <c r="G9" s="14"/>
      <c r="H9" s="14"/>
      <c r="I9" s="14"/>
      <c r="J9" s="14"/>
    </row>
    <row r="10" spans="1:133" x14ac:dyDescent="0.3">
      <c r="C10" s="13"/>
      <c r="D10" s="14"/>
      <c r="E10" s="14"/>
      <c r="F10" s="14"/>
      <c r="G10" s="14"/>
      <c r="H10" s="14"/>
      <c r="I10" s="14"/>
      <c r="J10" s="14"/>
      <c r="X10" s="113"/>
    </row>
    <row r="11" spans="1:133" x14ac:dyDescent="0.3">
      <c r="C11" s="13"/>
      <c r="D11" s="14"/>
      <c r="E11" s="14"/>
      <c r="F11" s="14"/>
      <c r="G11" s="14"/>
      <c r="H11" s="14"/>
      <c r="I11" s="14"/>
      <c r="J11" s="14"/>
    </row>
    <row r="12" spans="1:133" x14ac:dyDescent="0.3">
      <c r="C12" s="13"/>
      <c r="D12" s="14"/>
      <c r="E12" s="14"/>
      <c r="F12" s="14"/>
      <c r="G12" s="14"/>
      <c r="H12" s="14"/>
      <c r="I12" s="14"/>
      <c r="J12" s="14"/>
    </row>
    <row r="13" spans="1:133" x14ac:dyDescent="0.3">
      <c r="C13" s="13"/>
      <c r="D13" s="14"/>
      <c r="E13" s="14"/>
      <c r="F13" s="14"/>
      <c r="G13" s="14"/>
      <c r="H13" s="14"/>
      <c r="I13" s="14"/>
      <c r="J13" s="14"/>
      <c r="X13" s="113"/>
    </row>
    <row r="14" spans="1:133" x14ac:dyDescent="0.3">
      <c r="C14" s="13"/>
      <c r="D14" s="14"/>
      <c r="E14" s="14"/>
      <c r="F14" s="14"/>
      <c r="G14" s="14"/>
      <c r="H14" s="14"/>
      <c r="I14" s="14"/>
      <c r="J14" s="14"/>
    </row>
    <row r="15" spans="1:133" x14ac:dyDescent="0.3">
      <c r="C15" s="13"/>
      <c r="D15" s="14"/>
      <c r="E15" s="14"/>
      <c r="F15" s="14"/>
      <c r="G15" s="14"/>
      <c r="H15" s="14"/>
      <c r="I15" s="14"/>
      <c r="J15" s="14"/>
    </row>
    <row r="16" spans="1:133" x14ac:dyDescent="0.3">
      <c r="C16" s="13"/>
      <c r="D16" s="14"/>
      <c r="E16" s="14"/>
      <c r="F16" s="14"/>
      <c r="G16" s="14"/>
      <c r="H16" s="14"/>
      <c r="I16" s="14"/>
      <c r="J16" s="14"/>
    </row>
  </sheetData>
  <sheetProtection formatColumns="0" formatRows="0" insertRows="0" selectLockedCells="1"/>
  <mergeCells count="19">
    <mergeCell ref="K3:L3"/>
    <mergeCell ref="N3:O3"/>
    <mergeCell ref="DJ3:DO3"/>
    <mergeCell ref="F3:I3"/>
    <mergeCell ref="CJ3:CO3"/>
    <mergeCell ref="DQ3:DS3"/>
    <mergeCell ref="CY3:DH3"/>
    <mergeCell ref="S3:U3"/>
    <mergeCell ref="W3:AA3"/>
    <mergeCell ref="AO3:AP3"/>
    <mergeCell ref="AQ3:AR3"/>
    <mergeCell ref="BB3:BC3"/>
    <mergeCell ref="AC3:AM3"/>
    <mergeCell ref="CQ3:CW3"/>
    <mergeCell ref="BE3:BK3"/>
    <mergeCell ref="BM3:BS3"/>
    <mergeCell ref="BU3:BV3"/>
    <mergeCell ref="BX3:BY3"/>
    <mergeCell ref="CA3:CH3"/>
  </mergeCells>
  <dataValidations count="4">
    <dataValidation type="list" allowBlank="1" showInputMessage="1" showErrorMessage="1" sqref="D5" xr:uid="{B71AE96C-506C-4BA2-8E01-7E127483B611}">
      <formula1>INDIRECT("Tbl_X2_50_Parent_Shaft_Not_Used_DropDown[Parent Shaft Type]")</formula1>
    </dataValidation>
    <dataValidation type="list" allowBlank="1" showInputMessage="1" showErrorMessage="1" sqref="AL5" xr:uid="{03CDAB82-21ED-4A52-8ECB-2FB0F0697649}">
      <mc:AlternateContent xmlns:x12ac="http://schemas.microsoft.com/office/spreadsheetml/2011/1/ac" xmlns:mc="http://schemas.openxmlformats.org/markup-compatibility/2006">
        <mc:Choice Requires="x12ac">
          <x12ac:list>Std.,"3/4"""</x12ac:list>
        </mc:Choice>
        <mc:Fallback>
          <formula1>"Std.,3/4"""</formula1>
        </mc:Fallback>
      </mc:AlternateContent>
    </dataValidation>
    <dataValidation type="list" allowBlank="1" showInputMessage="1" showErrorMessage="1" sqref="AT5" xr:uid="{4827EB6D-12E9-4E9F-9B2D-4C034EC43400}">
      <formula1>"B,F,H,Z"</formula1>
    </dataValidation>
    <dataValidation type="list" allowBlank="1" showInputMessage="1" showErrorMessage="1" sqref="E5" xr:uid="{A9DE2BF0-AF7B-40F0-8129-8C1171F692DC}">
      <formula1>INDIRECT("Tbl_X2_30_Parent_Child_Shaft["&amp;D5&amp;"]")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88" id="{D385FE01-40A6-4D3A-BAD3-138DBA48489F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K5</xm:sqref>
        </x14:conditionalFormatting>
        <x14:conditionalFormatting xmlns:xm="http://schemas.microsoft.com/office/excel/2006/main">
          <x14:cfRule type="iconSet" priority="389" id="{52D2501E-025F-4B80-B125-FE310A8E69E6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L5</xm:sqref>
        </x14:conditionalFormatting>
        <x14:conditionalFormatting xmlns:xm="http://schemas.microsoft.com/office/excel/2006/main">
          <x14:cfRule type="iconSet" priority="390" id="{792ADE7B-B3C9-44C7-81A0-077AC99565F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N5</xm:sqref>
        </x14:conditionalFormatting>
        <x14:conditionalFormatting xmlns:xm="http://schemas.microsoft.com/office/excel/2006/main">
          <x14:cfRule type="iconSet" priority="391" id="{AF54CF61-5C6C-40B9-8432-9CE770262E3A}">
            <x14:iconSet iconSet="3Symbols2" custom="1">
              <x14:cfvo type="percent">
                <xm:f>0</xm:f>
              </x14:cfvo>
              <x14:cfvo type="formula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Q5</xm:sqref>
        </x14:conditionalFormatting>
        <x14:conditionalFormatting xmlns:xm="http://schemas.microsoft.com/office/excel/2006/main">
          <x14:cfRule type="iconSet" priority="392" id="{70BCA3E6-6EEF-4BF8-B042-59A014004FE9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O5</xm:sqref>
        </x14:conditionalFormatting>
        <x14:conditionalFormatting xmlns:xm="http://schemas.microsoft.com/office/excel/2006/main">
          <x14:cfRule type="iconSet" priority="393" id="{481D88B1-2B9E-4096-BC9C-B5AFC1E3F7A2}">
            <x14:iconSet iconSet="3Symbols2" custom="1">
              <x14:cfvo type="percent">
                <xm:f>0</xm:f>
              </x14:cfvo>
              <x14:cfvo type="num" gte="0">
                <xm:f>0.93</xm:f>
              </x14:cfvo>
              <x14:cfvo type="num" gte="0">
                <xm:f>1</xm:f>
              </x14:cfvo>
              <x14:cfIcon iconSet="3Symbols" iconId="2"/>
              <x14:cfIcon iconSet="3Symbols" iconId="1"/>
              <x14:cfIcon iconSet="3Symbols" iconId="0"/>
            </x14:iconSet>
          </x14:cfRule>
          <xm:sqref>U5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DEC01-CAB1-450A-B0CA-B832C9078519}">
  <sheetPr codeName="Sheet_060"/>
  <dimension ref="A1:U58"/>
  <sheetViews>
    <sheetView showGridLines="0" zoomScale="80" zoomScaleNormal="80" workbookViewId="0"/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4" width="4.85546875" style="6" customWidth="1"/>
    <col min="5" max="5" width="33" style="6" bestFit="1" customWidth="1"/>
    <col min="6" max="6" width="16.28515625" style="6" customWidth="1"/>
    <col min="7" max="7" width="23.5703125" style="6" customWidth="1"/>
    <col min="8" max="8" width="5.28515625" style="6" customWidth="1"/>
    <col min="9" max="9" width="9.140625" style="6"/>
    <col min="10" max="10" width="3" style="6" customWidth="1"/>
    <col min="11" max="11" width="16.140625" style="6" customWidth="1"/>
    <col min="12" max="12" width="13.28515625" style="6" customWidth="1"/>
    <col min="13" max="13" width="26.7109375" style="6" customWidth="1"/>
    <col min="14" max="14" width="12.85546875" style="6" bestFit="1" customWidth="1"/>
    <col min="15" max="15" width="17.140625" style="6" customWidth="1"/>
    <col min="16" max="16" width="20.42578125" style="6" customWidth="1"/>
    <col min="17" max="17" width="14.85546875" style="6" customWidth="1"/>
    <col min="18" max="18" width="23.140625" style="6" customWidth="1"/>
    <col min="19" max="19" width="27.7109375" style="6" customWidth="1"/>
    <col min="20" max="20" width="21.28515625" style="6" customWidth="1"/>
    <col min="21" max="21" width="16.140625" style="6" customWidth="1"/>
    <col min="22" max="16384" width="9.140625" style="6"/>
  </cols>
  <sheetData>
    <row r="1" spans="1:21" s="8" customFormat="1" ht="129" customHeight="1" thickBot="1" x14ac:dyDescent="0.35">
      <c r="A1" s="7"/>
    </row>
    <row r="2" spans="1:21" ht="18.75" thickTop="1" thickBot="1" x14ac:dyDescent="0.35"/>
    <row r="3" spans="1:21" ht="34.5" customHeight="1" x14ac:dyDescent="0.3">
      <c r="C3" s="46"/>
      <c r="D3" s="47"/>
      <c r="E3" s="327" t="s">
        <v>451</v>
      </c>
      <c r="F3" s="328"/>
      <c r="G3" s="328"/>
      <c r="H3" s="47"/>
      <c r="I3" s="48"/>
      <c r="K3" s="12" t="s">
        <v>15</v>
      </c>
      <c r="L3" s="12" t="s">
        <v>16</v>
      </c>
      <c r="M3" s="215" t="s">
        <v>14</v>
      </c>
      <c r="N3" s="23" t="s">
        <v>444</v>
      </c>
      <c r="O3" s="23" t="s">
        <v>445</v>
      </c>
      <c r="P3" s="23" t="s">
        <v>446</v>
      </c>
      <c r="Q3" s="23" t="s">
        <v>447</v>
      </c>
      <c r="R3" s="24" t="s">
        <v>448</v>
      </c>
      <c r="S3" s="217" t="s">
        <v>459</v>
      </c>
      <c r="T3" s="220" t="s">
        <v>458</v>
      </c>
      <c r="U3" s="12" t="s">
        <v>457</v>
      </c>
    </row>
    <row r="4" spans="1:21" ht="18" thickBot="1" x14ac:dyDescent="0.35">
      <c r="C4" s="49"/>
      <c r="D4" s="204"/>
      <c r="E4" s="329"/>
      <c r="F4" s="329"/>
      <c r="G4" s="329"/>
      <c r="H4" s="205"/>
      <c r="I4" s="50"/>
      <c r="K4" s="12"/>
      <c r="L4" s="12">
        <v>0</v>
      </c>
      <c r="M4" s="215"/>
      <c r="N4" s="23">
        <v>0</v>
      </c>
      <c r="O4" s="23">
        <v>0</v>
      </c>
      <c r="P4" s="23">
        <v>0</v>
      </c>
      <c r="Q4" s="23">
        <v>0</v>
      </c>
      <c r="R4" s="218" t="s">
        <v>463</v>
      </c>
      <c r="S4" s="217"/>
      <c r="T4" s="220"/>
      <c r="U4" s="12"/>
    </row>
    <row r="5" spans="1:21" ht="18" thickTop="1" x14ac:dyDescent="0.3">
      <c r="C5" s="49"/>
      <c r="D5" s="204"/>
      <c r="E5" s="1"/>
      <c r="F5" s="1"/>
      <c r="G5" s="1"/>
      <c r="H5" s="1"/>
      <c r="I5" s="50"/>
    </row>
    <row r="6" spans="1:21" x14ac:dyDescent="0.3">
      <c r="C6" s="49"/>
      <c r="D6" s="204"/>
      <c r="E6" s="51" t="s">
        <v>332</v>
      </c>
      <c r="F6" s="51">
        <f>Soil_Profile!$G$7</f>
        <v>0</v>
      </c>
      <c r="G6" s="52" t="s">
        <v>333</v>
      </c>
      <c r="H6" s="205"/>
      <c r="I6" s="50"/>
    </row>
    <row r="7" spans="1:21" x14ac:dyDescent="0.3">
      <c r="C7" s="49"/>
      <c r="D7" s="204"/>
      <c r="E7" s="51" t="s">
        <v>334</v>
      </c>
      <c r="F7" s="51">
        <f>Project_Home!$D$13</f>
        <v>50</v>
      </c>
      <c r="G7" s="52" t="s">
        <v>335</v>
      </c>
      <c r="H7" s="205"/>
      <c r="I7" s="50"/>
    </row>
    <row r="8" spans="1:21" ht="34.5" x14ac:dyDescent="0.3">
      <c r="C8" s="49"/>
      <c r="D8" s="204"/>
      <c r="E8" s="1"/>
      <c r="F8" s="1"/>
      <c r="G8" s="38"/>
      <c r="H8" s="38"/>
      <c r="I8" s="50"/>
      <c r="M8" s="215" t="s">
        <v>14</v>
      </c>
      <c r="N8" s="12" t="s">
        <v>439</v>
      </c>
      <c r="O8" s="216" t="s">
        <v>344</v>
      </c>
      <c r="P8" s="217" t="s">
        <v>347</v>
      </c>
      <c r="Q8" s="217" t="s">
        <v>449</v>
      </c>
      <c r="R8" s="217" t="s">
        <v>450</v>
      </c>
    </row>
    <row r="9" spans="1:21" x14ac:dyDescent="0.3">
      <c r="C9" s="49"/>
      <c r="D9" s="204"/>
      <c r="E9" s="51" t="s">
        <v>336</v>
      </c>
      <c r="F9" s="51">
        <f>F7*F6</f>
        <v>0</v>
      </c>
      <c r="G9" s="52" t="s">
        <v>337</v>
      </c>
      <c r="H9" s="205"/>
      <c r="I9" s="50"/>
      <c r="M9" s="215"/>
      <c r="N9" s="181" t="str">
        <f>IFERROR(
INDEX(
                Tbl_50_Pile_Type_Design[Plating],
                MATCH(
                               Tbl_60_LPile_Design_Parameters[[#This Row],[Shaft Type]],
                               Tbl_50_Pile_Type_Design[Child Shaft Type],
                               0
                               )
),"")</f>
        <v/>
      </c>
      <c r="O9" s="216" t="str">
        <f>IFERROR(
INDEX(
                Tbl_50_Pile_Type_Design[Diameter],
                MATCH(
                               Tbl_60_LPile_Design_Parameters[[#This Row],[Shaft Type]],
                               Tbl_50_Pile_Type_Design[Child Shaft Type],
                               0
                               )
),
"")</f>
        <v/>
      </c>
      <c r="P9" s="217" t="str">
        <f>IFERROR(
INDEX(
                Tbl_50_Pile_Type_Design[Diameter Th],
                MATCH(
                               Tbl_60_LPile_Design_Parameters[[#This Row],[Shaft Type]],
                               Tbl_50_Pile_Type_Design[Child Shaft Type],
                               0
                               )
),
"")</f>
        <v/>
      </c>
      <c r="Q9" s="217" t="str">
        <f>IFERROR(
 IF(
        OR(
                  Tbl_60_LPile_Design_Parameters[[#This Row],[Nominal Diameter]] = 3,
                 Tbl_60_LPile_Design_Parameters[[#This Row],[Nominal Diameter]]=4
                ),
          "",
          (
               N("Diameter")+
               Tbl_60_LPile_Design_Parameters[[#This Row],[Nominal Diameter]]
          )-
        (
              N("minus the corrosion Loss") +
              IF(
                     Tbl_60_LPile_Design_Parameters[[#This Row],[Coating Type]]="B",
                     0.036,
                     $F$16*2             )
         )
    ),
"")</f>
        <v/>
      </c>
      <c r="R9" s="217" t="str">
        <f xml:space="preserve">  IFERROR(
IF(
        OR(
                  Tbl_60_LPile_Design_Parameters[[#This Row],[Nominal Diameter]] = 3,
                 Tbl_60_LPile_Design_Parameters[[#This Row],[Nominal Diameter]]=4
                ),
          "",
(
      N("Nominal thickness multiplied by Mill Tolerance") +
      Tbl_60_LPile_Design_Parameters[[#This Row],[Nominal Thickness]]*$F$14
  )-
  (
    N("Substract the Total corrosion loss")+
    IF(
           Tbl_60_LPile_Design_Parameters[[#This Row],[Coating Type]]="B",
           0.036,
           ($F$18)
         )
)
),
"")</f>
        <v/>
      </c>
    </row>
    <row r="10" spans="1:21" x14ac:dyDescent="0.3">
      <c r="C10" s="49"/>
      <c r="D10" s="204"/>
      <c r="E10" s="51" t="s">
        <v>338</v>
      </c>
      <c r="F10" s="51">
        <v>654.29999999999995</v>
      </c>
      <c r="G10" s="52" t="s">
        <v>339</v>
      </c>
      <c r="H10" s="205"/>
      <c r="I10" s="50"/>
    </row>
    <row r="11" spans="1:21" x14ac:dyDescent="0.3">
      <c r="C11" s="49"/>
      <c r="D11" s="204"/>
      <c r="E11" s="1"/>
      <c r="F11" s="1"/>
      <c r="G11" s="38"/>
      <c r="H11" s="38"/>
      <c r="I11" s="50"/>
    </row>
    <row r="12" spans="1:21" x14ac:dyDescent="0.3">
      <c r="C12" s="49"/>
      <c r="D12" s="204"/>
      <c r="E12" s="51" t="s">
        <v>501</v>
      </c>
      <c r="F12" s="53">
        <v>0.6</v>
      </c>
      <c r="G12" s="73" t="s">
        <v>340</v>
      </c>
      <c r="H12" s="73"/>
      <c r="I12" s="50"/>
    </row>
    <row r="13" spans="1:21" x14ac:dyDescent="0.3">
      <c r="C13" s="49"/>
      <c r="D13" s="204"/>
      <c r="E13" s="51" t="s">
        <v>502</v>
      </c>
      <c r="F13" s="54">
        <v>2</v>
      </c>
      <c r="G13" s="1"/>
      <c r="H13" s="1"/>
      <c r="I13" s="50"/>
    </row>
    <row r="14" spans="1:21" x14ac:dyDescent="0.3">
      <c r="C14" s="49"/>
      <c r="D14" s="204"/>
      <c r="E14" s="51" t="s">
        <v>348</v>
      </c>
      <c r="F14" s="53">
        <v>0.93</v>
      </c>
      <c r="G14" s="1"/>
      <c r="H14" s="1"/>
      <c r="I14" s="50"/>
    </row>
    <row r="15" spans="1:21" x14ac:dyDescent="0.3">
      <c r="C15" s="49"/>
      <c r="D15" s="204"/>
      <c r="E15" s="1"/>
      <c r="F15" s="1"/>
      <c r="G15" s="1"/>
      <c r="H15" s="1"/>
      <c r="I15" s="50"/>
    </row>
    <row r="16" spans="1:21" x14ac:dyDescent="0.3">
      <c r="C16" s="49"/>
      <c r="D16" s="204"/>
      <c r="E16" s="51" t="s">
        <v>341</v>
      </c>
      <c r="F16" s="55">
        <f>IF(F6=0,0.0065,ROUND(F9/F10,3)*F12)</f>
        <v>6.4999999999999997E-3</v>
      </c>
      <c r="G16" s="52" t="s">
        <v>342</v>
      </c>
      <c r="H16" s="205"/>
      <c r="I16" s="50"/>
    </row>
    <row r="17" spans="3:9" x14ac:dyDescent="0.3">
      <c r="C17" s="49"/>
      <c r="D17" s="204"/>
      <c r="E17" s="51" t="s">
        <v>343</v>
      </c>
      <c r="F17" s="55">
        <f>IF(F6=0,0.0065,ROUND(F16/F13,3))</f>
        <v>6.4999999999999997E-3</v>
      </c>
      <c r="G17" s="52" t="s">
        <v>342</v>
      </c>
      <c r="H17" s="205"/>
      <c r="I17" s="50"/>
    </row>
    <row r="18" spans="3:9" x14ac:dyDescent="0.3">
      <c r="C18" s="49"/>
      <c r="D18" s="204"/>
      <c r="E18" s="51" t="s">
        <v>362</v>
      </c>
      <c r="F18" s="55">
        <f>ROUND(F16+F17,3)</f>
        <v>1.2999999999999999E-2</v>
      </c>
      <c r="G18" s="52" t="s">
        <v>342</v>
      </c>
      <c r="H18" s="205"/>
      <c r="I18" s="50"/>
    </row>
    <row r="19" spans="3:9" ht="18" thickBot="1" x14ac:dyDescent="0.35">
      <c r="C19" s="49"/>
      <c r="D19" s="204"/>
      <c r="E19" s="204"/>
      <c r="F19" s="207"/>
      <c r="G19" s="205"/>
      <c r="H19" s="205"/>
      <c r="I19" s="50"/>
    </row>
    <row r="20" spans="3:9" x14ac:dyDescent="0.3">
      <c r="C20" s="49"/>
      <c r="D20" s="46"/>
      <c r="E20" s="47"/>
      <c r="F20" s="208"/>
      <c r="G20" s="209"/>
      <c r="H20" s="210"/>
      <c r="I20" s="50"/>
    </row>
    <row r="21" spans="3:9" ht="18" thickBot="1" x14ac:dyDescent="0.35">
      <c r="C21" s="49"/>
      <c r="D21" s="49"/>
      <c r="E21" s="56" t="str">
        <f>"For Square Sections: for "&amp;TEXT(F27,"00.00")&amp;"'' x "&amp;F31&amp;"''"</f>
        <v>For Square Sections: for 04.00'' x 0.25''</v>
      </c>
      <c r="F21" s="207"/>
      <c r="G21" s="205"/>
      <c r="H21" s="211"/>
      <c r="I21" s="50"/>
    </row>
    <row r="22" spans="3:9" ht="18" thickTop="1" x14ac:dyDescent="0.3">
      <c r="C22" s="49"/>
      <c r="D22" s="49"/>
      <c r="E22" s="204"/>
      <c r="F22" s="207"/>
      <c r="G22" s="205"/>
      <c r="H22" s="211"/>
      <c r="I22" s="50"/>
    </row>
    <row r="23" spans="3:9" x14ac:dyDescent="0.3">
      <c r="C23" s="49"/>
      <c r="D23" s="49"/>
      <c r="E23" s="51" t="s">
        <v>439</v>
      </c>
      <c r="F23" s="214" t="s">
        <v>440</v>
      </c>
      <c r="G23" s="205"/>
      <c r="H23" s="211"/>
      <c r="I23" s="50"/>
    </row>
    <row r="24" spans="3:9" x14ac:dyDescent="0.3">
      <c r="C24" s="49"/>
      <c r="D24" s="49"/>
      <c r="E24" s="204"/>
      <c r="F24" s="207"/>
      <c r="G24" s="205"/>
      <c r="H24" s="211"/>
      <c r="I24" s="50"/>
    </row>
    <row r="25" spans="3:9" ht="42.75" customHeight="1" x14ac:dyDescent="0.3">
      <c r="C25" s="49"/>
      <c r="D25" s="49"/>
      <c r="E25" s="57" t="s">
        <v>441</v>
      </c>
      <c r="F25" s="58">
        <f>IF(F23="B",0.036,0)</f>
        <v>3.5999999999999997E-2</v>
      </c>
      <c r="G25" s="59" t="s">
        <v>342</v>
      </c>
      <c r="H25" s="212"/>
      <c r="I25" s="50"/>
    </row>
    <row r="26" spans="3:9" x14ac:dyDescent="0.3">
      <c r="C26" s="49"/>
      <c r="D26" s="49"/>
      <c r="E26" s="204"/>
      <c r="F26" s="207"/>
      <c r="G26" s="205"/>
      <c r="H26" s="211"/>
      <c r="I26" s="50"/>
    </row>
    <row r="27" spans="3:9" x14ac:dyDescent="0.3">
      <c r="C27" s="49"/>
      <c r="D27" s="49"/>
      <c r="E27" s="51" t="s">
        <v>357</v>
      </c>
      <c r="F27" s="60">
        <v>4</v>
      </c>
      <c r="G27" s="51" t="s">
        <v>342</v>
      </c>
      <c r="H27" s="50"/>
      <c r="I27" s="50"/>
    </row>
    <row r="28" spans="3:9" x14ac:dyDescent="0.3">
      <c r="C28" s="49"/>
      <c r="D28" s="49"/>
      <c r="E28" s="51" t="s">
        <v>358</v>
      </c>
      <c r="F28" s="61">
        <f>F27-$F$25</f>
        <v>3.964</v>
      </c>
      <c r="G28" s="51" t="s">
        <v>342</v>
      </c>
      <c r="H28" s="50"/>
      <c r="I28" s="50"/>
    </row>
    <row r="29" spans="3:9" x14ac:dyDescent="0.3">
      <c r="C29" s="49"/>
      <c r="D29" s="49"/>
      <c r="E29" s="51" t="s">
        <v>359</v>
      </c>
      <c r="F29" s="62">
        <f>F28^2</f>
        <v>15.713296</v>
      </c>
      <c r="G29" s="51" t="s">
        <v>353</v>
      </c>
      <c r="H29" s="50"/>
      <c r="I29" s="50"/>
    </row>
    <row r="30" spans="3:9" ht="9.75" customHeight="1" x14ac:dyDescent="0.3">
      <c r="C30" s="49"/>
      <c r="D30" s="49"/>
      <c r="E30" s="206"/>
      <c r="F30" s="206"/>
      <c r="G30" s="206"/>
      <c r="H30" s="213"/>
      <c r="I30" s="50"/>
    </row>
    <row r="31" spans="3:9" x14ac:dyDescent="0.3">
      <c r="C31" s="49"/>
      <c r="D31" s="49"/>
      <c r="E31" s="51" t="s">
        <v>354</v>
      </c>
      <c r="F31" s="63">
        <v>0.25</v>
      </c>
      <c r="G31" s="51" t="s">
        <v>342</v>
      </c>
      <c r="H31" s="50"/>
      <c r="I31" s="50"/>
    </row>
    <row r="32" spans="3:9" x14ac:dyDescent="0.3">
      <c r="C32" s="49"/>
      <c r="D32" s="49"/>
      <c r="E32" s="51" t="s">
        <v>360</v>
      </c>
      <c r="F32" s="180">
        <f>(F31*F14)-F25</f>
        <v>0.19650000000000001</v>
      </c>
      <c r="G32" s="51"/>
      <c r="H32" s="50"/>
      <c r="I32" s="50"/>
    </row>
    <row r="33" spans="3:9" ht="11.25" customHeight="1" x14ac:dyDescent="0.3">
      <c r="C33" s="49"/>
      <c r="D33" s="49"/>
      <c r="E33" s="206"/>
      <c r="F33" s="206"/>
      <c r="G33" s="206"/>
      <c r="H33" s="213"/>
      <c r="I33" s="50"/>
    </row>
    <row r="34" spans="3:9" x14ac:dyDescent="0.3">
      <c r="C34" s="49"/>
      <c r="D34" s="49"/>
      <c r="E34" s="51" t="s">
        <v>356</v>
      </c>
      <c r="F34" s="62">
        <f>F27-(2*F32)+F25</f>
        <v>3.6430000000000002</v>
      </c>
      <c r="G34" s="51" t="s">
        <v>342</v>
      </c>
      <c r="H34" s="50"/>
      <c r="I34" s="50"/>
    </row>
    <row r="35" spans="3:9" x14ac:dyDescent="0.3">
      <c r="C35" s="49"/>
      <c r="D35" s="49"/>
      <c r="E35" s="51" t="s">
        <v>361</v>
      </c>
      <c r="F35" s="64">
        <f>F34^2</f>
        <v>13.271449000000002</v>
      </c>
      <c r="G35" s="51" t="s">
        <v>342</v>
      </c>
      <c r="H35" s="50"/>
      <c r="I35" s="50"/>
    </row>
    <row r="36" spans="3:9" x14ac:dyDescent="0.3">
      <c r="C36" s="49"/>
      <c r="D36" s="49"/>
      <c r="E36" s="206"/>
      <c r="F36" s="206"/>
      <c r="G36" s="206"/>
      <c r="H36" s="50"/>
      <c r="I36" s="50"/>
    </row>
    <row r="37" spans="3:9" x14ac:dyDescent="0.3">
      <c r="C37" s="49"/>
      <c r="D37" s="49"/>
      <c r="E37" s="65" t="s">
        <v>363</v>
      </c>
      <c r="F37" s="66">
        <f>F29-F35</f>
        <v>2.4418469999999974</v>
      </c>
      <c r="G37" s="65" t="s">
        <v>353</v>
      </c>
      <c r="H37" s="50"/>
      <c r="I37" s="50"/>
    </row>
    <row r="38" spans="3:9" x14ac:dyDescent="0.3">
      <c r="C38" s="49"/>
      <c r="D38" s="49"/>
      <c r="E38" s="206"/>
      <c r="F38" s="206"/>
      <c r="G38" s="206"/>
      <c r="H38" s="50"/>
      <c r="I38" s="50"/>
    </row>
    <row r="39" spans="3:9" x14ac:dyDescent="0.3">
      <c r="C39" s="49"/>
      <c r="D39" s="49"/>
      <c r="E39" s="65" t="s">
        <v>364</v>
      </c>
      <c r="F39" s="66">
        <f>((F28^4-F34^4)/12)</f>
        <v>5.8980260520012449</v>
      </c>
      <c r="G39" s="65" t="s">
        <v>355</v>
      </c>
      <c r="H39" s="50"/>
      <c r="I39" s="50"/>
    </row>
    <row r="40" spans="3:9" ht="18" thickBot="1" x14ac:dyDescent="0.35">
      <c r="C40" s="49"/>
      <c r="D40" s="70"/>
      <c r="E40" s="71"/>
      <c r="F40" s="71"/>
      <c r="G40" s="71"/>
      <c r="H40" s="72"/>
      <c r="I40" s="50"/>
    </row>
    <row r="41" spans="3:9" ht="18" thickBot="1" x14ac:dyDescent="0.35">
      <c r="C41" s="49"/>
      <c r="D41" s="204"/>
      <c r="E41" s="1"/>
      <c r="F41" s="1"/>
      <c r="G41" s="1"/>
      <c r="H41" s="204"/>
      <c r="I41" s="50"/>
    </row>
    <row r="42" spans="3:9" x14ac:dyDescent="0.3">
      <c r="C42" s="49"/>
      <c r="D42" s="46"/>
      <c r="E42" s="47"/>
      <c r="F42" s="47"/>
      <c r="G42" s="47"/>
      <c r="H42" s="48"/>
      <c r="I42" s="50"/>
    </row>
    <row r="43" spans="3:9" ht="18" thickBot="1" x14ac:dyDescent="0.35">
      <c r="C43" s="49"/>
      <c r="D43" s="49"/>
      <c r="E43" s="56" t="str">
        <f>"For Round Sections: "&amp;TEXT(F47,"00.00")&amp;"'' x "&amp;F51&amp;"''"</f>
        <v>For Round Sections: 07.00'' x 0.362''</v>
      </c>
      <c r="F43" s="204"/>
      <c r="G43" s="204"/>
      <c r="H43" s="50"/>
      <c r="I43" s="50"/>
    </row>
    <row r="44" spans="3:9" ht="18" thickTop="1" x14ac:dyDescent="0.3">
      <c r="C44" s="49"/>
      <c r="D44" s="49"/>
      <c r="E44" s="204"/>
      <c r="F44" s="204"/>
      <c r="G44" s="204"/>
      <c r="H44" s="50"/>
      <c r="I44" s="50"/>
    </row>
    <row r="45" spans="3:9" x14ac:dyDescent="0.3">
      <c r="C45" s="49"/>
      <c r="D45" s="49"/>
      <c r="E45" s="51" t="s">
        <v>439</v>
      </c>
      <c r="F45" s="214" t="s">
        <v>500</v>
      </c>
      <c r="G45" s="204"/>
      <c r="H45" s="50"/>
      <c r="I45" s="50"/>
    </row>
    <row r="46" spans="3:9" x14ac:dyDescent="0.3">
      <c r="C46" s="49"/>
      <c r="D46" s="49"/>
      <c r="E46" s="204"/>
      <c r="F46" s="204"/>
      <c r="G46" s="204"/>
      <c r="H46" s="50"/>
      <c r="I46" s="50"/>
    </row>
    <row r="47" spans="3:9" x14ac:dyDescent="0.3">
      <c r="C47" s="49"/>
      <c r="D47" s="49"/>
      <c r="E47" s="51" t="s">
        <v>344</v>
      </c>
      <c r="F47" s="60">
        <v>7</v>
      </c>
      <c r="G47" s="51" t="s">
        <v>342</v>
      </c>
      <c r="H47" s="50"/>
      <c r="I47" s="50"/>
    </row>
    <row r="48" spans="3:9" x14ac:dyDescent="0.3">
      <c r="C48" s="49"/>
      <c r="D48" s="49"/>
      <c r="E48" s="51" t="s">
        <v>345</v>
      </c>
      <c r="F48" s="67">
        <f>IF(
        F45="B",
        0.036,
          F16*2
)</f>
        <v>1.2999999999999999E-2</v>
      </c>
      <c r="G48" s="51" t="s">
        <v>342</v>
      </c>
      <c r="H48" s="50"/>
      <c r="I48" s="50"/>
    </row>
    <row r="49" spans="3:9" x14ac:dyDescent="0.3">
      <c r="C49" s="49"/>
      <c r="D49" s="49"/>
      <c r="E49" s="65" t="s">
        <v>346</v>
      </c>
      <c r="F49" s="66">
        <f>F47-F48</f>
        <v>6.9870000000000001</v>
      </c>
      <c r="G49" s="65" t="s">
        <v>342</v>
      </c>
      <c r="H49" s="50"/>
      <c r="I49" s="50"/>
    </row>
    <row r="50" spans="3:9" x14ac:dyDescent="0.3">
      <c r="C50" s="49"/>
      <c r="D50" s="49"/>
      <c r="E50" s="204"/>
      <c r="F50" s="204"/>
      <c r="G50" s="204"/>
      <c r="H50" s="50"/>
      <c r="I50" s="50"/>
    </row>
    <row r="51" spans="3:9" x14ac:dyDescent="0.3">
      <c r="C51" s="49"/>
      <c r="D51" s="49"/>
      <c r="E51" s="51" t="s">
        <v>347</v>
      </c>
      <c r="F51" s="68">
        <v>0.36199999999999999</v>
      </c>
      <c r="G51" s="51" t="s">
        <v>342</v>
      </c>
      <c r="H51" s="50"/>
      <c r="I51" s="50"/>
    </row>
    <row r="52" spans="3:9" x14ac:dyDescent="0.3">
      <c r="C52" s="49"/>
      <c r="D52" s="49"/>
      <c r="E52" s="206"/>
      <c r="F52" s="206"/>
      <c r="G52" s="206"/>
      <c r="H52" s="50"/>
      <c r="I52" s="50"/>
    </row>
    <row r="53" spans="3:9" x14ac:dyDescent="0.3">
      <c r="C53" s="49"/>
      <c r="D53" s="49"/>
      <c r="E53" s="51" t="s">
        <v>349</v>
      </c>
      <c r="F53" s="55">
        <f>F51*F14</f>
        <v>0.33666000000000001</v>
      </c>
      <c r="G53" s="51" t="s">
        <v>342</v>
      </c>
      <c r="H53" s="50"/>
      <c r="I53" s="50"/>
    </row>
    <row r="54" spans="3:9" x14ac:dyDescent="0.3">
      <c r="C54" s="49"/>
      <c r="D54" s="49"/>
      <c r="E54" s="204"/>
      <c r="F54" s="204"/>
      <c r="G54" s="204"/>
      <c r="H54" s="50"/>
      <c r="I54" s="50"/>
    </row>
    <row r="55" spans="3:9" x14ac:dyDescent="0.3">
      <c r="C55" s="49"/>
      <c r="D55" s="49"/>
      <c r="E55" s="51" t="s">
        <v>350</v>
      </c>
      <c r="F55" s="67">
        <f>IF(
         F45="B",
           0.036,
          (F18)
)</f>
        <v>1.2999999999999999E-2</v>
      </c>
      <c r="G55" s="51" t="s">
        <v>342</v>
      </c>
      <c r="H55" s="50"/>
      <c r="I55" s="50"/>
    </row>
    <row r="56" spans="3:9" x14ac:dyDescent="0.3">
      <c r="C56" s="49"/>
      <c r="D56" s="49"/>
      <c r="E56" s="65" t="s">
        <v>351</v>
      </c>
      <c r="F56" s="69">
        <f>F53-F55</f>
        <v>0.32366</v>
      </c>
      <c r="G56" s="65" t="s">
        <v>342</v>
      </c>
      <c r="H56" s="50"/>
      <c r="I56" s="50"/>
    </row>
    <row r="57" spans="3:9" ht="18" thickBot="1" x14ac:dyDescent="0.35">
      <c r="C57" s="49"/>
      <c r="D57" s="70"/>
      <c r="E57" s="71"/>
      <c r="F57" s="71"/>
      <c r="G57" s="71"/>
      <c r="H57" s="72"/>
      <c r="I57" s="50"/>
    </row>
    <row r="58" spans="3:9" ht="18" thickBot="1" x14ac:dyDescent="0.35">
      <c r="C58" s="70"/>
      <c r="D58" s="71"/>
      <c r="E58" s="71"/>
      <c r="F58" s="71"/>
      <c r="G58" s="71"/>
      <c r="H58" s="71"/>
      <c r="I58" s="72"/>
    </row>
  </sheetData>
  <sheetProtection selectLockedCells="1"/>
  <mergeCells count="1">
    <mergeCell ref="E3:G4"/>
  </mergeCells>
  <dataValidations disablePrompts="1" count="2">
    <dataValidation type="list" allowBlank="1" showInputMessage="1" showErrorMessage="1" sqref="F23" xr:uid="{D7E94059-C68D-4D2C-B30C-FD3039218F69}">
      <formula1>"B"</formula1>
    </dataValidation>
    <dataValidation type="list" allowBlank="1" showInputMessage="1" showErrorMessage="1" sqref="F45" xr:uid="{5FBBED86-C490-4306-AD9B-7FE0DBA7133C}">
      <formula1>"B,H"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4F1C6-A3E6-4EFE-8864-FE5CF6CA8C13}">
  <sheetPr codeName="Sheet_070"/>
  <dimension ref="A1:E16"/>
  <sheetViews>
    <sheetView showGridLines="0" zoomScale="80" zoomScaleNormal="80" workbookViewId="0">
      <selection activeCell="D13" sqref="D1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37.85546875" style="6" bestFit="1" customWidth="1"/>
    <col min="4" max="4" width="31.7109375" style="6" customWidth="1"/>
    <col min="5" max="16384" width="9.140625" style="6"/>
  </cols>
  <sheetData>
    <row r="1" spans="1:5" s="8" customFormat="1" ht="129" customHeight="1" thickBot="1" x14ac:dyDescent="0.35">
      <c r="A1" s="7"/>
    </row>
    <row r="2" spans="1:5" ht="18" thickTop="1" x14ac:dyDescent="0.3"/>
    <row r="6" spans="1:5" ht="25.5" x14ac:dyDescent="0.5">
      <c r="C6" s="267" t="s">
        <v>23</v>
      </c>
      <c r="D6" s="267" t="s">
        <v>26</v>
      </c>
      <c r="E6" s="267" t="s">
        <v>142</v>
      </c>
    </row>
    <row r="7" spans="1:5" ht="25.5" x14ac:dyDescent="0.5">
      <c r="C7" s="267" t="s">
        <v>473</v>
      </c>
      <c r="D7" s="267" t="s">
        <v>475</v>
      </c>
      <c r="E7" s="267">
        <v>71</v>
      </c>
    </row>
    <row r="8" spans="1:5" ht="25.5" x14ac:dyDescent="0.5">
      <c r="C8" s="267" t="s">
        <v>474</v>
      </c>
      <c r="D8" s="267" t="s">
        <v>476</v>
      </c>
      <c r="E8" s="267">
        <v>72</v>
      </c>
    </row>
    <row r="9" spans="1:5" ht="25.5" x14ac:dyDescent="0.5">
      <c r="C9" s="267" t="s">
        <v>481</v>
      </c>
      <c r="D9" s="267" t="s">
        <v>477</v>
      </c>
      <c r="E9" s="267">
        <v>73</v>
      </c>
    </row>
    <row r="10" spans="1:5" ht="25.5" x14ac:dyDescent="0.5">
      <c r="C10" s="267" t="s">
        <v>482</v>
      </c>
      <c r="D10" s="267" t="s">
        <v>478</v>
      </c>
      <c r="E10" s="267">
        <v>74</v>
      </c>
    </row>
    <row r="11" spans="1:5" ht="25.5" x14ac:dyDescent="0.5">
      <c r="C11" s="267" t="s">
        <v>483</v>
      </c>
      <c r="D11" s="267" t="s">
        <v>479</v>
      </c>
      <c r="E11" s="267">
        <v>75</v>
      </c>
    </row>
    <row r="12" spans="1:5" ht="25.5" x14ac:dyDescent="0.5">
      <c r="C12" s="267" t="s">
        <v>485</v>
      </c>
      <c r="D12" s="267" t="s">
        <v>486</v>
      </c>
      <c r="E12" s="267">
        <v>76</v>
      </c>
    </row>
    <row r="13" spans="1:5" ht="25.5" x14ac:dyDescent="0.5">
      <c r="C13" s="267" t="s">
        <v>484</v>
      </c>
      <c r="D13" s="267" t="s">
        <v>480</v>
      </c>
      <c r="E13" s="267">
        <v>77</v>
      </c>
    </row>
    <row r="14" spans="1:5" ht="25.5" x14ac:dyDescent="0.5">
      <c r="C14" s="267" t="s">
        <v>487</v>
      </c>
      <c r="D14" s="267"/>
      <c r="E14" s="267"/>
    </row>
    <row r="15" spans="1:5" ht="25.5" x14ac:dyDescent="0.5">
      <c r="C15" s="267" t="s">
        <v>488</v>
      </c>
      <c r="D15" s="267"/>
      <c r="E15" s="267"/>
    </row>
    <row r="16" spans="1:5" ht="25.5" x14ac:dyDescent="0.5">
      <c r="C16" s="267" t="s">
        <v>489</v>
      </c>
      <c r="D16" s="267"/>
      <c r="E16" s="267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C09B-F008-4591-9031-B90070E2C459}">
  <sheetPr codeName="Sheet_071"/>
  <dimension ref="A1:I22"/>
  <sheetViews>
    <sheetView showGridLines="0" zoomScaleNormal="100" workbookViewId="0">
      <selection activeCell="I9" sqref="I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56.5703125" style="6" customWidth="1"/>
    <col min="5" max="7" width="9.140625" style="6"/>
    <col min="8" max="8" width="15" style="6" customWidth="1"/>
    <col min="9" max="9" width="73.5703125" style="6" customWidth="1"/>
    <col min="10" max="16384" width="9.140625" style="6"/>
  </cols>
  <sheetData>
    <row r="1" spans="1:9" s="8" customFormat="1" ht="129" customHeight="1" thickBot="1" x14ac:dyDescent="0.35">
      <c r="A1" s="7"/>
    </row>
    <row r="2" spans="1:9" ht="18" thickTop="1" x14ac:dyDescent="0.3"/>
    <row r="6" spans="1:9" ht="20.25" x14ac:dyDescent="0.35">
      <c r="C6" s="257" t="s">
        <v>491</v>
      </c>
      <c r="I6" s="259"/>
    </row>
    <row r="7" spans="1:9" ht="34.5" x14ac:dyDescent="0.3">
      <c r="C7" s="13">
        <v>1</v>
      </c>
      <c r="D7" s="257" t="s">
        <v>496</v>
      </c>
    </row>
    <row r="8" spans="1:9" ht="34.5" x14ac:dyDescent="0.35">
      <c r="C8" s="13">
        <v>2</v>
      </c>
      <c r="D8" s="257" t="str">
        <f>"Pile loads were provided by "&amp;
Project_Home!D29&amp;
" in drawing number "&amp;
Project_Home!D37&amp;
" , produced by "&amp;
Project_Home!D29&amp;
IF(Project_Home!G29="","","/"&amp;Project_Home!G29&amp;" Engineering Firm")&amp;
" on " &amp;
TEXT(Project_Home!G37,"mmmm dd, yyyy")</f>
        <v>Pile loads were provided by  in drawing number  , produced by  on enero 00, 1900</v>
      </c>
      <c r="H8" s="259" t="s">
        <v>491</v>
      </c>
      <c r="I8" s="260"/>
    </row>
    <row r="9" spans="1:9" ht="41.25" thickBot="1" x14ac:dyDescent="0.35">
      <c r="C9" s="265">
        <v>3</v>
      </c>
      <c r="D9" s="261" t="str">
        <f>"Pile loads were provided by "&amp;Project_Home!D29&amp;" via e-mail on "&amp;TEXT(Project_Home!G37,"mmmm dd, yyyy")</f>
        <v>Pile loads were provided by  via e-mail on enero 00, 1900</v>
      </c>
      <c r="E9" s="262"/>
      <c r="F9" s="262"/>
      <c r="G9" s="262"/>
      <c r="H9" s="263">
        <v>2</v>
      </c>
      <c r="I9" s="264" t="str">
        <f>VLOOKUP(H9,C7:D9,2,FALSE)</f>
        <v>Pile loads were provided by  in drawing number  , produced by  on enero 00, 1900</v>
      </c>
    </row>
    <row r="10" spans="1:9" ht="21" thickTop="1" x14ac:dyDescent="0.3">
      <c r="C10" s="13"/>
      <c r="D10" s="257"/>
      <c r="H10" s="256"/>
      <c r="I10" s="260"/>
    </row>
    <row r="11" spans="1:9" ht="20.25" x14ac:dyDescent="0.3">
      <c r="C11" s="13"/>
      <c r="D11" s="257"/>
      <c r="H11" s="256"/>
      <c r="I11" s="260"/>
    </row>
    <row r="12" spans="1:9" x14ac:dyDescent="0.3">
      <c r="C12" s="257" t="s">
        <v>492</v>
      </c>
    </row>
    <row r="13" spans="1:9" ht="20.25" x14ac:dyDescent="0.3">
      <c r="C13" s="13">
        <v>1</v>
      </c>
      <c r="D13" s="257" t="s">
        <v>498</v>
      </c>
      <c r="H13" s="256" t="s">
        <v>492</v>
      </c>
      <c r="I13" s="260"/>
    </row>
    <row r="14" spans="1:9" ht="40.5" x14ac:dyDescent="0.3">
      <c r="C14" s="13">
        <v>2</v>
      </c>
      <c r="D14" s="257" t="str">
        <f>"Pile spacing was provided by "&amp;
Project_Home!D29&amp;
" in drawing number "&amp;
Project_Home!D39&amp;
" , produced by "&amp;
Project_Home!D29&amp;
IF(Project_Home!G29="","","/"&amp;Project_Home!G29&amp;" Engineering Firm")&amp;
" on " &amp;
TEXT(Project_Home!G39,"mmmm dd, yyyy")</f>
        <v>Pile spacing was provided by  in drawing number  , produced by  on enero 00, 1900</v>
      </c>
      <c r="H14" s="256">
        <v>2</v>
      </c>
      <c r="I14" s="260" t="str">
        <f>VLOOKUP(H14,C13:D15,2,FALSE)</f>
        <v>Pile spacing was provided by  in drawing number  , produced by  on enero 00, 1900</v>
      </c>
    </row>
    <row r="15" spans="1:9" ht="35.25" thickBot="1" x14ac:dyDescent="0.35">
      <c r="C15" s="265">
        <v>3</v>
      </c>
      <c r="D15" s="261" t="str">
        <f>"Pile spacing was provided by "&amp;
Project_Home!D29&amp;
" via e-mail on "&amp;
TEXT(Project_Home!G39,"mmmm dd, yyyy")</f>
        <v>Pile spacing was provided by  via e-mail on enero 00, 1900</v>
      </c>
      <c r="E15" s="262"/>
      <c r="F15" s="262"/>
      <c r="G15" s="262"/>
      <c r="H15" s="263"/>
      <c r="I15" s="264"/>
    </row>
    <row r="16" spans="1:9" ht="21" thickTop="1" x14ac:dyDescent="0.3">
      <c r="C16" s="13"/>
      <c r="D16" s="257"/>
      <c r="H16" s="256"/>
      <c r="I16" s="260"/>
    </row>
    <row r="17" spans="3:9" ht="20.25" x14ac:dyDescent="0.3">
      <c r="C17" s="13"/>
      <c r="D17" s="257"/>
      <c r="H17" s="256"/>
      <c r="I17" s="260"/>
    </row>
    <row r="18" spans="3:9" x14ac:dyDescent="0.3">
      <c r="C18" s="257" t="s">
        <v>493</v>
      </c>
    </row>
    <row r="19" spans="3:9" ht="34.5" x14ac:dyDescent="0.3">
      <c r="C19" s="13">
        <v>1</v>
      </c>
      <c r="D19" s="258" t="s">
        <v>499</v>
      </c>
      <c r="H19" s="256" t="s">
        <v>493</v>
      </c>
      <c r="I19" s="260"/>
    </row>
    <row r="20" spans="3:9" ht="40.5" x14ac:dyDescent="0.3">
      <c r="C20" s="13">
        <v>2</v>
      </c>
      <c r="D20" s="258" t="str">
        <f>"Pile elevations were provided by "&amp;
Project_Home!D29&amp;
" in drawing number "&amp;
Project_Home!D41&amp;
" , produced by "&amp;
Project_Home!D29&amp;
IF(Project_Home!G29="","","/"&amp;Project_Home!G29&amp;" Engineering Firm")&amp;
" on " &amp;
TEXT(Project_Home!G41,"mmmm dd, yyyy")</f>
        <v>Pile elevations were provided by  in drawing number  , produced by  on enero 00, 1900</v>
      </c>
      <c r="H20" s="256">
        <v>2</v>
      </c>
      <c r="I20" s="260" t="str">
        <f>VLOOKUP(H20,C19:D21,2,FALSE)</f>
        <v>Pile elevations were provided by  in drawing number  , produced by  on enero 00, 1900</v>
      </c>
    </row>
    <row r="21" spans="3:9" ht="35.25" thickBot="1" x14ac:dyDescent="0.35">
      <c r="C21" s="265">
        <v>3</v>
      </c>
      <c r="D21" s="266" t="str">
        <f>"Pile elevations were provided by "&amp;Project_Home!D29&amp;" via e-mail on "&amp;TEXT(Project_Home!G37,"mmmm dd, yyyy")</f>
        <v>Pile elevations were provided by  via e-mail on enero 00, 1900</v>
      </c>
      <c r="E21" s="262"/>
      <c r="F21" s="262"/>
      <c r="G21" s="262"/>
      <c r="H21" s="262"/>
      <c r="I21" s="262"/>
    </row>
    <row r="22" spans="3:9" ht="18" thickTop="1" x14ac:dyDescent="0.3"/>
  </sheetData>
  <dataValidations disablePrompts="1" count="3">
    <dataValidation type="list" allowBlank="1" showInputMessage="1" showErrorMessage="1" sqref="H9:H11" xr:uid="{70131274-6D8C-4929-AF68-1063CC3E6AE5}">
      <formula1>$C$7:$C$9</formula1>
    </dataValidation>
    <dataValidation type="list" allowBlank="1" showInputMessage="1" showErrorMessage="1" sqref="H14" xr:uid="{4E6DED08-6862-4E8D-872A-77718EF41206}">
      <formula1>$C$13:$C$15</formula1>
    </dataValidation>
    <dataValidation type="list" allowBlank="1" showInputMessage="1" showErrorMessage="1" sqref="H20" xr:uid="{3B8F3694-D33A-4872-B1DA-A3BB258917B0}">
      <formula1>$C$19:$C$21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8B140-A355-4A6A-A54E-6696B6F77B54}">
  <sheetPr codeName="Sheet_072"/>
  <dimension ref="A1:A2"/>
  <sheetViews>
    <sheetView showGridLines="0" zoomScale="80" zoomScaleNormal="80" workbookViewId="0">
      <selection activeCell="T47" sqref="T47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CE34-3FFB-4DBD-8D9C-1C3C131D3C11}">
  <sheetPr codeName="Sheet_073"/>
  <dimension ref="A1:A2"/>
  <sheetViews>
    <sheetView showGridLines="0" zoomScale="80" zoomScaleNormal="80" workbookViewId="0">
      <selection activeCell="H35" sqref="H35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75AD5-43CE-4FE4-BFC7-9E26358E6960}">
  <sheetPr codeName="Sheet_074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E8517-4949-4D2F-AA3B-EAC6DC638466}">
  <sheetPr codeName="Sheet_075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73262-37D2-463D-9534-A3608F06C5F0}">
  <sheetPr codeName="Sheet_076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F716-3C26-43B2-BB5C-11BF3746A301}">
  <sheetPr codeName="Sheet_077"/>
  <dimension ref="A1:BV8"/>
  <sheetViews>
    <sheetView showGridLines="0" topLeftCell="O1" zoomScale="80" zoomScaleNormal="80" workbookViewId="0">
      <selection activeCell="T12" sqref="T12"/>
    </sheetView>
  </sheetViews>
  <sheetFormatPr defaultColWidth="9.140625" defaultRowHeight="17.25" x14ac:dyDescent="0.3"/>
  <cols>
    <col min="1" max="1" width="26.7109375" style="248" customWidth="1"/>
    <col min="2" max="2" width="4.28515625" style="249" customWidth="1"/>
    <col min="3" max="3" width="26.28515625" style="249" bestFit="1" customWidth="1"/>
    <col min="4" max="4" width="2.85546875" style="249" customWidth="1"/>
    <col min="5" max="5" width="13.140625" style="249" bestFit="1" customWidth="1"/>
    <col min="6" max="6" width="16.42578125" style="249" bestFit="1" customWidth="1"/>
    <col min="7" max="7" width="13.5703125" style="249" bestFit="1" customWidth="1"/>
    <col min="8" max="8" width="15.85546875" style="249" bestFit="1" customWidth="1"/>
    <col min="9" max="9" width="2.140625" style="249" customWidth="1"/>
    <col min="10" max="10" width="19.140625" style="249" bestFit="1" customWidth="1"/>
    <col min="11" max="11" width="19.42578125" style="249" bestFit="1" customWidth="1"/>
    <col min="12" max="12" width="3.85546875" style="249" customWidth="1"/>
    <col min="13" max="13" width="29.85546875" style="249" bestFit="1" customWidth="1"/>
    <col min="14" max="14" width="30.140625" style="249" bestFit="1" customWidth="1"/>
    <col min="15" max="15" width="31" style="249" customWidth="1"/>
    <col min="16" max="16" width="25.85546875" style="249" customWidth="1"/>
    <col min="17" max="17" width="37.140625" style="249" bestFit="1" customWidth="1"/>
    <col min="18" max="18" width="24" style="249" customWidth="1"/>
    <col min="19" max="19" width="33.28515625" style="249" customWidth="1"/>
    <col min="20" max="20" width="29.28515625" style="249" customWidth="1"/>
    <col min="21" max="21" width="23.28515625" style="249" customWidth="1"/>
    <col min="22" max="22" width="3.42578125" style="249" customWidth="1"/>
    <col min="23" max="23" width="32.140625" style="249" customWidth="1"/>
    <col min="24" max="24" width="29.5703125" style="249" customWidth="1"/>
    <col min="25" max="25" width="14.140625" style="249" bestFit="1" customWidth="1"/>
    <col min="26" max="26" width="25.140625" style="249" bestFit="1" customWidth="1"/>
    <col min="27" max="27" width="16.28515625" style="249" customWidth="1"/>
    <col min="28" max="28" width="9.42578125" style="249" bestFit="1" customWidth="1"/>
    <col min="29" max="29" width="13.85546875" style="249" bestFit="1" customWidth="1"/>
    <col min="30" max="30" width="9.42578125" style="249" bestFit="1" customWidth="1"/>
    <col min="31" max="31" width="11.28515625" style="249" bestFit="1" customWidth="1"/>
    <col min="32" max="32" width="17.7109375" style="249" customWidth="1"/>
    <col min="33" max="33" width="15.85546875" style="249" customWidth="1"/>
    <col min="34" max="34" width="33.42578125" style="249" bestFit="1" customWidth="1"/>
    <col min="35" max="36" width="13" style="249" customWidth="1"/>
    <col min="37" max="37" width="13.28515625" style="249" customWidth="1"/>
    <col min="38" max="41" width="13" style="249" customWidth="1"/>
    <col min="42" max="42" width="2.42578125" style="249" customWidth="1"/>
    <col min="43" max="43" width="13" style="249" customWidth="1"/>
    <col min="44" max="44" width="3.28515625" style="249" customWidth="1"/>
    <col min="45" max="45" width="13" style="249" customWidth="1"/>
    <col min="46" max="46" width="3" style="249" customWidth="1"/>
    <col min="47" max="47" width="13" style="249" customWidth="1"/>
    <col min="48" max="48" width="1.7109375" style="249" customWidth="1"/>
    <col min="49" max="49" width="13" style="249" customWidth="1"/>
    <col min="50" max="50" width="2.28515625" style="249" customWidth="1"/>
    <col min="51" max="51" width="13" style="249" customWidth="1"/>
    <col min="52" max="52" width="2.5703125" style="249" customWidth="1"/>
    <col min="53" max="53" width="30.140625" style="249" customWidth="1"/>
    <col min="54" max="54" width="29.5703125" style="249" customWidth="1"/>
    <col min="55" max="55" width="30.42578125" style="249" customWidth="1"/>
    <col min="56" max="56" width="29.5703125" style="249" customWidth="1"/>
    <col min="57" max="57" width="40.42578125" style="249" customWidth="1"/>
    <col min="58" max="58" width="23.28515625" style="249" customWidth="1"/>
    <col min="59" max="59" width="28" style="249" bestFit="1" customWidth="1"/>
    <col min="60" max="60" width="3.140625" style="249" customWidth="1"/>
    <col min="61" max="61" width="21.140625" style="249" customWidth="1"/>
    <col min="62" max="62" width="17.7109375" style="249" customWidth="1"/>
    <col min="63" max="63" width="17.28515625" style="249" bestFit="1" customWidth="1"/>
    <col min="64" max="64" width="13.42578125" style="249" bestFit="1" customWidth="1"/>
    <col min="65" max="65" width="9.42578125" style="249" bestFit="1" customWidth="1"/>
    <col min="66" max="66" width="12" style="249" bestFit="1" customWidth="1"/>
    <col min="67" max="67" width="9.42578125" style="249" bestFit="1" customWidth="1"/>
    <col min="68" max="68" width="27.7109375" style="249" bestFit="1" customWidth="1"/>
    <col min="69" max="69" width="12" style="249" bestFit="1" customWidth="1"/>
    <col min="70" max="70" width="24.140625" style="249" bestFit="1" customWidth="1"/>
    <col min="71" max="71" width="9.42578125" style="249" bestFit="1" customWidth="1"/>
    <col min="72" max="72" width="21.5703125" style="249" bestFit="1" customWidth="1"/>
    <col min="73" max="73" width="9.28515625" style="249" bestFit="1" customWidth="1"/>
    <col min="74" max="74" width="17.28515625" style="249" bestFit="1" customWidth="1"/>
    <col min="75" max="16384" width="9.140625" style="249"/>
  </cols>
  <sheetData>
    <row r="1" spans="1:74" s="247" customFormat="1" ht="129" customHeight="1" thickBot="1" x14ac:dyDescent="0.35">
      <c r="A1" s="246"/>
    </row>
    <row r="2" spans="1:74" ht="18" thickTop="1" x14ac:dyDescent="0.3"/>
    <row r="3" spans="1:74" ht="62.25" customHeight="1" x14ac:dyDescent="0.3">
      <c r="C3" s="12" t="s">
        <v>143</v>
      </c>
      <c r="D3" s="250" t="s">
        <v>207</v>
      </c>
      <c r="E3" s="23" t="s">
        <v>10</v>
      </c>
      <c r="F3" s="23" t="s">
        <v>11</v>
      </c>
      <c r="G3" s="23" t="s">
        <v>12</v>
      </c>
      <c r="H3" s="23" t="s">
        <v>13</v>
      </c>
      <c r="I3" s="250" t="s">
        <v>244</v>
      </c>
      <c r="J3" s="117" t="s">
        <v>505</v>
      </c>
      <c r="K3" s="117" t="s">
        <v>506</v>
      </c>
      <c r="L3" s="250" t="s">
        <v>267</v>
      </c>
      <c r="M3" s="117" t="s">
        <v>269</v>
      </c>
      <c r="N3" s="117" t="s">
        <v>270</v>
      </c>
      <c r="O3" s="117" t="s">
        <v>261</v>
      </c>
      <c r="P3" s="117" t="s">
        <v>263</v>
      </c>
      <c r="Q3" s="117" t="s">
        <v>260</v>
      </c>
      <c r="R3" s="117" t="s">
        <v>276</v>
      </c>
      <c r="S3" s="117" t="s">
        <v>275</v>
      </c>
      <c r="T3" s="117" t="s">
        <v>264</v>
      </c>
      <c r="U3" s="117" t="s">
        <v>265</v>
      </c>
      <c r="V3" s="250" t="s">
        <v>291</v>
      </c>
      <c r="W3" s="117" t="s">
        <v>277</v>
      </c>
      <c r="X3" s="117" t="s">
        <v>278</v>
      </c>
      <c r="Y3" s="250" t="s">
        <v>285</v>
      </c>
    </row>
    <row r="4" spans="1:74" ht="49.5" x14ac:dyDescent="0.3">
      <c r="C4" s="12" t="s">
        <v>467</v>
      </c>
      <c r="D4" s="251"/>
      <c r="E4" s="23">
        <v>3000</v>
      </c>
      <c r="F4" s="23">
        <v>0</v>
      </c>
      <c r="G4" s="23">
        <v>25000</v>
      </c>
      <c r="H4" s="23">
        <v>0</v>
      </c>
      <c r="I4" s="251"/>
      <c r="J4" s="23">
        <v>43495.999999999993</v>
      </c>
      <c r="K4" s="23">
        <v>43495.999999999993</v>
      </c>
      <c r="L4" s="251"/>
      <c r="M4" s="23">
        <v>25854.399999999998</v>
      </c>
      <c r="N4" s="23">
        <v>25854.399999999998</v>
      </c>
      <c r="O4" s="117" t="s">
        <v>524</v>
      </c>
      <c r="P4" s="117" t="s">
        <v>525</v>
      </c>
      <c r="Q4" s="117" t="s">
        <v>526</v>
      </c>
      <c r="R4" s="117">
        <v>0</v>
      </c>
      <c r="S4" s="291">
        <v>9.8080522645073351</v>
      </c>
      <c r="T4" s="117" t="s">
        <v>527</v>
      </c>
      <c r="U4" s="117" t="s">
        <v>528</v>
      </c>
      <c r="V4" s="251"/>
      <c r="W4" s="291">
        <v>67.694452264507333</v>
      </c>
      <c r="X4" s="291">
        <v>61.516852264507335</v>
      </c>
      <c r="Y4" s="251"/>
    </row>
    <row r="8" spans="1:74" ht="38.25" customHeight="1" x14ac:dyDescent="0.3">
      <c r="BS8"/>
      <c r="BT8"/>
      <c r="BU8"/>
      <c r="BV8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E833C-0E1D-44E6-BFB2-6C5C06AAD163}">
  <sheetPr codeName="Sheet_600"/>
  <dimension ref="A1:D15"/>
  <sheetViews>
    <sheetView showGridLines="0" zoomScale="80" zoomScaleNormal="80" workbookViewId="0">
      <selection activeCell="D22" sqref="D22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 t="s">
        <v>23</v>
      </c>
      <c r="D5" s="6" t="s">
        <v>26</v>
      </c>
    </row>
    <row r="6" spans="1:4" ht="17.25" x14ac:dyDescent="0.3">
      <c r="C6" s="6" t="s">
        <v>381</v>
      </c>
      <c r="D6" s="9" t="s">
        <v>388</v>
      </c>
    </row>
    <row r="7" spans="1:4" ht="17.25" x14ac:dyDescent="0.3">
      <c r="C7" s="6" t="s">
        <v>383</v>
      </c>
      <c r="D7" s="9" t="s">
        <v>389</v>
      </c>
    </row>
    <row r="8" spans="1:4" ht="17.25" x14ac:dyDescent="0.3">
      <c r="C8" s="6" t="s">
        <v>394</v>
      </c>
      <c r="D8" s="9" t="s">
        <v>396</v>
      </c>
    </row>
    <row r="9" spans="1:4" ht="17.25" x14ac:dyDescent="0.3">
      <c r="C9" s="6" t="s">
        <v>395</v>
      </c>
      <c r="D9" s="9" t="s">
        <v>397</v>
      </c>
    </row>
    <row r="10" spans="1:4" ht="17.25" x14ac:dyDescent="0.3">
      <c r="C10" s="196" t="s">
        <v>429</v>
      </c>
      <c r="D10" s="197" t="s">
        <v>430</v>
      </c>
    </row>
    <row r="11" spans="1:4" ht="17.25" x14ac:dyDescent="0.3">
      <c r="C11" s="6" t="s">
        <v>384</v>
      </c>
      <c r="D11" s="9" t="s">
        <v>390</v>
      </c>
    </row>
    <row r="12" spans="1:4" ht="17.25" x14ac:dyDescent="0.3">
      <c r="C12" s="6" t="s">
        <v>385</v>
      </c>
      <c r="D12" s="9" t="s">
        <v>391</v>
      </c>
    </row>
    <row r="13" spans="1:4" ht="17.25" x14ac:dyDescent="0.3">
      <c r="C13" s="6" t="s">
        <v>386</v>
      </c>
      <c r="D13" s="9" t="s">
        <v>392</v>
      </c>
    </row>
    <row r="14" spans="1:4" ht="17.25" x14ac:dyDescent="0.3">
      <c r="C14" s="6" t="s">
        <v>163</v>
      </c>
      <c r="D14" s="9" t="s">
        <v>393</v>
      </c>
    </row>
    <row r="15" spans="1:4" ht="17.25" x14ac:dyDescent="0.3">
      <c r="C15" s="6" t="s">
        <v>382</v>
      </c>
      <c r="D15" s="9" t="s">
        <v>387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F6087-027B-4CAC-B1EE-647DF302C2DF}">
  <sheetPr codeName="Sheet_610"/>
  <dimension ref="A1:N15"/>
  <sheetViews>
    <sheetView showGridLines="0" zoomScale="80" zoomScaleNormal="80" workbookViewId="0"/>
  </sheetViews>
  <sheetFormatPr defaultColWidth="9.140625" defaultRowHeight="16.5" x14ac:dyDescent="0.3"/>
  <cols>
    <col min="1" max="1" width="26.7109375" style="4" customWidth="1"/>
    <col min="2" max="3" width="4.28515625" style="1" customWidth="1"/>
    <col min="4" max="4" width="5.42578125" style="1" customWidth="1"/>
    <col min="5" max="5" width="12.7109375" style="1" bestFit="1" customWidth="1"/>
    <col min="6" max="6" width="18" style="1" customWidth="1"/>
    <col min="7" max="7" width="22" style="1" customWidth="1"/>
    <col min="8" max="8" width="18" style="1" customWidth="1"/>
    <col min="9" max="9" width="11.28515625" style="1" bestFit="1" customWidth="1"/>
    <col min="10" max="10" width="13.7109375" style="1" bestFit="1" customWidth="1"/>
    <col min="11" max="11" width="15.85546875" style="1" customWidth="1"/>
    <col min="12" max="12" width="9.140625" style="1"/>
    <col min="13" max="13" width="22" style="1" bestFit="1" customWidth="1"/>
    <col min="14" max="15" width="9.140625" style="1"/>
    <col min="16" max="16" width="11.85546875" style="1" customWidth="1"/>
    <col min="17" max="17" width="15.85546875" style="1" customWidth="1"/>
    <col min="18" max="16384" width="9.140625" style="1"/>
  </cols>
  <sheetData>
    <row r="1" spans="1:14" s="2" customFormat="1" ht="129" customHeight="1" thickBot="1" x14ac:dyDescent="0.35">
      <c r="A1" s="3"/>
    </row>
    <row r="2" spans="1:14" ht="17.25" thickTop="1" x14ac:dyDescent="0.3"/>
    <row r="4" spans="1:14" ht="17.25" x14ac:dyDescent="0.3">
      <c r="F4" s="6"/>
      <c r="G4" s="6"/>
      <c r="H4" s="6"/>
      <c r="I4" s="6"/>
    </row>
    <row r="5" spans="1:14" ht="17.25" x14ac:dyDescent="0.3">
      <c r="F5" s="6"/>
      <c r="G5" s="6"/>
      <c r="H5" s="6"/>
      <c r="I5" s="6"/>
    </row>
    <row r="6" spans="1:14" ht="17.25" x14ac:dyDescent="0.3">
      <c r="D6" s="1" t="s">
        <v>454</v>
      </c>
      <c r="E6" s="1" t="s">
        <v>452</v>
      </c>
      <c r="F6" s="6" t="s">
        <v>455</v>
      </c>
      <c r="G6" s="6" t="s">
        <v>460</v>
      </c>
      <c r="H6" s="6" t="s">
        <v>453</v>
      </c>
      <c r="K6" s="1" t="s">
        <v>454</v>
      </c>
      <c r="L6" s="1" t="s">
        <v>452</v>
      </c>
      <c r="M6" s="1" t="s">
        <v>455</v>
      </c>
      <c r="N6" s="1" t="s">
        <v>453</v>
      </c>
    </row>
    <row r="7" spans="1:14" ht="17.25" x14ac:dyDescent="0.3">
      <c r="D7" s="1">
        <v>0</v>
      </c>
      <c r="E7" s="1">
        <f>IF(Tbl_X1_10_IFQ_Rev_Number[Id]=0,0,CHAR(Tbl_X1_10_IFQ_Rev_Number[Id]+64))</f>
        <v>0</v>
      </c>
      <c r="F7" s="6"/>
      <c r="G7" s="6" t="str">
        <f>IF(Tbl_X1_10_IFQ_Rev_Number[Revision]=0,"",Tbl_X1_10_IFQ_Rev_Number[Revision]&amp;"-"&amp;Tbl_X1_10_IFQ_Rev_Number[Responsible])</f>
        <v/>
      </c>
      <c r="H7" s="224"/>
      <c r="K7" s="1">
        <v>0</v>
      </c>
      <c r="L7" s="1">
        <f>IF(Tbl_X1_10_IFC_Rev_Number[Id]=0,0,Tbl_X1_10_IFC_Rev_Number[Id])</f>
        <v>0</v>
      </c>
    </row>
    <row r="8" spans="1:14" ht="17.25" x14ac:dyDescent="0.3">
      <c r="F8" s="6"/>
      <c r="G8" s="6"/>
      <c r="H8" s="6"/>
    </row>
    <row r="9" spans="1:14" ht="17.25" x14ac:dyDescent="0.3">
      <c r="F9" s="6"/>
      <c r="G9" s="6"/>
      <c r="H9" s="6"/>
      <c r="I9" s="6"/>
      <c r="J9" s="6"/>
    </row>
    <row r="10" spans="1:14" ht="17.25" x14ac:dyDescent="0.3">
      <c r="F10" s="6"/>
      <c r="G10" s="6"/>
      <c r="H10" s="6"/>
      <c r="I10" s="9"/>
    </row>
    <row r="11" spans="1:14" ht="17.25" x14ac:dyDescent="0.3">
      <c r="F11" s="6"/>
      <c r="G11" s="6"/>
      <c r="H11" s="6"/>
      <c r="I11" s="9"/>
    </row>
    <row r="12" spans="1:14" ht="17.25" x14ac:dyDescent="0.3">
      <c r="F12" s="6"/>
      <c r="G12" s="6"/>
      <c r="H12" s="6"/>
      <c r="I12" s="9"/>
    </row>
    <row r="13" spans="1:14" ht="17.25" x14ac:dyDescent="0.3">
      <c r="F13" s="6"/>
      <c r="G13" s="6"/>
      <c r="H13" s="6"/>
      <c r="I13" s="9"/>
    </row>
    <row r="14" spans="1:14" ht="17.25" x14ac:dyDescent="0.3">
      <c r="F14" s="6"/>
      <c r="G14" s="6"/>
      <c r="H14" s="6"/>
      <c r="I14" s="9"/>
    </row>
    <row r="15" spans="1:14" ht="17.25" x14ac:dyDescent="0.3">
      <c r="I15" s="9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B3AC0-E8B6-4718-A9D1-53DB727C03B3}">
  <sheetPr codeName="Sheet_611"/>
  <dimension ref="A1:E14"/>
  <sheetViews>
    <sheetView showGridLines="0" zoomScale="80" zoomScaleNormal="80" workbookViewId="0">
      <selection activeCell="E8" sqref="E8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6.5703125" style="1" bestFit="1" customWidth="1"/>
    <col min="4" max="4" width="14.85546875" style="1" bestFit="1" customWidth="1"/>
    <col min="5" max="5" width="111.7109375" style="1" bestFit="1" customWidth="1"/>
    <col min="6" max="6" width="15.5703125" style="1" bestFit="1" customWidth="1"/>
    <col min="7" max="16384" width="9.140625" style="1"/>
  </cols>
  <sheetData>
    <row r="1" spans="1:5" s="2" customFormat="1" ht="129" customHeight="1" thickBot="1" x14ac:dyDescent="0.35">
      <c r="A1" s="3"/>
    </row>
    <row r="2" spans="1:5" ht="17.25" thickTop="1" x14ac:dyDescent="0.3"/>
    <row r="4" spans="1:5" ht="17.25" x14ac:dyDescent="0.3">
      <c r="C4" s="6"/>
      <c r="D4" s="6"/>
    </row>
    <row r="5" spans="1:5" ht="17.25" x14ac:dyDescent="0.3">
      <c r="C5" s="6"/>
      <c r="D5" s="6"/>
    </row>
    <row r="6" spans="1:5" ht="17.25" x14ac:dyDescent="0.3">
      <c r="C6" s="6"/>
      <c r="D6" s="9"/>
    </row>
    <row r="7" spans="1:5" ht="17.25" x14ac:dyDescent="0.3">
      <c r="C7" s="6" t="s">
        <v>142</v>
      </c>
      <c r="D7" s="6" t="s">
        <v>375</v>
      </c>
      <c r="E7" s="6" t="s">
        <v>379</v>
      </c>
    </row>
    <row r="8" spans="1:5" ht="17.25" x14ac:dyDescent="0.3">
      <c r="C8" s="6"/>
      <c r="D8" s="6"/>
      <c r="E8" s="6"/>
    </row>
    <row r="9" spans="1:5" ht="17.25" x14ac:dyDescent="0.3">
      <c r="C9" s="6"/>
      <c r="D9" s="9"/>
    </row>
    <row r="10" spans="1:5" ht="17.25" x14ac:dyDescent="0.3">
      <c r="C10" s="6"/>
      <c r="D10" s="9"/>
    </row>
    <row r="11" spans="1:5" ht="17.25" x14ac:dyDescent="0.3">
      <c r="C11" s="6"/>
      <c r="D11" s="9"/>
    </row>
    <row r="12" spans="1:5" ht="17.25" x14ac:dyDescent="0.3">
      <c r="C12" s="6"/>
      <c r="D12" s="9"/>
    </row>
    <row r="13" spans="1:5" ht="17.25" x14ac:dyDescent="0.3">
      <c r="C13" s="6"/>
      <c r="D13" s="9"/>
    </row>
    <row r="14" spans="1:5" ht="17.25" x14ac:dyDescent="0.3">
      <c r="C14" s="6"/>
      <c r="D14" s="9"/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C715-C3E2-4170-887F-4DE43681A56E}">
  <sheetPr codeName="Sheet_612"/>
  <dimension ref="A1:E14"/>
  <sheetViews>
    <sheetView showGridLines="0" zoomScale="80" zoomScaleNormal="80" workbookViewId="0">
      <selection activeCell="D11" sqref="D11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5" s="2" customFormat="1" ht="129" customHeight="1" thickBot="1" x14ac:dyDescent="0.35">
      <c r="A1" s="3"/>
    </row>
    <row r="2" spans="1:5" ht="17.25" thickTop="1" x14ac:dyDescent="0.3"/>
    <row r="4" spans="1:5" ht="17.25" x14ac:dyDescent="0.3">
      <c r="C4" s="6"/>
      <c r="D4" s="6"/>
    </row>
    <row r="5" spans="1:5" ht="17.25" x14ac:dyDescent="0.3">
      <c r="C5" s="6"/>
      <c r="D5" s="6"/>
    </row>
    <row r="6" spans="1:5" ht="17.25" x14ac:dyDescent="0.3">
      <c r="C6" s="6"/>
      <c r="D6" s="9"/>
    </row>
    <row r="7" spans="1:5" ht="17.25" x14ac:dyDescent="0.3">
      <c r="C7" s="6"/>
      <c r="D7" s="6"/>
      <c r="E7" s="6"/>
    </row>
    <row r="8" spans="1:5" ht="17.25" x14ac:dyDescent="0.3">
      <c r="C8" s="6"/>
      <c r="D8" s="6"/>
      <c r="E8" s="6"/>
    </row>
    <row r="9" spans="1:5" ht="17.25" x14ac:dyDescent="0.3">
      <c r="C9" s="6"/>
      <c r="D9" s="9"/>
    </row>
    <row r="10" spans="1:5" ht="17.25" x14ac:dyDescent="0.3">
      <c r="C10" s="6"/>
      <c r="D10" s="9"/>
    </row>
    <row r="11" spans="1:5" ht="17.25" x14ac:dyDescent="0.3">
      <c r="C11" s="6"/>
      <c r="D11" s="9"/>
    </row>
    <row r="12" spans="1:5" ht="17.25" x14ac:dyDescent="0.3">
      <c r="C12" s="6"/>
      <c r="D12" s="9"/>
    </row>
    <row r="13" spans="1:5" ht="17.25" x14ac:dyDescent="0.3">
      <c r="C13" s="6"/>
      <c r="D13" s="9"/>
    </row>
    <row r="14" spans="1:5" ht="17.25" x14ac:dyDescent="0.3">
      <c r="C14" s="6"/>
      <c r="D14" s="9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05AE6-1BD8-41E2-AB34-C4A0481E5159}">
  <sheetPr codeName="Sheet_6100"/>
  <dimension ref="A1:AK14"/>
  <sheetViews>
    <sheetView showGridLines="0" zoomScale="80" zoomScaleNormal="80" workbookViewId="0">
      <selection activeCell="AB13" sqref="AB13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23.85546875" style="1" bestFit="1" customWidth="1"/>
    <col min="6" max="6" width="15.5703125" style="1" bestFit="1" customWidth="1"/>
    <col min="7" max="13" width="9.140625" style="1"/>
    <col min="14" max="14" width="17.140625" style="1" customWidth="1"/>
    <col min="15" max="27" width="9.140625" style="1"/>
    <col min="28" max="28" width="18.28515625" style="1" customWidth="1"/>
    <col min="29" max="29" width="16.140625" style="1" customWidth="1"/>
    <col min="30" max="30" width="14" style="1" customWidth="1"/>
    <col min="31" max="31" width="16.42578125" style="1" customWidth="1"/>
    <col min="32" max="16384" width="9.140625" style="1"/>
  </cols>
  <sheetData>
    <row r="1" spans="1:37" s="2" customFormat="1" ht="129" customHeight="1" thickBot="1" x14ac:dyDescent="0.35">
      <c r="A1" s="3"/>
    </row>
    <row r="2" spans="1:37" ht="17.25" thickTop="1" x14ac:dyDescent="0.3"/>
    <row r="4" spans="1:37" ht="72.75" thickBot="1" x14ac:dyDescent="0.35">
      <c r="C4" s="6"/>
      <c r="D4" s="182" t="s">
        <v>375</v>
      </c>
      <c r="E4" s="183" t="s">
        <v>412</v>
      </c>
      <c r="F4" s="182" t="s">
        <v>20</v>
      </c>
      <c r="G4" s="183" t="s">
        <v>171</v>
      </c>
      <c r="H4" s="182" t="s">
        <v>178</v>
      </c>
      <c r="I4" s="183" t="s">
        <v>172</v>
      </c>
      <c r="J4" s="182" t="s">
        <v>173</v>
      </c>
      <c r="K4" s="182" t="s">
        <v>174</v>
      </c>
      <c r="L4" s="185" t="s">
        <v>175</v>
      </c>
      <c r="M4" s="186" t="s">
        <v>166</v>
      </c>
      <c r="N4" s="187" t="s">
        <v>167</v>
      </c>
      <c r="O4" s="187" t="s">
        <v>168</v>
      </c>
      <c r="P4" s="187" t="s">
        <v>169</v>
      </c>
      <c r="Q4" s="185" t="s">
        <v>170</v>
      </c>
      <c r="R4" s="186" t="s">
        <v>220</v>
      </c>
      <c r="S4" s="182" t="s">
        <v>221</v>
      </c>
      <c r="T4" s="182" t="s">
        <v>222</v>
      </c>
      <c r="U4" s="182" t="s">
        <v>223</v>
      </c>
      <c r="V4" s="182" t="s">
        <v>224</v>
      </c>
      <c r="W4" s="182" t="s">
        <v>225</v>
      </c>
      <c r="X4" s="188" t="s">
        <v>177</v>
      </c>
      <c r="Y4" s="189" t="s">
        <v>179</v>
      </c>
      <c r="Z4" s="185" t="s">
        <v>176</v>
      </c>
      <c r="AA4" s="184" t="s">
        <v>407</v>
      </c>
      <c r="AB4" s="183" t="s">
        <v>408</v>
      </c>
      <c r="AC4" s="187" t="s">
        <v>409</v>
      </c>
      <c r="AD4" s="187" t="s">
        <v>410</v>
      </c>
      <c r="AE4" s="185" t="s">
        <v>411</v>
      </c>
    </row>
    <row r="5" spans="1:37" ht="18.75" thickBot="1" x14ac:dyDescent="0.35">
      <c r="C5" s="6"/>
      <c r="D5" s="190" t="str">
        <f>MID(SUBSTITUTE(MID(CELL("filename",$A$1),FIND("]",CELL("filename",$A$1))+1,255),"_"," "),8,12)</f>
        <v>Pile Type XX</v>
      </c>
      <c r="E5" s="191" t="str">
        <f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f>
        <v/>
      </c>
      <c r="F5" s="191" t="str">
        <f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G5" s="191" t="str">
        <f t="shared" ref="G5:Z5" si="0"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H5" s="191" t="str">
        <f t="shared" si="0"/>
        <v/>
      </c>
      <c r="I5" s="191" t="str">
        <f t="shared" si="0"/>
        <v/>
      </c>
      <c r="J5" s="191" t="str">
        <f t="shared" si="0"/>
        <v/>
      </c>
      <c r="K5" s="191" t="str">
        <f t="shared" si="0"/>
        <v/>
      </c>
      <c r="L5" s="191" t="str">
        <f t="shared" si="0"/>
        <v/>
      </c>
      <c r="M5" s="191" t="str">
        <f t="shared" si="0"/>
        <v/>
      </c>
      <c r="N5" s="191" t="str">
        <f t="shared" si="0"/>
        <v/>
      </c>
      <c r="O5" s="191" t="str">
        <f t="shared" si="0"/>
        <v/>
      </c>
      <c r="P5" s="191" t="str">
        <f t="shared" si="0"/>
        <v/>
      </c>
      <c r="Q5" s="191" t="str">
        <f t="shared" si="0"/>
        <v/>
      </c>
      <c r="R5" s="191" t="str">
        <f t="shared" si="0"/>
        <v/>
      </c>
      <c r="S5" s="191" t="str">
        <f t="shared" si="0"/>
        <v/>
      </c>
      <c r="T5" s="191" t="str">
        <f t="shared" si="0"/>
        <v/>
      </c>
      <c r="U5" s="191" t="str">
        <f t="shared" si="0"/>
        <v/>
      </c>
      <c r="V5" s="191" t="str">
        <f t="shared" si="0"/>
        <v/>
      </c>
      <c r="W5" s="191" t="str">
        <f t="shared" si="0"/>
        <v/>
      </c>
      <c r="X5" s="191" t="str">
        <f t="shared" si="0"/>
        <v/>
      </c>
      <c r="Y5" s="191" t="str">
        <f t="shared" si="0"/>
        <v/>
      </c>
      <c r="Z5" s="191" t="str">
        <f t="shared" si="0"/>
        <v/>
      </c>
      <c r="AA5" s="192" t="str">
        <f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f>
        <v/>
      </c>
      <c r="AB5" s="193" t="str">
        <f>IFERROR(
                   INDEX(Tbl_805_Piles_Geometry[Ext_Coupling_ft],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  <c r="AC5" s="193" t="str">
        <f>IFERROR(
                   INDEX(Tbl_805_Piles_Geometry[Ext_Coupling_ft],
                                 MATCH(
                                               TEXT(Tbl_Pile_Type_X_Raw[Topper Diameter],"00.00")&amp;CHAR(34),
                                                Tbl_805_Piles_Geometry[Pile_Diameter],
                                               0)
                                    ),
                   ""
)</f>
        <v/>
      </c>
      <c r="AD5" s="193" t="str">
        <f>IFERROR(
                   INDEX(Tbl_805_Piles_Geometry[H1_S_ft],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  <c r="AE5" s="193" t="str">
        <f>IFERROR(
                   INDEX(Tbl_805_Piles_Geometry[Pitch_ft],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</row>
    <row r="6" spans="1:37" ht="17.25" x14ac:dyDescent="0.3">
      <c r="C6" s="6"/>
      <c r="D6" s="9"/>
    </row>
    <row r="7" spans="1:37" ht="17.25" x14ac:dyDescent="0.3">
      <c r="C7" s="6"/>
      <c r="D7" s="9"/>
    </row>
    <row r="8" spans="1:37" ht="17.25" x14ac:dyDescent="0.3">
      <c r="C8" s="6"/>
      <c r="D8" s="9"/>
    </row>
    <row r="9" spans="1:37" ht="17.25" x14ac:dyDescent="0.3">
      <c r="C9" s="6"/>
      <c r="D9" s="9"/>
    </row>
    <row r="10" spans="1:37" ht="17.25" x14ac:dyDescent="0.3">
      <c r="C10" s="6"/>
      <c r="D10" s="9"/>
    </row>
    <row r="11" spans="1:37" ht="17.25" x14ac:dyDescent="0.3">
      <c r="C11" s="6"/>
      <c r="D11" s="9"/>
      <c r="J11" s="194" t="s">
        <v>413</v>
      </c>
      <c r="K11" s="194" t="s">
        <v>414</v>
      </c>
      <c r="L11" s="194" t="s">
        <v>415</v>
      </c>
      <c r="M11" s="194" t="s">
        <v>416</v>
      </c>
      <c r="N11" s="194" t="s">
        <v>417</v>
      </c>
      <c r="O11" s="194" t="s">
        <v>20</v>
      </c>
      <c r="P11" s="194" t="s">
        <v>418</v>
      </c>
      <c r="Q11" s="194" t="s">
        <v>419</v>
      </c>
      <c r="R11" s="194" t="s">
        <v>220</v>
      </c>
      <c r="S11" s="194" t="s">
        <v>221</v>
      </c>
      <c r="T11" s="194" t="s">
        <v>222</v>
      </c>
      <c r="U11" s="194" t="s">
        <v>223</v>
      </c>
      <c r="V11" s="194" t="s">
        <v>224</v>
      </c>
      <c r="W11" s="194" t="s">
        <v>225</v>
      </c>
      <c r="X11" s="194" t="s">
        <v>420</v>
      </c>
      <c r="Y11" s="194" t="s">
        <v>421</v>
      </c>
      <c r="Z11" s="194" t="s">
        <v>179</v>
      </c>
      <c r="AA11" s="194" t="s">
        <v>422</v>
      </c>
      <c r="AB11" s="194" t="s">
        <v>423</v>
      </c>
    </row>
    <row r="12" spans="1:37" ht="17.25" x14ac:dyDescent="0.3">
      <c r="C12" s="6"/>
      <c r="D12" s="9"/>
      <c r="J12" s="194" t="s">
        <v>424</v>
      </c>
      <c r="K12" s="194">
        <v>0</v>
      </c>
      <c r="L12" s="194">
        <v>70</v>
      </c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5" t="str">
        <f>TS_Part_No(Tbl_Pile_Type_X_LET[[#This Row],[Section]],Tbl_Pile_Type_X_LET[[#This Row],[Diameter]],Tbl_Pile_Type_X_LET[[#This Row],[Diameter_Th]],Tbl_Pile_Type_X_LET[[#This Row],[Length]],Tbl_Pile_Type_X_LET[[#This Row],[Plating]],Tbl_Pile_Type_X_LET[[#This Row],[H1]],Tbl_Pile_Type_X_LET[[#This Row],[H2]],Tbl_Pile_Type_X_LET[[#This Row],[H3]],Tbl_Pile_Type_X_LET[[#This Row],[H4]],Tbl_Pile_Type_X_LET[[#This Row],[H5]],Tbl_Pile_Type_X_LET[[#This Row],[H6]],Tbl_Pile_Type_X_LET[[#This Row],[FLY_SOS]],Tbl_Pile_Type_X_LET[[#This Row],[Helix_Thickness]],Tbl_Pile_Type_X_LET[[#This Row],[Diameter_Topper]],Tbl_Pile_Type_X_LET[[#This Row],[Topper_Th]])</f>
        <v>LD000000</v>
      </c>
      <c r="AH12" t="s">
        <v>425</v>
      </c>
      <c r="AI12" t="s">
        <v>426</v>
      </c>
      <c r="AJ12" t="s">
        <v>116</v>
      </c>
      <c r="AK12" t="s">
        <v>427</v>
      </c>
    </row>
    <row r="13" spans="1:37" ht="17.25" x14ac:dyDescent="0.3">
      <c r="C13" s="6"/>
      <c r="D13" s="9"/>
      <c r="AH13"/>
      <c r="AI13"/>
      <c r="AJ13" t="s">
        <v>428</v>
      </c>
      <c r="AK13"/>
    </row>
    <row r="14" spans="1:37" ht="17.25" x14ac:dyDescent="0.3">
      <c r="C14" s="6"/>
      <c r="D14" s="9"/>
    </row>
  </sheetData>
  <dataValidations disablePrompts="1" count="1">
    <dataValidation type="list" allowBlank="1" showInputMessage="1" showErrorMessage="1" sqref="F4:Z4" xr:uid="{5AC1FF3C-D12A-46FD-B05E-2EC23CB1F700}">
      <formula1>INDIRECT("Tbl_50_Pile_Type_Design[#Headers]")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630">
    <tabColor theme="0"/>
  </sheetPr>
  <dimension ref="A1:G9"/>
  <sheetViews>
    <sheetView showGridLines="0" zoomScaleNormal="100" workbookViewId="0">
      <selection activeCell="F34" sqref="F34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41.85546875" style="1" customWidth="1"/>
    <col min="4" max="4" width="15.85546875" style="1" bestFit="1" customWidth="1"/>
    <col min="5" max="5" width="20" style="1" bestFit="1" customWidth="1"/>
    <col min="6" max="6" width="20.140625" style="1" bestFit="1" customWidth="1"/>
    <col min="7" max="7" width="18.28515625" style="1" bestFit="1" customWidth="1"/>
    <col min="8" max="16384" width="9.140625" style="1"/>
  </cols>
  <sheetData>
    <row r="1" spans="1:7" s="2" customFormat="1" ht="129" customHeight="1" thickBot="1" x14ac:dyDescent="0.35">
      <c r="A1" s="3"/>
    </row>
    <row r="2" spans="1:7" ht="17.25" thickTop="1" x14ac:dyDescent="0.3"/>
    <row r="5" spans="1:7" x14ac:dyDescent="0.3">
      <c r="C5" s="1" t="s">
        <v>17</v>
      </c>
      <c r="D5" s="1" t="s">
        <v>71</v>
      </c>
      <c r="E5" s="1" t="s">
        <v>72</v>
      </c>
      <c r="F5" s="1" t="s">
        <v>73</v>
      </c>
      <c r="G5" s="1" t="s">
        <v>471</v>
      </c>
    </row>
    <row r="6" spans="1:7" x14ac:dyDescent="0.3">
      <c r="C6" s="1" t="s">
        <v>443</v>
      </c>
      <c r="D6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PLAN05.50</v>
      </c>
      <c r="E6" s="1" t="str">
        <f>IF(IFERROR(SEARCH("CP",Tbl_X1_30_Help_Shaft_Type[[#This Row],[Shaft_Type]],1),"")&lt;&gt;"",Tbl_X1_30_Help_Shaft_Type[[#This Row],[Shaft_Diam]]&amp;"CP",Tbl_X1_30_Help_Shaft_Type[[#This Row],[Shaft_Diam]])</f>
        <v>PLAN05.50</v>
      </c>
      <c r="F6" s="1" t="str">
        <f>IF(IFERROR(SEARCH("CH",Tbl_X1_30_Help_Shaft_Type[[#This Row],[Shaft_Type]],1),"")&lt;&gt;"",Tbl_X1_30_Help_Shaft_Type[[#This Row],[Shaft_Diam]]&amp;"CH",Tbl_X1_30_Help_Shaft_Type[[#This Row],[Shaft_Diam]])</f>
        <v>PLAN05.50</v>
      </c>
      <c r="G6" s="1" t="str">
        <f>IF(IFERROR(SEARCH("SP",Tbl_X1_30_Help_Shaft_Type[[#This Row],[Shaft_Type]],1),"")&lt;&gt;"",Tbl_X1_30_Help_Shaft_Type[[#This Row],[Shaft_Diam]]&amp;"SP",Tbl_X1_30_Help_Shaft_Type[[#This Row],[Shaft_Diam]])</f>
        <v>PLAN05.50</v>
      </c>
    </row>
    <row r="7" spans="1:7" x14ac:dyDescent="0.3">
      <c r="C7" s="1" t="s">
        <v>467</v>
      </c>
      <c r="D7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PLAN07.00</v>
      </c>
      <c r="E7" s="1" t="str">
        <f>IF(IFERROR(SEARCH("CP",Tbl_X1_30_Help_Shaft_Type[[#This Row],[Shaft_Type]],1),"")&lt;&gt;"",Tbl_X1_30_Help_Shaft_Type[[#This Row],[Shaft_Diam]]&amp;"CP",Tbl_X1_30_Help_Shaft_Type[[#This Row],[Shaft_Diam]])</f>
        <v>PLAN07.00</v>
      </c>
      <c r="F7" s="1" t="str">
        <f>IF(IFERROR(SEARCH("CH",Tbl_X1_30_Help_Shaft_Type[[#This Row],[Shaft_Type]],1),"")&lt;&gt;"",Tbl_X1_30_Help_Shaft_Type[[#This Row],[Shaft_Diam]]&amp;"CH",Tbl_X1_30_Help_Shaft_Type[[#This Row],[Shaft_Diam]])</f>
        <v>PLAN07.00</v>
      </c>
      <c r="G7" s="1" t="str">
        <f>IF(IFERROR(SEARCH("SP",Tbl_X1_30_Help_Shaft_Type[[#This Row],[Shaft_Type]],1),"")&lt;&gt;"",Tbl_X1_30_Help_Shaft_Type[[#This Row],[Shaft_Diam]]&amp;"SP",Tbl_X1_30_Help_Shaft_Type[[#This Row],[Shaft_Diam]])</f>
        <v>PLAN07.00</v>
      </c>
    </row>
    <row r="8" spans="1:7" x14ac:dyDescent="0.3">
      <c r="C8" s="1" t="s">
        <v>472</v>
      </c>
      <c r="D8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PLAN16.00</v>
      </c>
      <c r="E8" s="1" t="str">
        <f>IF(IFERROR(SEARCH("CP",Tbl_X1_30_Help_Shaft_Type[[#This Row],[Shaft_Type]],1),"")&lt;&gt;"",Tbl_X1_30_Help_Shaft_Type[[#This Row],[Shaft_Diam]]&amp;"CP",Tbl_X1_30_Help_Shaft_Type[[#This Row],[Shaft_Diam]])</f>
        <v>PLAN16.00</v>
      </c>
      <c r="F8" s="1" t="str">
        <f>IF(IFERROR(SEARCH("CH",Tbl_X1_30_Help_Shaft_Type[[#This Row],[Shaft_Type]],1),"")&lt;&gt;"",Tbl_X1_30_Help_Shaft_Type[[#This Row],[Shaft_Diam]]&amp;"CH",Tbl_X1_30_Help_Shaft_Type[[#This Row],[Shaft_Diam]])</f>
        <v>PLAN16.00</v>
      </c>
      <c r="G8" s="244" t="str">
        <f>IF(IFERROR(SEARCH("SP",Tbl_X1_30_Help_Shaft_Type[[#This Row],[Shaft_Type]],1),"")&lt;&gt;"",Tbl_X1_30_Help_Shaft_Type[[#This Row],[Shaft_Diam]]&amp;"SP",Tbl_X1_30_Help_Shaft_Type[[#This Row],[Shaft_Diam]])</f>
        <v>PLAN16.00</v>
      </c>
    </row>
    <row r="9" spans="1:7" x14ac:dyDescent="0.3">
      <c r="C9" s="1" t="s">
        <v>466</v>
      </c>
      <c r="D9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PLAN03.00</v>
      </c>
      <c r="E9" s="1" t="str">
        <f>IF(IFERROR(SEARCH("CP",Tbl_X1_30_Help_Shaft_Type[[#This Row],[Shaft_Type]],1),"")&lt;&gt;"",Tbl_X1_30_Help_Shaft_Type[[#This Row],[Shaft_Diam]]&amp;"CP",Tbl_X1_30_Help_Shaft_Type[[#This Row],[Shaft_Diam]])</f>
        <v>PLAN03.00</v>
      </c>
      <c r="F9" s="1" t="str">
        <f>IF(IFERROR(SEARCH("CH",Tbl_X1_30_Help_Shaft_Type[[#This Row],[Shaft_Type]],1),"")&lt;&gt;"",Tbl_X1_30_Help_Shaft_Type[[#This Row],[Shaft_Diam]]&amp;"CH",Tbl_X1_30_Help_Shaft_Type[[#This Row],[Shaft_Diam]])</f>
        <v>PLAN03.00</v>
      </c>
      <c r="G9" s="1" t="str">
        <f>IF(IFERROR(SEARCH("SP",Tbl_X1_30_Help_Shaft_Type[[#This Row],[Shaft_Type]],1),"")&lt;&gt;"",Tbl_X1_30_Help_Shaft_Type[[#This Row],[Shaft_Diam]]&amp;"SP",Tbl_X1_30_Help_Shaft_Type[[#This Row],[Shaft_Diam]])</f>
        <v>PLAN03.00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3D0EE-0449-4A8C-A6CB-6590A0208722}">
  <sheetPr codeName="Sheet_699"/>
  <dimension ref="A1:D14"/>
  <sheetViews>
    <sheetView showGridLines="0" zoomScale="80" zoomScaleNormal="80" workbookViewId="0">
      <selection activeCell="R47" sqref="R47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6"/>
    </row>
    <row r="6" spans="1:4" ht="17.25" x14ac:dyDescent="0.3">
      <c r="C6" s="6"/>
      <c r="D6" s="9"/>
    </row>
    <row r="7" spans="1:4" ht="17.25" x14ac:dyDescent="0.3">
      <c r="C7" s="6"/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  <row r="14" spans="1:4" ht="17.25" x14ac:dyDescent="0.3">
      <c r="C14" s="6"/>
      <c r="D14" s="9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700"/>
  <dimension ref="A1:D13"/>
  <sheetViews>
    <sheetView showGridLines="0" zoomScale="80" zoomScaleNormal="80" workbookViewId="0">
      <selection activeCell="D13" sqref="D13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9.140625" style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 t="s">
        <v>23</v>
      </c>
      <c r="D4" s="6" t="s">
        <v>26</v>
      </c>
    </row>
    <row r="5" spans="1:4" ht="17.25" x14ac:dyDescent="0.3">
      <c r="C5" s="6" t="s">
        <v>146</v>
      </c>
      <c r="D5" s="9" t="s">
        <v>145</v>
      </c>
    </row>
    <row r="6" spans="1:4" ht="17.25" x14ac:dyDescent="0.3">
      <c r="C6" s="6" t="s">
        <v>148</v>
      </c>
      <c r="D6" s="9" t="s">
        <v>152</v>
      </c>
    </row>
    <row r="7" spans="1:4" ht="17.25" x14ac:dyDescent="0.3">
      <c r="C7" s="6" t="s">
        <v>149</v>
      </c>
      <c r="D7" s="9" t="s">
        <v>154</v>
      </c>
    </row>
    <row r="8" spans="1:4" ht="17.25" x14ac:dyDescent="0.3">
      <c r="C8" s="6" t="s">
        <v>150</v>
      </c>
      <c r="D8" s="9" t="s">
        <v>147</v>
      </c>
    </row>
    <row r="9" spans="1:4" ht="17.25" x14ac:dyDescent="0.3">
      <c r="C9" s="6" t="s">
        <v>151</v>
      </c>
      <c r="D9" s="9" t="s">
        <v>153</v>
      </c>
    </row>
    <row r="10" spans="1:4" ht="17.25" x14ac:dyDescent="0.3">
      <c r="C10" s="6" t="s">
        <v>163</v>
      </c>
      <c r="D10" s="9" t="s">
        <v>164</v>
      </c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 t="s">
        <v>155</v>
      </c>
      <c r="D13" s="9" t="s">
        <v>156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CF975-882F-4418-A319-822BBB9DCABB}">
  <sheetPr codeName="Sheet_7100"/>
  <dimension ref="A1:D13"/>
  <sheetViews>
    <sheetView showGridLines="0" zoomScale="80" zoomScaleNormal="80" workbookViewId="0">
      <selection activeCell="D7" sqref="D7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15" style="1" bestFit="1" customWidth="1"/>
    <col min="4" max="4" width="41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9"/>
    </row>
    <row r="6" spans="1:4" ht="17.25" x14ac:dyDescent="0.3">
      <c r="C6" s="6" t="s">
        <v>422</v>
      </c>
      <c r="D6" s="110" t="s">
        <v>431</v>
      </c>
    </row>
    <row r="7" spans="1:4" ht="17.25" x14ac:dyDescent="0.3">
      <c r="C7" s="199"/>
      <c r="D7" s="198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1504F-F27B-437E-85E5-D722074B3035}">
  <sheetPr codeName="Sheet_730"/>
  <dimension ref="A1:CB22"/>
  <sheetViews>
    <sheetView showGridLines="0" zoomScale="80" zoomScaleNormal="80" workbookViewId="0">
      <selection activeCell="I21" sqref="I21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65" width="9.140625" style="1"/>
    <col min="66" max="66" width="23.140625" style="1" bestFit="1" customWidth="1"/>
    <col min="67" max="67" width="9.140625" style="1"/>
    <col min="68" max="68" width="23" style="1" bestFit="1" customWidth="1"/>
    <col min="69" max="69" width="23" style="1" customWidth="1"/>
    <col min="70" max="70" width="9.140625" style="1"/>
    <col min="71" max="71" width="38.7109375" style="1" bestFit="1" customWidth="1"/>
    <col min="72" max="72" width="8.5703125" style="1" bestFit="1" customWidth="1"/>
    <col min="73" max="73" width="11" style="1" bestFit="1" customWidth="1"/>
    <col min="74" max="74" width="9" style="1" bestFit="1" customWidth="1"/>
    <col min="75" max="75" width="10.42578125" style="1" bestFit="1" customWidth="1"/>
    <col min="76" max="76" width="13.7109375" style="1" bestFit="1" customWidth="1"/>
    <col min="77" max="77" width="13.42578125" style="1" bestFit="1" customWidth="1"/>
    <col min="78" max="78" width="12" style="1" bestFit="1" customWidth="1"/>
    <col min="79" max="79" width="11.7109375" style="1" bestFit="1" customWidth="1"/>
    <col min="80" max="80" width="13.42578125" style="1" bestFit="1" customWidth="1"/>
    <col min="81" max="81" width="12" style="1" bestFit="1" customWidth="1"/>
    <col min="82" max="82" width="11.7109375" style="1" bestFit="1" customWidth="1"/>
    <col min="83" max="83" width="15" style="1" bestFit="1" customWidth="1"/>
    <col min="84" max="84" width="9.140625" style="1"/>
    <col min="85" max="85" width="38.7109375" style="1" bestFit="1" customWidth="1"/>
    <col min="86" max="86" width="15" style="1" bestFit="1" customWidth="1"/>
    <col min="87" max="16384" width="9.140625" style="1"/>
  </cols>
  <sheetData>
    <row r="1" spans="1:80" s="2" customFormat="1" ht="129" customHeight="1" thickBot="1" x14ac:dyDescent="0.35">
      <c r="A1" s="3"/>
    </row>
    <row r="2" spans="1:80" ht="17.25" thickTop="1" x14ac:dyDescent="0.3"/>
    <row r="4" spans="1:80" x14ac:dyDescent="0.3">
      <c r="BS4" s="1" t="s">
        <v>14</v>
      </c>
      <c r="BT4" s="1" t="s">
        <v>10</v>
      </c>
      <c r="BU4" s="1" t="s">
        <v>11</v>
      </c>
      <c r="BV4" s="1" t="s">
        <v>12</v>
      </c>
      <c r="BW4" s="1" t="s">
        <v>13</v>
      </c>
      <c r="BX4" s="1" t="s">
        <v>158</v>
      </c>
      <c r="BY4" s="1" t="s">
        <v>159</v>
      </c>
      <c r="BZ4" s="1" t="s">
        <v>160</v>
      </c>
      <c r="CA4" s="1" t="s">
        <v>161</v>
      </c>
      <c r="CB4" s="1" t="s">
        <v>162</v>
      </c>
    </row>
    <row r="5" spans="1:80" x14ac:dyDescent="0.3">
      <c r="BS5" s="1" t="s">
        <v>467</v>
      </c>
      <c r="BT5" s="1">
        <v>0</v>
      </c>
      <c r="BU5" s="1">
        <v>0</v>
      </c>
      <c r="BV5" s="1">
        <v>0</v>
      </c>
      <c r="BW5" s="1">
        <v>0</v>
      </c>
      <c r="BZ5" s="1">
        <v>0</v>
      </c>
      <c r="CA5" s="1">
        <v>0</v>
      </c>
      <c r="CB5" s="1">
        <f>COUNTIF(Tbl_50_Pile_Type_Design[Parent Shaft Type],Tbl_X2_30_Loads_Stick_Up[[#This Row],[Shaft Type]])</f>
        <v>0</v>
      </c>
    </row>
    <row r="6" spans="1:80" x14ac:dyDescent="0.3">
      <c r="BS6" s="1" t="s">
        <v>466</v>
      </c>
      <c r="BT6" s="1">
        <v>0</v>
      </c>
      <c r="BU6" s="1">
        <v>0</v>
      </c>
      <c r="BV6" s="1">
        <v>0</v>
      </c>
      <c r="BW6" s="1">
        <v>0</v>
      </c>
      <c r="BZ6" s="1">
        <v>0</v>
      </c>
      <c r="CA6" s="1">
        <v>0</v>
      </c>
      <c r="CB6" s="1">
        <f>COUNTIF(Tbl_50_Pile_Type_Design[Parent Shaft Type],Tbl_X2_30_Loads_Stick_Up[[#This Row],[Shaft Type]])</f>
        <v>0</v>
      </c>
    </row>
    <row r="7" spans="1:80" x14ac:dyDescent="0.3">
      <c r="BS7" s="1" t="s">
        <v>548</v>
      </c>
      <c r="BT7" s="1">
        <v>0</v>
      </c>
      <c r="BU7" s="1">
        <v>0</v>
      </c>
      <c r="BV7" s="1">
        <v>0</v>
      </c>
      <c r="BW7" s="1">
        <v>0</v>
      </c>
      <c r="BZ7" s="1">
        <v>0</v>
      </c>
      <c r="CA7" s="1">
        <v>0</v>
      </c>
      <c r="CB7" s="1">
        <f>COUNTIF(Tbl_50_Pile_Type_Design[Parent Shaft Type],Tbl_X2_30_Loads_Stick_Up[[#This Row],[Shaft Type]])</f>
        <v>1</v>
      </c>
    </row>
    <row r="8" spans="1:80" x14ac:dyDescent="0.3">
      <c r="BS8" s="1" t="s">
        <v>549</v>
      </c>
      <c r="BT8" s="1">
        <v>0</v>
      </c>
      <c r="BU8" s="1">
        <v>0</v>
      </c>
      <c r="BV8" s="1">
        <v>0</v>
      </c>
      <c r="BW8" s="1">
        <v>0</v>
      </c>
      <c r="BZ8" s="1">
        <v>0</v>
      </c>
      <c r="CA8" s="1">
        <v>0</v>
      </c>
      <c r="CB8" s="1">
        <f>COUNTIF(Tbl_50_Pile_Type_Design[Parent Shaft Type],Tbl_X2_30_Loads_Stick_Up[[#This Row],[Shaft Type]])</f>
        <v>0</v>
      </c>
    </row>
    <row r="17" spans="4:7" x14ac:dyDescent="0.3">
      <c r="D17" t="s">
        <v>467</v>
      </c>
      <c r="E17" t="s">
        <v>548</v>
      </c>
      <c r="F17" t="s">
        <v>549</v>
      </c>
      <c r="G17" t="s">
        <v>466</v>
      </c>
    </row>
    <row r="18" spans="4:7" x14ac:dyDescent="0.3">
      <c r="D18" t="s">
        <v>467</v>
      </c>
      <c r="E18" t="s">
        <v>548</v>
      </c>
      <c r="F18" t="s">
        <v>549</v>
      </c>
      <c r="G18" t="s">
        <v>466</v>
      </c>
    </row>
    <row r="19" spans="4:7" x14ac:dyDescent="0.3">
      <c r="D19"/>
      <c r="E19"/>
      <c r="F19"/>
      <c r="G19"/>
    </row>
    <row r="20" spans="4:7" x14ac:dyDescent="0.3">
      <c r="D20"/>
      <c r="E20"/>
      <c r="F20"/>
      <c r="G20"/>
    </row>
    <row r="21" spans="4:7" x14ac:dyDescent="0.3">
      <c r="D21"/>
      <c r="E21"/>
      <c r="F21"/>
      <c r="G21"/>
    </row>
    <row r="22" spans="4:7" x14ac:dyDescent="0.3">
      <c r="D22"/>
      <c r="E22"/>
      <c r="F22"/>
      <c r="G22"/>
    </row>
  </sheetData>
  <pageMargins left="0.7" right="0.7" top="0.75" bottom="0.75" header="0.3" footer="0.3"/>
  <pageSetup paperSize="0" orientation="portrait" r:id="rId1"/>
  <drawing r:id="rId2"/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CD73F-CB7E-41D4-BC37-8C5489753A86}">
  <sheetPr codeName="Sheet_750"/>
  <dimension ref="A1:D13"/>
  <sheetViews>
    <sheetView showGridLines="0" zoomScale="80" zoomScaleNormal="80" workbookViewId="0">
      <selection activeCell="C4" sqref="C4:C5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38.4257812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 t="s">
        <v>157</v>
      </c>
      <c r="D4" s="6"/>
    </row>
    <row r="5" spans="1:4" ht="17.25" x14ac:dyDescent="0.3">
      <c r="C5" t="s">
        <v>467</v>
      </c>
      <c r="D5" s="9"/>
    </row>
    <row r="6" spans="1:4" ht="17.25" x14ac:dyDescent="0.3">
      <c r="C6" t="s">
        <v>549</v>
      </c>
      <c r="D6" s="9"/>
    </row>
    <row r="7" spans="1:4" ht="17.25" x14ac:dyDescent="0.3">
      <c r="C7" t="s">
        <v>466</v>
      </c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D12" s="9"/>
    </row>
    <row r="13" spans="1:4" ht="17.25" x14ac:dyDescent="0.3">
      <c r="D13" s="9"/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490E0-26DF-4088-A8D6-2BF3F92EE367}">
  <sheetPr codeName="Sheet_799"/>
  <dimension ref="A1:D13"/>
  <sheetViews>
    <sheetView showGridLines="0" zoomScale="80" zoomScaleNormal="80" workbookViewId="0">
      <selection activeCell="N36" sqref="N36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1.2851562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9"/>
    </row>
    <row r="6" spans="1:4" ht="17.25" x14ac:dyDescent="0.3">
      <c r="C6" s="6"/>
      <c r="D6" s="9"/>
    </row>
    <row r="7" spans="1:4" ht="17.25" x14ac:dyDescent="0.3">
      <c r="C7" s="6"/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_800"/>
  <dimension ref="A1:D12"/>
  <sheetViews>
    <sheetView showGridLines="0" zoomScale="80" zoomScaleNormal="80" workbookViewId="0">
      <selection activeCell="G23" sqref="G2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26" style="6" bestFit="1" customWidth="1"/>
    <col min="4" max="4" width="38.42578125" style="6" bestFit="1" customWidth="1"/>
    <col min="5" max="16384" width="9.140625" style="6"/>
  </cols>
  <sheetData>
    <row r="1" spans="1:4" s="8" customFormat="1" ht="129" customHeight="1" thickBot="1" x14ac:dyDescent="0.35">
      <c r="A1" s="7"/>
    </row>
    <row r="2" spans="1:4" ht="18" thickTop="1" x14ac:dyDescent="0.3"/>
    <row r="3" spans="1:4" x14ac:dyDescent="0.3">
      <c r="C3" s="6" t="s">
        <v>23</v>
      </c>
      <c r="D3" s="6" t="s">
        <v>26</v>
      </c>
    </row>
    <row r="4" spans="1:4" x14ac:dyDescent="0.3">
      <c r="C4" s="6" t="s">
        <v>24</v>
      </c>
      <c r="D4" s="9" t="s">
        <v>25</v>
      </c>
    </row>
    <row r="5" spans="1:4" x14ac:dyDescent="0.3">
      <c r="C5" s="6" t="s">
        <v>27</v>
      </c>
      <c r="D5" s="9" t="s">
        <v>28</v>
      </c>
    </row>
    <row r="6" spans="1:4" x14ac:dyDescent="0.3">
      <c r="C6" s="6" t="s">
        <v>29</v>
      </c>
      <c r="D6" s="9" t="s">
        <v>30</v>
      </c>
    </row>
    <row r="7" spans="1:4" x14ac:dyDescent="0.3">
      <c r="C7" s="6" t="s">
        <v>31</v>
      </c>
      <c r="D7" s="9" t="s">
        <v>32</v>
      </c>
    </row>
    <row r="8" spans="1:4" x14ac:dyDescent="0.3">
      <c r="C8" s="6" t="s">
        <v>33</v>
      </c>
      <c r="D8" s="9" t="s">
        <v>34</v>
      </c>
    </row>
    <row r="9" spans="1:4" x14ac:dyDescent="0.3">
      <c r="C9" s="6" t="s">
        <v>35</v>
      </c>
      <c r="D9" s="9" t="s">
        <v>36</v>
      </c>
    </row>
    <row r="10" spans="1:4" x14ac:dyDescent="0.3">
      <c r="C10" s="6" t="s">
        <v>37</v>
      </c>
      <c r="D10" s="9" t="s">
        <v>38</v>
      </c>
    </row>
    <row r="11" spans="1:4" x14ac:dyDescent="0.3">
      <c r="C11" s="6" t="s">
        <v>39</v>
      </c>
      <c r="D11" s="9" t="s">
        <v>40</v>
      </c>
    </row>
    <row r="12" spans="1:4" x14ac:dyDescent="0.3">
      <c r="C12" s="6" t="s">
        <v>41</v>
      </c>
      <c r="D12" s="9" t="s">
        <v>42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803"/>
  <dimension ref="A1:AG17"/>
  <sheetViews>
    <sheetView showGridLines="0" zoomScale="80" zoomScaleNormal="80" workbookViewId="0"/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24.140625" style="6" bestFit="1" customWidth="1"/>
    <col min="4" max="4" width="3.7109375" style="6" customWidth="1"/>
    <col min="5" max="5" width="16" style="6" customWidth="1"/>
    <col min="6" max="6" width="15" style="6" customWidth="1"/>
    <col min="7" max="7" width="7" style="6" bestFit="1" customWidth="1"/>
    <col min="8" max="8" width="6.42578125" style="6" bestFit="1" customWidth="1"/>
    <col min="9" max="9" width="17.7109375" style="6" bestFit="1" customWidth="1"/>
    <col min="10" max="10" width="9.140625" style="6"/>
    <col min="11" max="11" width="17" style="6" bestFit="1" customWidth="1"/>
    <col min="12" max="12" width="23.7109375" style="6" bestFit="1" customWidth="1"/>
    <col min="13" max="13" width="9.140625" style="6"/>
    <col min="14" max="14" width="24.140625" style="6" bestFit="1" customWidth="1"/>
    <col min="15" max="15" width="24.140625" style="6" customWidth="1"/>
    <col min="16" max="16" width="4.42578125" style="6" customWidth="1"/>
    <col min="17" max="17" width="26" style="6" bestFit="1" customWidth="1"/>
    <col min="18" max="18" width="9.140625" style="6"/>
    <col min="19" max="19" width="24.42578125" style="6" bestFit="1" customWidth="1"/>
    <col min="20" max="20" width="9.140625" style="6"/>
    <col min="21" max="21" width="18.7109375" style="6" bestFit="1" customWidth="1"/>
    <col min="22" max="22" width="9.140625" style="6"/>
    <col min="23" max="23" width="33.7109375" style="6" bestFit="1" customWidth="1"/>
    <col min="24" max="24" width="9.140625" style="6"/>
    <col min="25" max="25" width="15.7109375" style="6" bestFit="1" customWidth="1"/>
    <col min="26" max="26" width="9.140625" style="6"/>
    <col min="27" max="27" width="30.85546875" style="6" bestFit="1" customWidth="1"/>
    <col min="28" max="28" width="6.140625" style="6" customWidth="1"/>
    <col min="29" max="29" width="14.5703125" style="6" customWidth="1"/>
    <col min="30" max="31" width="8.140625" style="6" bestFit="1" customWidth="1"/>
    <col min="32" max="33" width="7.140625" style="6" bestFit="1" customWidth="1"/>
    <col min="34" max="16384" width="9.140625" style="6"/>
  </cols>
  <sheetData>
    <row r="1" spans="1:33" s="8" customFormat="1" ht="129" customHeight="1" thickBot="1" x14ac:dyDescent="0.35">
      <c r="A1" s="7"/>
    </row>
    <row r="2" spans="1:33" ht="18" thickTop="1" x14ac:dyDescent="0.3"/>
    <row r="4" spans="1:33" x14ac:dyDescent="0.3">
      <c r="C4" s="6" t="s">
        <v>43</v>
      </c>
      <c r="E4" s="6" t="s">
        <v>216</v>
      </c>
      <c r="F4" s="6" t="s">
        <v>20</v>
      </c>
      <c r="G4" s="6" t="s">
        <v>322</v>
      </c>
      <c r="H4" s="6" t="s">
        <v>323</v>
      </c>
      <c r="I4" s="6" t="s">
        <v>324</v>
      </c>
      <c r="K4" s="6" t="s">
        <v>17</v>
      </c>
      <c r="L4" s="6" t="s">
        <v>50</v>
      </c>
      <c r="N4" s="6" t="s">
        <v>74</v>
      </c>
      <c r="O4" t="s">
        <v>116</v>
      </c>
      <c r="Q4" s="6" t="s">
        <v>115</v>
      </c>
      <c r="S4" s="6" t="s">
        <v>97</v>
      </c>
      <c r="U4" s="6" t="s">
        <v>98</v>
      </c>
      <c r="W4" s="6" t="s">
        <v>102</v>
      </c>
      <c r="Y4" s="6" t="s">
        <v>99</v>
      </c>
      <c r="AA4" s="6" t="s">
        <v>110</v>
      </c>
      <c r="AC4" s="6" t="s">
        <v>20</v>
      </c>
      <c r="AD4" s="277" t="s">
        <v>513</v>
      </c>
      <c r="AE4" s="277" t="s">
        <v>503</v>
      </c>
      <c r="AF4" s="277" t="s">
        <v>504</v>
      </c>
      <c r="AG4" s="277" t="s">
        <v>514</v>
      </c>
    </row>
    <row r="5" spans="1:33" x14ac:dyDescent="0.3">
      <c r="C5" s="6" t="s">
        <v>44</v>
      </c>
      <c r="E5" s="6" t="s">
        <v>70</v>
      </c>
      <c r="F5">
        <v>0</v>
      </c>
      <c r="G5">
        <v>0</v>
      </c>
      <c r="H5">
        <v>0</v>
      </c>
      <c r="I5" s="42">
        <v>0</v>
      </c>
      <c r="K5" s="6" t="s">
        <v>51</v>
      </c>
      <c r="L5" s="6" t="s">
        <v>52</v>
      </c>
      <c r="N5" s="6" t="s">
        <v>93</v>
      </c>
      <c r="O5" s="6" t="s">
        <v>98</v>
      </c>
      <c r="Q5" s="6" t="s">
        <v>100</v>
      </c>
      <c r="S5" s="6" t="s">
        <v>98</v>
      </c>
      <c r="U5" s="6" t="s">
        <v>108</v>
      </c>
      <c r="W5" s="6" t="s">
        <v>103</v>
      </c>
      <c r="Y5" s="6" t="s">
        <v>100</v>
      </c>
      <c r="AA5" s="6" t="s">
        <v>111</v>
      </c>
      <c r="AC5" s="276">
        <v>3</v>
      </c>
      <c r="AD5" s="42">
        <v>123000</v>
      </c>
      <c r="AE5" s="42">
        <v>123000</v>
      </c>
      <c r="AF5" s="42">
        <v>70000</v>
      </c>
      <c r="AG5" s="42">
        <v>56000</v>
      </c>
    </row>
    <row r="6" spans="1:33" x14ac:dyDescent="0.3">
      <c r="C6" s="6" t="s">
        <v>45</v>
      </c>
      <c r="E6" s="6" t="s">
        <v>70</v>
      </c>
      <c r="F6">
        <v>1.5</v>
      </c>
      <c r="G6">
        <v>0</v>
      </c>
      <c r="H6">
        <v>10</v>
      </c>
      <c r="I6" s="42">
        <v>7000</v>
      </c>
      <c r="K6" s="6" t="s">
        <v>53</v>
      </c>
      <c r="L6" s="6" t="s">
        <v>54</v>
      </c>
      <c r="N6" s="6" t="s">
        <v>94</v>
      </c>
      <c r="O6" s="6" t="s">
        <v>99</v>
      </c>
      <c r="Q6" s="6" t="s">
        <v>101</v>
      </c>
      <c r="S6" s="6" t="s">
        <v>99</v>
      </c>
      <c r="U6" s="6" t="s">
        <v>109</v>
      </c>
      <c r="W6" s="6" t="s">
        <v>104</v>
      </c>
      <c r="Y6" s="6" t="s">
        <v>101</v>
      </c>
      <c r="AA6" s="6" t="s">
        <v>112</v>
      </c>
      <c r="AC6" s="276">
        <v>4</v>
      </c>
      <c r="AD6" s="42">
        <v>158000</v>
      </c>
      <c r="AE6" s="42">
        <v>158000</v>
      </c>
      <c r="AF6" s="42">
        <v>70000</v>
      </c>
      <c r="AG6" s="42">
        <v>56000</v>
      </c>
    </row>
    <row r="7" spans="1:33" x14ac:dyDescent="0.3">
      <c r="C7" s="6" t="s">
        <v>46</v>
      </c>
      <c r="E7" s="6" t="s">
        <v>70</v>
      </c>
      <c r="F7">
        <v>1.75</v>
      </c>
      <c r="G7">
        <v>0</v>
      </c>
      <c r="H7">
        <v>10</v>
      </c>
      <c r="I7" s="42">
        <v>11000</v>
      </c>
      <c r="K7" s="6" t="s">
        <v>55</v>
      </c>
      <c r="L7" s="6" t="s">
        <v>144</v>
      </c>
      <c r="N7" s="6" t="s">
        <v>95</v>
      </c>
      <c r="O7" s="6" t="s">
        <v>99</v>
      </c>
      <c r="Q7" s="6" t="s">
        <v>108</v>
      </c>
      <c r="W7" s="6" t="s">
        <v>105</v>
      </c>
      <c r="AA7" s="6" t="s">
        <v>105</v>
      </c>
    </row>
    <row r="8" spans="1:33" x14ac:dyDescent="0.3">
      <c r="E8" s="6" t="s">
        <v>70</v>
      </c>
      <c r="F8">
        <v>3</v>
      </c>
      <c r="G8">
        <v>0.313</v>
      </c>
      <c r="H8">
        <v>8</v>
      </c>
      <c r="I8" s="42">
        <v>15000</v>
      </c>
      <c r="N8" s="6" t="s">
        <v>96</v>
      </c>
      <c r="O8" s="6" t="s">
        <v>98</v>
      </c>
      <c r="Q8" s="6" t="s">
        <v>109</v>
      </c>
      <c r="W8" s="6" t="s">
        <v>106</v>
      </c>
      <c r="AA8" s="6" t="s">
        <v>113</v>
      </c>
    </row>
    <row r="9" spans="1:33" x14ac:dyDescent="0.3">
      <c r="E9" s="6" t="s">
        <v>70</v>
      </c>
      <c r="F9">
        <v>4</v>
      </c>
      <c r="G9">
        <v>0.25</v>
      </c>
      <c r="H9">
        <v>7</v>
      </c>
      <c r="I9" s="42">
        <v>21000</v>
      </c>
      <c r="W9" s="6" t="s">
        <v>107</v>
      </c>
      <c r="AA9" s="6" t="s">
        <v>114</v>
      </c>
    </row>
    <row r="10" spans="1:33" x14ac:dyDescent="0.3">
      <c r="E10" s="6" t="s">
        <v>69</v>
      </c>
      <c r="F10">
        <v>5.5</v>
      </c>
      <c r="G10">
        <v>0.30399999999999999</v>
      </c>
      <c r="H10">
        <v>5</v>
      </c>
      <c r="I10" s="42">
        <v>46000</v>
      </c>
    </row>
    <row r="11" spans="1:33" x14ac:dyDescent="0.3">
      <c r="E11" s="6" t="s">
        <v>69</v>
      </c>
      <c r="F11">
        <v>7</v>
      </c>
      <c r="G11">
        <v>0.36199999999999999</v>
      </c>
      <c r="H11">
        <v>4</v>
      </c>
      <c r="I11" s="42">
        <v>65000</v>
      </c>
    </row>
    <row r="12" spans="1:33" x14ac:dyDescent="0.3">
      <c r="E12" s="6" t="s">
        <v>69</v>
      </c>
      <c r="F12">
        <v>10.75</v>
      </c>
      <c r="G12">
        <v>0.36499999999999999</v>
      </c>
      <c r="H12">
        <v>3</v>
      </c>
      <c r="I12" s="42">
        <v>118000</v>
      </c>
    </row>
    <row r="13" spans="1:33" x14ac:dyDescent="0.3">
      <c r="E13" s="6" t="s">
        <v>69</v>
      </c>
      <c r="F13">
        <v>12.75</v>
      </c>
      <c r="G13">
        <v>0.375</v>
      </c>
      <c r="H13">
        <v>2</v>
      </c>
      <c r="I13" s="42">
        <v>170000</v>
      </c>
    </row>
    <row r="14" spans="1:33" x14ac:dyDescent="0.3">
      <c r="E14" s="6" t="s">
        <v>69</v>
      </c>
      <c r="F14">
        <v>16</v>
      </c>
      <c r="G14">
        <v>0.375</v>
      </c>
      <c r="H14">
        <v>2</v>
      </c>
      <c r="I14" s="42">
        <v>225000</v>
      </c>
    </row>
    <row r="15" spans="1:33" x14ac:dyDescent="0.3">
      <c r="E15" s="6" t="s">
        <v>69</v>
      </c>
      <c r="F15">
        <v>20</v>
      </c>
      <c r="G15">
        <v>0.375</v>
      </c>
      <c r="H15">
        <v>2</v>
      </c>
      <c r="I15" s="42">
        <v>230000</v>
      </c>
    </row>
    <row r="16" spans="1:33" x14ac:dyDescent="0.3">
      <c r="E16" s="6" t="s">
        <v>69</v>
      </c>
      <c r="F16">
        <v>24</v>
      </c>
      <c r="G16">
        <v>0.375</v>
      </c>
      <c r="H16">
        <v>2</v>
      </c>
      <c r="I16" s="42">
        <v>335000</v>
      </c>
    </row>
    <row r="17" spans="5:9" x14ac:dyDescent="0.3">
      <c r="E17" s="6" t="s">
        <v>69</v>
      </c>
      <c r="F17">
        <v>26</v>
      </c>
      <c r="G17">
        <v>0.375</v>
      </c>
      <c r="H17">
        <v>2</v>
      </c>
      <c r="I17" s="42">
        <v>335000</v>
      </c>
    </row>
  </sheetData>
  <dataConsolidate link="1"/>
  <pageMargins left="0.7" right="0.7" top="0.75" bottom="0.75" header="0.3" footer="0.3"/>
  <pageSetup orientation="portrait" r:id="rId1"/>
  <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804"/>
  <dimension ref="A1:AA25"/>
  <sheetViews>
    <sheetView showGridLines="0" zoomScale="80" zoomScaleNormal="80" workbookViewId="0">
      <selection activeCell="AA9" sqref="AA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6.28515625" style="6" bestFit="1" customWidth="1"/>
    <col min="5" max="5" width="9.140625" style="6"/>
    <col min="6" max="6" width="14.5703125" style="6" bestFit="1" customWidth="1"/>
    <col min="7" max="13" width="9.140625" style="6"/>
    <col min="14" max="14" width="9.140625" style="6" customWidth="1"/>
    <col min="15" max="17" width="9.140625" style="6"/>
    <col min="18" max="18" width="8.5703125" style="6" customWidth="1"/>
    <col min="19" max="19" width="15.7109375" style="6" bestFit="1" customWidth="1"/>
    <col min="20" max="20" width="8" style="6" bestFit="1" customWidth="1"/>
    <col min="21" max="23" width="8.5703125" style="6" customWidth="1"/>
    <col min="24" max="24" width="5.140625" style="6" customWidth="1"/>
    <col min="25" max="26" width="9.140625" style="6"/>
    <col min="27" max="27" width="12.42578125" style="6" customWidth="1"/>
    <col min="28" max="16384" width="9.140625" style="6"/>
  </cols>
  <sheetData>
    <row r="1" spans="1:27" s="8" customFormat="1" ht="129" customHeight="1" thickBot="1" x14ac:dyDescent="0.35">
      <c r="A1" s="7"/>
    </row>
    <row r="2" spans="1:27" ht="18" thickTop="1" x14ac:dyDescent="0.3"/>
    <row r="4" spans="1:27" x14ac:dyDescent="0.3">
      <c r="D4" s="6" t="s">
        <v>61</v>
      </c>
      <c r="F4" s="6" t="s">
        <v>20</v>
      </c>
      <c r="Q4" t="s">
        <v>20</v>
      </c>
      <c r="S4" t="s">
        <v>215</v>
      </c>
      <c r="T4" t="s">
        <v>67</v>
      </c>
      <c r="U4" t="s">
        <v>68</v>
      </c>
      <c r="V4" t="s">
        <v>65</v>
      </c>
      <c r="W4" t="s">
        <v>66</v>
      </c>
      <c r="Y4" t="s">
        <v>216</v>
      </c>
      <c r="Z4" t="s">
        <v>20</v>
      </c>
      <c r="AA4" t="s">
        <v>217</v>
      </c>
    </row>
    <row r="5" spans="1:27" x14ac:dyDescent="0.3">
      <c r="D5" t="s">
        <v>69</v>
      </c>
      <c r="F5" t="s">
        <v>67</v>
      </c>
      <c r="Q5" t="s">
        <v>56</v>
      </c>
      <c r="S5">
        <v>6</v>
      </c>
      <c r="T5">
        <v>22.9</v>
      </c>
      <c r="U5">
        <v>22.2</v>
      </c>
      <c r="V5">
        <v>16.600000000000001</v>
      </c>
      <c r="W5">
        <v>0</v>
      </c>
      <c r="Y5" t="s">
        <v>70</v>
      </c>
      <c r="Z5" t="s">
        <v>67</v>
      </c>
      <c r="AA5">
        <v>0</v>
      </c>
    </row>
    <row r="6" spans="1:27" x14ac:dyDescent="0.3">
      <c r="D6" t="s">
        <v>70</v>
      </c>
      <c r="F6" t="s">
        <v>68</v>
      </c>
      <c r="Q6" t="s">
        <v>57</v>
      </c>
      <c r="S6">
        <v>8</v>
      </c>
      <c r="T6">
        <v>43.9</v>
      </c>
      <c r="U6">
        <v>43.1</v>
      </c>
      <c r="V6">
        <v>37.5</v>
      </c>
      <c r="W6">
        <v>30.7</v>
      </c>
      <c r="Y6" t="s">
        <v>70</v>
      </c>
      <c r="Z6" t="s">
        <v>68</v>
      </c>
      <c r="AA6">
        <v>0</v>
      </c>
    </row>
    <row r="7" spans="1:27" x14ac:dyDescent="0.3">
      <c r="Q7" t="s">
        <v>58</v>
      </c>
      <c r="S7">
        <v>10</v>
      </c>
      <c r="T7">
        <v>71.099999999999994</v>
      </c>
      <c r="U7">
        <v>70.3</v>
      </c>
      <c r="V7">
        <v>64.7</v>
      </c>
      <c r="W7">
        <v>57.9</v>
      </c>
      <c r="Y7" t="s">
        <v>70</v>
      </c>
      <c r="Z7" t="s">
        <v>65</v>
      </c>
      <c r="AA7">
        <v>0.313</v>
      </c>
    </row>
    <row r="8" spans="1:27" x14ac:dyDescent="0.3">
      <c r="Q8" t="s">
        <v>59</v>
      </c>
      <c r="S8">
        <v>12</v>
      </c>
      <c r="T8">
        <v>104</v>
      </c>
      <c r="U8">
        <v>103</v>
      </c>
      <c r="V8">
        <v>97.7</v>
      </c>
      <c r="W8">
        <v>90.9</v>
      </c>
      <c r="Y8" t="s">
        <v>70</v>
      </c>
      <c r="Z8" t="s">
        <v>66</v>
      </c>
      <c r="AA8">
        <v>0.25</v>
      </c>
    </row>
    <row r="9" spans="1:27" x14ac:dyDescent="0.3">
      <c r="F9" s="6" t="s">
        <v>20</v>
      </c>
      <c r="Q9" t="s">
        <v>60</v>
      </c>
      <c r="S9">
        <v>14</v>
      </c>
      <c r="T9">
        <v>143</v>
      </c>
      <c r="U9">
        <v>142</v>
      </c>
      <c r="V9">
        <v>137</v>
      </c>
      <c r="W9">
        <v>130</v>
      </c>
      <c r="Y9" t="s">
        <v>69</v>
      </c>
      <c r="Z9" t="s">
        <v>62</v>
      </c>
      <c r="AA9">
        <v>0.30399999999999999</v>
      </c>
    </row>
    <row r="10" spans="1:27" x14ac:dyDescent="0.3">
      <c r="F10" t="s">
        <v>65</v>
      </c>
      <c r="S10">
        <v>16</v>
      </c>
      <c r="T10">
        <v>188</v>
      </c>
      <c r="U10">
        <v>187</v>
      </c>
      <c r="V10">
        <v>182</v>
      </c>
      <c r="W10">
        <v>175</v>
      </c>
      <c r="Y10" t="s">
        <v>69</v>
      </c>
      <c r="Z10" t="s">
        <v>63</v>
      </c>
      <c r="AA10">
        <v>0.36199999999999999</v>
      </c>
    </row>
    <row r="11" spans="1:27" x14ac:dyDescent="0.3">
      <c r="F11" t="s">
        <v>66</v>
      </c>
      <c r="S11">
        <v>18</v>
      </c>
      <c r="T11">
        <v>0</v>
      </c>
      <c r="U11">
        <v>0</v>
      </c>
      <c r="V11">
        <v>0</v>
      </c>
      <c r="W11">
        <v>226</v>
      </c>
      <c r="Y11" t="s">
        <v>69</v>
      </c>
      <c r="Z11" t="s">
        <v>64</v>
      </c>
      <c r="AA11">
        <v>0.36499999999999999</v>
      </c>
    </row>
    <row r="12" spans="1:27" x14ac:dyDescent="0.3">
      <c r="Y12" t="s">
        <v>69</v>
      </c>
      <c r="Z12" t="s">
        <v>56</v>
      </c>
      <c r="AA12">
        <v>0.375</v>
      </c>
    </row>
    <row r="13" spans="1:27" x14ac:dyDescent="0.3">
      <c r="Y13" t="s">
        <v>69</v>
      </c>
      <c r="Z13" t="s">
        <v>57</v>
      </c>
      <c r="AA13">
        <v>0.375</v>
      </c>
    </row>
    <row r="14" spans="1:27" x14ac:dyDescent="0.3">
      <c r="Y14" t="s">
        <v>69</v>
      </c>
      <c r="Z14" t="s">
        <v>58</v>
      </c>
      <c r="AA14">
        <v>0.375</v>
      </c>
    </row>
    <row r="19" spans="6:6" x14ac:dyDescent="0.3">
      <c r="F19" s="6" t="s">
        <v>20</v>
      </c>
    </row>
    <row r="20" spans="6:6" x14ac:dyDescent="0.3">
      <c r="F20" t="s">
        <v>62</v>
      </c>
    </row>
    <row r="21" spans="6:6" x14ac:dyDescent="0.3">
      <c r="F21" t="s">
        <v>63</v>
      </c>
    </row>
    <row r="22" spans="6:6" x14ac:dyDescent="0.3">
      <c r="F22" t="s">
        <v>64</v>
      </c>
    </row>
    <row r="23" spans="6:6" x14ac:dyDescent="0.3">
      <c r="F23" t="s">
        <v>56</v>
      </c>
    </row>
    <row r="24" spans="6:6" x14ac:dyDescent="0.3">
      <c r="F24" t="s">
        <v>57</v>
      </c>
    </row>
    <row r="25" spans="6:6" x14ac:dyDescent="0.3">
      <c r="F25" t="s">
        <v>58</v>
      </c>
    </row>
  </sheetData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E96E4-6637-4219-84DE-BF70E5F28F31}">
  <sheetPr codeName="Sheet_808"/>
  <dimension ref="A1:N15"/>
  <sheetViews>
    <sheetView showGridLines="0" zoomScale="80" zoomScaleNormal="80" workbookViewId="0">
      <selection activeCell="D8" sqref="D8:M8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7" width="16" style="6" customWidth="1"/>
    <col min="8" max="8" width="16" style="6" bestFit="1" customWidth="1"/>
    <col min="9" max="14" width="16" style="6" customWidth="1"/>
    <col min="15" max="15" width="10.28515625" style="6" customWidth="1"/>
    <col min="16" max="16384" width="9.140625" style="6"/>
  </cols>
  <sheetData>
    <row r="1" spans="1:14" s="8" customFormat="1" ht="129" customHeight="1" thickBot="1" x14ac:dyDescent="0.35">
      <c r="A1" s="7"/>
    </row>
    <row r="2" spans="1:14" ht="18" thickTop="1" x14ac:dyDescent="0.3"/>
    <row r="4" spans="1:14" x14ac:dyDescent="0.3">
      <c r="D4" t="s">
        <v>183</v>
      </c>
      <c r="E4" t="s">
        <v>184</v>
      </c>
      <c r="F4" t="s">
        <v>185</v>
      </c>
      <c r="G4" t="s">
        <v>186</v>
      </c>
      <c r="H4" t="s">
        <v>187</v>
      </c>
      <c r="I4" t="s">
        <v>188</v>
      </c>
      <c r="J4" t="s">
        <v>189</v>
      </c>
      <c r="K4" t="s">
        <v>190</v>
      </c>
      <c r="L4" t="s">
        <v>191</v>
      </c>
      <c r="M4" t="s">
        <v>192</v>
      </c>
      <c r="N4" t="s">
        <v>193</v>
      </c>
    </row>
    <row r="5" spans="1:14" x14ac:dyDescent="0.3">
      <c r="D5" t="s">
        <v>194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5</v>
      </c>
      <c r="L5">
        <v>5</v>
      </c>
      <c r="M5">
        <v>0.42</v>
      </c>
      <c r="N5"/>
    </row>
    <row r="6" spans="1:14" x14ac:dyDescent="0.3">
      <c r="D6" t="s">
        <v>195</v>
      </c>
      <c r="E6">
        <v>0</v>
      </c>
      <c r="F6">
        <v>2</v>
      </c>
      <c r="G6">
        <v>2</v>
      </c>
      <c r="H6">
        <v>0.17</v>
      </c>
      <c r="I6">
        <v>3</v>
      </c>
      <c r="J6">
        <v>0.25</v>
      </c>
      <c r="K6">
        <v>5</v>
      </c>
      <c r="L6">
        <v>6.5</v>
      </c>
      <c r="M6">
        <v>0.54</v>
      </c>
      <c r="N6"/>
    </row>
    <row r="7" spans="1:14" x14ac:dyDescent="0.3">
      <c r="D7" t="s">
        <v>196</v>
      </c>
      <c r="E7">
        <v>0</v>
      </c>
      <c r="F7">
        <v>2</v>
      </c>
      <c r="G7">
        <v>2</v>
      </c>
      <c r="H7">
        <v>0.17</v>
      </c>
      <c r="I7">
        <v>3</v>
      </c>
      <c r="J7">
        <v>0.25</v>
      </c>
      <c r="K7">
        <v>5</v>
      </c>
      <c r="L7">
        <v>6.75</v>
      </c>
      <c r="M7">
        <v>0.56000000000000005</v>
      </c>
      <c r="N7"/>
    </row>
    <row r="8" spans="1:14" x14ac:dyDescent="0.3">
      <c r="D8" t="s">
        <v>197</v>
      </c>
      <c r="E8">
        <v>0</v>
      </c>
      <c r="F8">
        <v>2</v>
      </c>
      <c r="G8">
        <v>2</v>
      </c>
      <c r="H8">
        <v>0.17</v>
      </c>
      <c r="I8">
        <v>3</v>
      </c>
      <c r="J8">
        <v>0.25</v>
      </c>
      <c r="K8">
        <v>5</v>
      </c>
      <c r="L8">
        <v>8</v>
      </c>
      <c r="M8">
        <v>0.67</v>
      </c>
      <c r="N8"/>
    </row>
    <row r="9" spans="1:14" x14ac:dyDescent="0.3">
      <c r="D9" t="s">
        <v>198</v>
      </c>
      <c r="E9">
        <v>0</v>
      </c>
      <c r="F9">
        <v>2</v>
      </c>
      <c r="G9">
        <v>2</v>
      </c>
      <c r="H9">
        <v>0.17</v>
      </c>
      <c r="I9">
        <v>3</v>
      </c>
      <c r="J9">
        <v>0.25</v>
      </c>
      <c r="K9">
        <v>5</v>
      </c>
      <c r="L9">
        <v>9</v>
      </c>
      <c r="M9">
        <v>0.75</v>
      </c>
      <c r="N9"/>
    </row>
    <row r="10" spans="1:14" x14ac:dyDescent="0.3">
      <c r="D10" t="s">
        <v>199</v>
      </c>
      <c r="E10">
        <v>9.75</v>
      </c>
      <c r="F10">
        <v>2</v>
      </c>
      <c r="G10">
        <v>11.75</v>
      </c>
      <c r="H10">
        <v>0.98</v>
      </c>
      <c r="I10">
        <v>6</v>
      </c>
      <c r="J10">
        <v>0.5</v>
      </c>
      <c r="K10">
        <v>5</v>
      </c>
      <c r="L10">
        <v>10.5</v>
      </c>
      <c r="M10">
        <v>0.88</v>
      </c>
      <c r="N10"/>
    </row>
    <row r="11" spans="1:14" x14ac:dyDescent="0.3">
      <c r="D11" t="s">
        <v>200</v>
      </c>
      <c r="E11">
        <v>9.75</v>
      </c>
      <c r="F11">
        <v>2</v>
      </c>
      <c r="G11">
        <v>11.75</v>
      </c>
      <c r="H11">
        <v>0.98</v>
      </c>
      <c r="I11">
        <v>6</v>
      </c>
      <c r="J11">
        <v>0.5</v>
      </c>
      <c r="K11">
        <v>5</v>
      </c>
      <c r="L11">
        <v>12</v>
      </c>
      <c r="M11">
        <v>1</v>
      </c>
      <c r="N11"/>
    </row>
    <row r="12" spans="1:14" x14ac:dyDescent="0.3">
      <c r="D12" t="s">
        <v>201</v>
      </c>
      <c r="E12">
        <v>11.7</v>
      </c>
      <c r="F12">
        <v>2</v>
      </c>
      <c r="G12">
        <v>13.7</v>
      </c>
      <c r="H12">
        <v>1.1399999999999999</v>
      </c>
      <c r="I12">
        <v>6</v>
      </c>
      <c r="J12">
        <v>0.5</v>
      </c>
      <c r="K12">
        <v>5</v>
      </c>
      <c r="L12">
        <v>15.75</v>
      </c>
      <c r="M12">
        <v>1.31</v>
      </c>
      <c r="N12">
        <v>18</v>
      </c>
    </row>
    <row r="13" spans="1:14" x14ac:dyDescent="0.3">
      <c r="D13" t="s">
        <v>202</v>
      </c>
      <c r="E13">
        <v>14.62</v>
      </c>
      <c r="F13">
        <v>2</v>
      </c>
      <c r="G13">
        <v>16.62</v>
      </c>
      <c r="H13">
        <v>1.39</v>
      </c>
      <c r="I13">
        <v>6</v>
      </c>
      <c r="J13">
        <v>0.5</v>
      </c>
      <c r="K13">
        <v>5</v>
      </c>
      <c r="L13">
        <v>17.75</v>
      </c>
      <c r="M13">
        <v>1.48</v>
      </c>
      <c r="N13">
        <v>20</v>
      </c>
    </row>
    <row r="14" spans="1:14" x14ac:dyDescent="0.3">
      <c r="D14" t="s">
        <v>203</v>
      </c>
      <c r="E14">
        <v>14.62</v>
      </c>
      <c r="F14">
        <v>2</v>
      </c>
      <c r="G14">
        <v>16.62</v>
      </c>
      <c r="H14">
        <v>1.39</v>
      </c>
      <c r="I14">
        <v>6</v>
      </c>
      <c r="J14">
        <v>0.5</v>
      </c>
      <c r="K14">
        <v>5</v>
      </c>
      <c r="L14">
        <v>21</v>
      </c>
      <c r="M14">
        <v>1.75</v>
      </c>
      <c r="N14">
        <v>24</v>
      </c>
    </row>
    <row r="15" spans="1:14" x14ac:dyDescent="0.3">
      <c r="D15" t="s">
        <v>204</v>
      </c>
      <c r="E15">
        <v>14.62</v>
      </c>
      <c r="F15">
        <v>2</v>
      </c>
      <c r="G15">
        <v>16.62</v>
      </c>
      <c r="H15">
        <v>1.39</v>
      </c>
      <c r="I15">
        <v>6</v>
      </c>
      <c r="J15">
        <v>0.5</v>
      </c>
      <c r="K15">
        <v>5</v>
      </c>
      <c r="L15">
        <v>25</v>
      </c>
      <c r="M15">
        <v>2.08</v>
      </c>
      <c r="N15">
        <v>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_807"/>
  <dimension ref="A1:A2"/>
  <sheetViews>
    <sheetView showGridLines="0" zoomScale="80" zoomScaleNormal="80" workbookViewId="0">
      <selection activeCell="V49" sqref="V4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_999"/>
  <dimension ref="A1:A2"/>
  <sheetViews>
    <sheetView showGridLines="0" zoomScale="80" zoomScaleNormal="80" workbookViewId="0">
      <selection activeCell="R37" sqref="R37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132FBB-7CB2-4201-9BBC-34E8F8F0EC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Project_Home</vt:lpstr>
      <vt:lpstr>Cll_Rng_10_City</vt:lpstr>
      <vt:lpstr>Cll_Rng_10_Company</vt:lpstr>
      <vt:lpstr>Cll_Rng_10_Customer</vt:lpstr>
      <vt:lpstr>Cll_Rng_10_Date</vt:lpstr>
      <vt:lpstr>Cll_Rng_10_Engineer</vt:lpstr>
      <vt:lpstr>Cll_Rng_10_Engineering_Firm</vt:lpstr>
      <vt:lpstr>Cll_Rng_10_Firm</vt:lpstr>
      <vt:lpstr>Cll_Rng_10_IFQ_Revision</vt:lpstr>
      <vt:lpstr>Cll_Rng_10_Max_S1</vt:lpstr>
      <vt:lpstr>Cll_Rng_10_Max_SS</vt:lpstr>
      <vt:lpstr>Cll_Rng_10_PE</vt:lpstr>
      <vt:lpstr>Cll_Rng_10_Project_Name</vt:lpstr>
      <vt:lpstr>Cll_Rng_10_Report</vt:lpstr>
      <vt:lpstr>Cll_Rng_10_Revenue</vt:lpstr>
      <vt:lpstr>Cll_Rng_10_Sds</vt:lpstr>
      <vt:lpstr>Cll_Rng_10_State</vt:lpstr>
      <vt:lpstr>Cll_Rng_10_TPN</vt:lpstr>
      <vt:lpstr>Cll_Rng_10_Wind_Speed</vt:lpstr>
      <vt:lpstr>Cll_Rng_10_Zip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luis_pena</dc:creator>
  <cp:keywords/>
  <dc:description/>
  <cp:lastModifiedBy>pc</cp:lastModifiedBy>
  <cp:revision/>
  <cp:lastPrinted>2019-02-27T01:19:09Z</cp:lastPrinted>
  <dcterms:created xsi:type="dcterms:W3CDTF">2018-01-09T03:43:37Z</dcterms:created>
  <dcterms:modified xsi:type="dcterms:W3CDTF">2019-06-05T03:28:10Z</dcterms:modified>
  <cp:category/>
  <cp:contentStatus/>
</cp:coreProperties>
</file>