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wdal" sheetId="1" r:id="rId3"/>
    <sheet state="visible" name="Bakool" sheetId="2" r:id="rId4"/>
    <sheet state="visible" name="Banadir" sheetId="3" r:id="rId5"/>
    <sheet state="visible" name="Bari" sheetId="4" r:id="rId6"/>
    <sheet state="visible" name="Bay" sheetId="5" r:id="rId7"/>
    <sheet state="visible" name="Galgaduud" sheetId="6" r:id="rId8"/>
    <sheet state="visible" name="Gedo" sheetId="7" r:id="rId9"/>
    <sheet state="visible" name="Hiraan" sheetId="8" r:id="rId10"/>
    <sheet state="visible" name="Middle_(D)_Jubbada" sheetId="9" r:id="rId11"/>
    <sheet state="visible" name="Lower_(H)_Jubbada" sheetId="10" r:id="rId12"/>
    <sheet state="visible" name="Mudug" sheetId="11" r:id="rId13"/>
    <sheet state="visible" name="Nugaal" sheetId="12" r:id="rId14"/>
    <sheet state="visible" name="Sanaag" sheetId="13" r:id="rId15"/>
    <sheet state="visible" name="Middle_(D)_Shabelle" sheetId="14" r:id="rId16"/>
    <sheet state="visible" name="Lower_(H)_Shabelle" sheetId="15" r:id="rId17"/>
    <sheet state="visible" name="Sool" sheetId="16" r:id="rId18"/>
    <sheet state="visible" name="Togdheer" sheetId="17" r:id="rId19"/>
    <sheet state="visible" name="Woqooyi" sheetId="18" r:id="rId20"/>
    <sheet state="visible" name="Dollo" sheetId="19" r:id="rId21"/>
  </sheets>
  <definedNames/>
  <calcPr/>
</workbook>
</file>

<file path=xl/sharedStrings.xml><?xml version="1.0" encoding="utf-8"?>
<sst xmlns="http://schemas.openxmlformats.org/spreadsheetml/2006/main" count="8891" uniqueCount="394">
  <si>
    <t>Date</t>
  </si>
  <si>
    <t>actualarrivals</t>
  </si>
  <si>
    <t>a</t>
  </si>
  <si>
    <t>modelarrivals_BAY10arrivals</t>
  </si>
  <si>
    <t>modelarrivals_BAY11arrivals</t>
  </si>
  <si>
    <t>modelarrivals_BAY12arrivals</t>
  </si>
  <si>
    <t>modelarrivals_BAY13arrivals</t>
  </si>
  <si>
    <t>modelarrivals_BAY14arrivals</t>
  </si>
  <si>
    <t>modelarrivals_BAY15arrivals</t>
  </si>
  <si>
    <t>modelarrivals_BAY16arrivals</t>
  </si>
  <si>
    <t>modelarrivals_BAY17arrivals</t>
  </si>
  <si>
    <t>modelarrivals_BAY1arrivals</t>
  </si>
  <si>
    <t>modelarrivals_BAY2arrivals</t>
  </si>
  <si>
    <t>modelarrivals_BAY3arrivals</t>
  </si>
  <si>
    <t>modelarrivals_BAY4arrivals</t>
  </si>
  <si>
    <t>modelarrivals_BAY5arrivals</t>
  </si>
  <si>
    <t>modelarrivals_BAY6arrivals</t>
  </si>
  <si>
    <t>modelarrivals_BAY7arrivals</t>
  </si>
  <si>
    <t>modelarrivals_BAY8arrivals</t>
  </si>
  <si>
    <t>modelarrivals_BAY9arrivals</t>
  </si>
  <si>
    <t>modelarrivals_BAYA1arrivals</t>
  </si>
  <si>
    <t>modelarrivals_BAYA2arrivals</t>
  </si>
  <si>
    <t>modelarrivals_BAYA3arrivals</t>
  </si>
  <si>
    <t>modelarrivals_BAYA4arrivals</t>
  </si>
  <si>
    <t>modelarrivals_BAYA5arrivals</t>
  </si>
  <si>
    <t>modelarrivals_BAYA6arrivals</t>
  </si>
  <si>
    <t>NA</t>
  </si>
  <si>
    <t>modelarrivals_BK10arrivals</t>
  </si>
  <si>
    <t>modelarrivals_BK1arrivals</t>
  </si>
  <si>
    <t>modelarrivals_BK2arrivals</t>
  </si>
  <si>
    <t>modelarrivals_BK4arrivals</t>
  </si>
  <si>
    <t>modelarrivals_BK6arrivals</t>
  </si>
  <si>
    <t>modelarrivals_BK8arrivals</t>
  </si>
  <si>
    <t>modelarrivals_BK9arrivals</t>
  </si>
  <si>
    <t>modelarrivals_BKJUN3arrivals</t>
  </si>
  <si>
    <t>modelarrivals_BKJUN4arrivals</t>
  </si>
  <si>
    <t>modelarrivals_BKJUN5arrivals</t>
  </si>
  <si>
    <t>modelarrivals_BKJUN6arrivals</t>
  </si>
  <si>
    <t>modelarrivals_BKJUN8arrivals</t>
  </si>
  <si>
    <t>modelarrivals_BKJUN9arrivals</t>
  </si>
  <si>
    <t>modelarrivals_BKminus2arrivals</t>
  </si>
  <si>
    <t>modelarrivals_BKJUN7arrivals</t>
  </si>
  <si>
    <t>modelarrivals_BKminus1arrivals</t>
  </si>
  <si>
    <t>modelarrivals_BA10arrivals</t>
  </si>
  <si>
    <t>modelarrivals_BA1arrivals</t>
  </si>
  <si>
    <t>modelarrivals_BA2arrivals</t>
  </si>
  <si>
    <t>modelarrivals_BA3arrivals</t>
  </si>
  <si>
    <t>modelarrivals_BA5arrivals</t>
  </si>
  <si>
    <t>modelarrivals_BA6arrivals</t>
  </si>
  <si>
    <t>modelarrivals_BA7arrivals</t>
  </si>
  <si>
    <t>modelarrivals_BA8arrivals</t>
  </si>
  <si>
    <t>modelarrivals_BA9arrivals</t>
  </si>
  <si>
    <t>modelarrivals_BAJUN10arrivals</t>
  </si>
  <si>
    <t>modelarrivals_BAJUN1arrivals</t>
  </si>
  <si>
    <t>modelarrivals_BAJUN2arrivals</t>
  </si>
  <si>
    <t>modelarrivals_BAJUN3arrivals</t>
  </si>
  <si>
    <t>modelarrivals_BAJUN4arrivals</t>
  </si>
  <si>
    <t>modelarrivals_BAJUN5arrivals</t>
  </si>
  <si>
    <t>modelarrivals_BAJUN6arrivals</t>
  </si>
  <si>
    <t>modelarrivals_BAJUN7arrivals</t>
  </si>
  <si>
    <t>modelarrivals_BAJUN8arrivals</t>
  </si>
  <si>
    <t>modelarrivals_BAJUN9arrivals</t>
  </si>
  <si>
    <t>modelarrivals_BAminus1arrivals</t>
  </si>
  <si>
    <t>modelarrivals_BAminus2arrivals</t>
  </si>
  <si>
    <t>modelarrivals_BR10arrivals</t>
  </si>
  <si>
    <t>modelarrivals_BR2arrivals</t>
  </si>
  <si>
    <t>modelarrivals_BR3arrivals</t>
  </si>
  <si>
    <t>modelarrivals_BR4arrivals</t>
  </si>
  <si>
    <t>modelarrivals_BR6arrivals</t>
  </si>
  <si>
    <t>modelarrivals_BR7arrivals</t>
  </si>
  <si>
    <t>modelarrivals_BR9arrivals</t>
  </si>
  <si>
    <t>modelarrivals_BRJUN10arrivals</t>
  </si>
  <si>
    <t>modelarrivals_BRJUN1arrivals</t>
  </si>
  <si>
    <t>modelarrivals_BRJUN2arrivals</t>
  </si>
  <si>
    <t>modelarrivals_BRJUN3arrivals</t>
  </si>
  <si>
    <t>modelarrivals_BRJUN4arrivals</t>
  </si>
  <si>
    <t>modelarrivals_BRJUN5arrivals</t>
  </si>
  <si>
    <t>modelarrivals_BRJUN6arrivals</t>
  </si>
  <si>
    <t>modelarrivals_BRJUN7arrivals</t>
  </si>
  <si>
    <t>modelarrivals_BRJUN8arrivals</t>
  </si>
  <si>
    <t>modelarrivals_BRJUN9arrivals</t>
  </si>
  <si>
    <t>modelarrivals_BRminus1arrivals</t>
  </si>
  <si>
    <t>modelarrivals_BRminus2arrivals</t>
  </si>
  <si>
    <t>modelarrivalsminus1_4</t>
  </si>
  <si>
    <t>modelarrivalsminus1_5</t>
  </si>
  <si>
    <t>modelarrivals_GA10arrivals</t>
  </si>
  <si>
    <t>modelarrivals_GA1arrivals</t>
  </si>
  <si>
    <t>modelarrivals_GA2arrivals</t>
  </si>
  <si>
    <t>modelarrivals_GA3arrivals</t>
  </si>
  <si>
    <t>modelarrivals_GA4arrivals</t>
  </si>
  <si>
    <t>modelarrivals_GA5arrivals</t>
  </si>
  <si>
    <t>modelarrivals_GA6arrivals</t>
  </si>
  <si>
    <t>modelarrivals_GA7arrivals</t>
  </si>
  <si>
    <t>modelarrivals_GA8arrivals</t>
  </si>
  <si>
    <t>modelarrivals_GA9arrivals</t>
  </si>
  <si>
    <t>modelarrivals_GAJUN10arrivals</t>
  </si>
  <si>
    <t>modelarrivals_GAJUN1arrivals</t>
  </si>
  <si>
    <t>modelarrivals_GAJUN2arrivals</t>
  </si>
  <si>
    <t>modelarrivals_GAJUN3arrivals</t>
  </si>
  <si>
    <t>modelarrivals_GAJUN4arrivals</t>
  </si>
  <si>
    <t>modelarrivals_GAJUN5arrivals</t>
  </si>
  <si>
    <t>modelarrivals_GAJUN6arrivals</t>
  </si>
  <si>
    <t>modelarrivals_GAJUN7arrivals</t>
  </si>
  <si>
    <t>modelarrivals_GAJUN8arrivals</t>
  </si>
  <si>
    <t>modelarrivals_GAJUN9arrivals</t>
  </si>
  <si>
    <t>modelarrivals_GAminus1arrivals</t>
  </si>
  <si>
    <t>modelarrivals_GAminus2arrivals</t>
  </si>
  <si>
    <t>modelarrivals_GE10arrivals</t>
  </si>
  <si>
    <t>modelarrivals_GE11arrivals</t>
  </si>
  <si>
    <t>modelarrivals_GE1arrivals</t>
  </si>
  <si>
    <t>modelarrivals_GE2arrivals</t>
  </si>
  <si>
    <t>modelarrivals_GE3arrivals</t>
  </si>
  <si>
    <t>modelarrivals_GE4arrivals</t>
  </si>
  <si>
    <t>modelarrivals_GE5arrivals</t>
  </si>
  <si>
    <t>modelarrivals_GE6arrivals</t>
  </si>
  <si>
    <t>modelarrivals_GE7arrivals</t>
  </si>
  <si>
    <t>modelarrivals_GE8arrivals</t>
  </si>
  <si>
    <t>modelarrivals_GE9arrivals</t>
  </si>
  <si>
    <t>modelarrivals_GEJUN10arrivals</t>
  </si>
  <si>
    <t>modelarrivals_GEJUN11arrivals</t>
  </si>
  <si>
    <t>modelarrivals_GEJUN1arrivals</t>
  </si>
  <si>
    <t>modelarrivals_GEJUN2arrivals</t>
  </si>
  <si>
    <t>modelarrivals_GEJUN3arrivals</t>
  </si>
  <si>
    <t>modelarrivals_GEJUN4arrivals</t>
  </si>
  <si>
    <t>modelarrivals_GEJUN5arrivals</t>
  </si>
  <si>
    <t>modelarrivals_GEJUN6arrivals</t>
  </si>
  <si>
    <t>modelarrivals_GEJUN7arrivals</t>
  </si>
  <si>
    <t>modelarrivals_GEJUN8arrivals</t>
  </si>
  <si>
    <t>modelarrivals_GEJUN9arrivals</t>
  </si>
  <si>
    <t>modelarrivals_GEminus1arrivals</t>
  </si>
  <si>
    <t>modelarrivals_GEminus2arrivals</t>
  </si>
  <si>
    <t>Inf</t>
  </si>
  <si>
    <t>modelarrivals_HI10arrivals</t>
  </si>
  <si>
    <t>modelarrivals_HI1arrivals</t>
  </si>
  <si>
    <t>modelarrivals_HI2arrivals</t>
  </si>
  <si>
    <t>modelarrivals_HI3arrivals</t>
  </si>
  <si>
    <t>modelarrivals_HI4arrivals</t>
  </si>
  <si>
    <t>modelarrivals_HI5arrivals</t>
  </si>
  <si>
    <t>modelarrivals_HI7arrivals</t>
  </si>
  <si>
    <t>modelarrivals_HI8arrivals</t>
  </si>
  <si>
    <t>modelarrivals_HI9arrivals</t>
  </si>
  <si>
    <t>modelarrivals_HIJUN10arrivals</t>
  </si>
  <si>
    <t>modelarrivals_HIJUN1arrivals</t>
  </si>
  <si>
    <t>modelarrivals_HIJUN2arrivals</t>
  </si>
  <si>
    <t>modelarrivals_HIJUN3arrivals</t>
  </si>
  <si>
    <t>modelarrivals_HIJUN4arrivals</t>
  </si>
  <si>
    <t>modelarrivals_HIJUN5arrivals</t>
  </si>
  <si>
    <t>modelarrivals_HIJUN6arrivals</t>
  </si>
  <si>
    <t>modelarrivals_HIJUN7arrivals</t>
  </si>
  <si>
    <t>modelarrivals_HIJUN8arrivals</t>
  </si>
  <si>
    <t>modelarrivals_HIJUN9arrivals</t>
  </si>
  <si>
    <t>modelarrivals_HIminus2arrivals</t>
  </si>
  <si>
    <t>modelarrivals_HIminus6arrivals</t>
  </si>
  <si>
    <t>`</t>
  </si>
  <si>
    <t>minus_MJ1arrivals</t>
  </si>
  <si>
    <t>modelarrivals_MJ10arrivals</t>
  </si>
  <si>
    <t>modelarrivals_MJ1arrivals</t>
  </si>
  <si>
    <t>modelarrivals_MJ2arrivals</t>
  </si>
  <si>
    <t>modelarrivals_MJ3arrivals</t>
  </si>
  <si>
    <t>modelarrivals_MJ4arrivals</t>
  </si>
  <si>
    <t>modelarrivals_MJ5arrivals</t>
  </si>
  <si>
    <t>modelarrivals_MJ6arrivals</t>
  </si>
  <si>
    <t>modelarrivals_MJ7arrivals</t>
  </si>
  <si>
    <t>modelarrivals_MJ8arrivals</t>
  </si>
  <si>
    <t>modelarrivals_MJ9arrivals</t>
  </si>
  <si>
    <t>modelarrivals_MJJUN10arrivals</t>
  </si>
  <si>
    <t>modelarrivals_MJJUN1arrivals</t>
  </si>
  <si>
    <t>modelarrivals_MJJUN2arrivals</t>
  </si>
  <si>
    <t>modelarrivals_MJJUN3arrivals</t>
  </si>
  <si>
    <t>modelarrivals_MJJUN4arrivals</t>
  </si>
  <si>
    <t>modelarrivals_MJJUN5arrivals</t>
  </si>
  <si>
    <t>modelarrivals_MJJUN6arrivals</t>
  </si>
  <si>
    <t>modelarrivals_MJJUN7arrivals</t>
  </si>
  <si>
    <t>modelarrivals_MJJUN8arrivals</t>
  </si>
  <si>
    <t>modelarrivals_MJJUN9arrivals</t>
  </si>
  <si>
    <t>modelarrivals_LJ10arrivals</t>
  </si>
  <si>
    <t>modelarrivals_LJ1arrivals</t>
  </si>
  <si>
    <t>modelarrivals_LJ2arrivals</t>
  </si>
  <si>
    <t>modelarrivals_LJ3arrivals</t>
  </si>
  <si>
    <t>modelarrivals_LJ4arrivals</t>
  </si>
  <si>
    <t>modelarrivals_LJ5arrivals</t>
  </si>
  <si>
    <t>modelarrivals_LJ6arrivals</t>
  </si>
  <si>
    <t>modelarrivals_LJ7arrivals</t>
  </si>
  <si>
    <t>modelarrivals_LJ8arrivals</t>
  </si>
  <si>
    <t>modelarrivals_LJ9arrivals</t>
  </si>
  <si>
    <t>modelarrivals_LJJUN10arrivals</t>
  </si>
  <si>
    <t>modelarrivals_LJJUN1arrivals</t>
  </si>
  <si>
    <t>modelarrivals_LJJUN2arrivals</t>
  </si>
  <si>
    <t>modelarrivals_LJJUN3arrivals</t>
  </si>
  <si>
    <t>modelarrivals_LJJUN4arrivals</t>
  </si>
  <si>
    <t>modelarrivals_LJJUN5arrivals</t>
  </si>
  <si>
    <t>modelarrivals_LJJUN6arrivals</t>
  </si>
  <si>
    <t>modelarrivals_LJJUN7arrivals</t>
  </si>
  <si>
    <t>modelarrivals_LJJUN8arrivals</t>
  </si>
  <si>
    <t>modelarrivals_LJJUN9arrivals</t>
  </si>
  <si>
    <t>modelarrivals_LJminus1arrivals</t>
  </si>
  <si>
    <t>modelarrivals_MU10arrivals</t>
  </si>
  <si>
    <t>modelarrivals_MU1arrivals</t>
  </si>
  <si>
    <t>modelarrivals_MU2arrivals</t>
  </si>
  <si>
    <t>modelarrivals_MU3arrivals</t>
  </si>
  <si>
    <t>modelarrivals_MU4arrivals</t>
  </si>
  <si>
    <t>modelarrivals_MU5arrivals</t>
  </si>
  <si>
    <t>modelarrivals_MU6arrivals</t>
  </si>
  <si>
    <t>modelarrivals_MU7arrivals</t>
  </si>
  <si>
    <t>modelarrivals_MU8arrivals</t>
  </si>
  <si>
    <t>modelarrivals_MU9arrivals</t>
  </si>
  <si>
    <t>modelarrivals_MUJUN10arrivals</t>
  </si>
  <si>
    <t>modelarrivals_MUJUN1arrivals</t>
  </si>
  <si>
    <t>modelarrivals_MUJUN2arrivals</t>
  </si>
  <si>
    <t>modelarrivals_MUJUN3arrivals</t>
  </si>
  <si>
    <t>modelarrivals_MUJUN4arrivals</t>
  </si>
  <si>
    <t>modelarrivals_MUJUN5arrivals</t>
  </si>
  <si>
    <t>modelarrivals_MUJUN6arrivals</t>
  </si>
  <si>
    <t>modelarrivals_MUJUN7arrivals</t>
  </si>
  <si>
    <t>modelarrivals_MUJUN8arrivals</t>
  </si>
  <si>
    <t>modelarrivals_MUJUN9arrivals</t>
  </si>
  <si>
    <t>modelarrivals_MUminus1arrivals</t>
  </si>
  <si>
    <t>modelarrivals_MUminus2arrivals</t>
  </si>
  <si>
    <t>modelarrivals_NU10arrivals</t>
  </si>
  <si>
    <t>modelarrivals_NU1arrivals</t>
  </si>
  <si>
    <t>modelarrivals_NU2arrivals</t>
  </si>
  <si>
    <t>modelarrivals_NU3arrivals</t>
  </si>
  <si>
    <t>modelarrivals_NU4arrivals</t>
  </si>
  <si>
    <t>modelarrivals_NU5arrivals</t>
  </si>
  <si>
    <t>modelarrivals_NU6arrivals</t>
  </si>
  <si>
    <t>modelarrivals_NU7arrivals</t>
  </si>
  <si>
    <t>modelarrivals_NU8arrivals</t>
  </si>
  <si>
    <t>modelarrivals_NU9arrivals</t>
  </si>
  <si>
    <t>modelarrivals_NUJUN10arrivals</t>
  </si>
  <si>
    <t>modelarrivals_NUJUN1arrivals</t>
  </si>
  <si>
    <t>modelarrivals_NUJUN2arrivals</t>
  </si>
  <si>
    <t>modelarrivals_NUJUN3arrivals</t>
  </si>
  <si>
    <t>modelarrivals_NUJUN4arrivals</t>
  </si>
  <si>
    <t>modelarrivals_NUJUN5arrivals</t>
  </si>
  <si>
    <t>modelarrivals_NUJUN6arrivals</t>
  </si>
  <si>
    <t>modelarrivals_NUJUN7arrivals</t>
  </si>
  <si>
    <t>modelarrivals_NUJUN8arrivals</t>
  </si>
  <si>
    <t>modelarrivals_NUJUN9arrivals</t>
  </si>
  <si>
    <t>modelarrivals_NUminus1arrivals</t>
  </si>
  <si>
    <t>modelarrivals_NUminus2arrivals</t>
  </si>
  <si>
    <t>modelarrivals_SA10arrivals</t>
  </si>
  <si>
    <t>modelarrivals_SA1arrivals</t>
  </si>
  <si>
    <t>modelarrivals_SA2arrivals</t>
  </si>
  <si>
    <t>modelarrivals_SA3arrivals</t>
  </si>
  <si>
    <t>modelarrivals_SA4arrivals</t>
  </si>
  <si>
    <t>modelarrivals_SA5arrivals</t>
  </si>
  <si>
    <t>modelarrivals_SA6arrivals</t>
  </si>
  <si>
    <t>modelarrivals_SA7arrivals</t>
  </si>
  <si>
    <t>modelarrivals_SA8arrivals</t>
  </si>
  <si>
    <t>modelarrivals_SA9arrivals</t>
  </si>
  <si>
    <t>modelarrivals_SAJUN10arrivals</t>
  </si>
  <si>
    <t>modelarrivals_SAJUN1arrivals</t>
  </si>
  <si>
    <t>modelarrivals_SAJUN2arrivals</t>
  </si>
  <si>
    <t>modelarrivals_SAJUN3arrivals</t>
  </si>
  <si>
    <t>modelarrivals_SAJUN4arrivals</t>
  </si>
  <si>
    <t>modelarrivals_SAJUN5arrivals</t>
  </si>
  <si>
    <t>modelarrivals_SAJUN6arrivals</t>
  </si>
  <si>
    <t>modelarrivals_SAJUN7arrivals</t>
  </si>
  <si>
    <t>modelarrivals_SAJUN8arrivals</t>
  </si>
  <si>
    <t>modelarrivals_SAJUN9arrivals</t>
  </si>
  <si>
    <t>modelarrivals_SAminus1arrivals</t>
  </si>
  <si>
    <t>modelarrivals_SAminus2arrivals</t>
  </si>
  <si>
    <t>modelarrivals_MS10arrivals</t>
  </si>
  <si>
    <t>modelarrivals_MS1arrivals</t>
  </si>
  <si>
    <t>modelarrivals_MS2arrivals</t>
  </si>
  <si>
    <t>modelarrivals_MS3arrivals</t>
  </si>
  <si>
    <t>modelarrivals_MS4arrivals</t>
  </si>
  <si>
    <t>modelarrivals_MS5arrivals</t>
  </si>
  <si>
    <t>modelarrivals_MS6arrivals</t>
  </si>
  <si>
    <t>modelarrivals_MS7arrivals</t>
  </si>
  <si>
    <t>modelarrivals_MS8arrivals</t>
  </si>
  <si>
    <t>modelarrivals_MS9arrivals</t>
  </si>
  <si>
    <t>modelarrivals_MSJUN10arrivals</t>
  </si>
  <si>
    <t>modelarrivals_MSJUN1arrivals</t>
  </si>
  <si>
    <t>modelarrivals_MSJUN2arrivals</t>
  </si>
  <si>
    <t>modelarrivals_MSJUN3arrivals</t>
  </si>
  <si>
    <t>modelarrivals_MSJUN4arrivals</t>
  </si>
  <si>
    <t>modelarrivals_MSJUN5arrivals</t>
  </si>
  <si>
    <t>modelarrivals_MSJUN6arrivals</t>
  </si>
  <si>
    <t>modelarrivals_MSJUN7arrivals</t>
  </si>
  <si>
    <t>modelarrivals_MSJUN8arrivals</t>
  </si>
  <si>
    <t>modelarrivals_MSJUN9arrivals</t>
  </si>
  <si>
    <t>modelarrivals_MSminus1arrivals</t>
  </si>
  <si>
    <t>modelarrivals_MSminus2arrivals</t>
  </si>
  <si>
    <t>-Inf</t>
  </si>
  <si>
    <t>modelarrivals_LS10arrivals</t>
  </si>
  <si>
    <t>modelarrivals_LS1arrivals</t>
  </si>
  <si>
    <t>modelarrivals_LS2arrivals</t>
  </si>
  <si>
    <t>modelarrivals_LS3arrivals</t>
  </si>
  <si>
    <t>modelarrivals_LS4arrivals</t>
  </si>
  <si>
    <t>modelarrivals_LS5arrivals</t>
  </si>
  <si>
    <t>modelarrivals_LS6arrivals</t>
  </si>
  <si>
    <t>modelarrivals_LS7arrivals</t>
  </si>
  <si>
    <t>modelarrivals_LS8arrivals</t>
  </si>
  <si>
    <t>modelarrivals_LS9arrivals</t>
  </si>
  <si>
    <t>modelarrivals_LSJUN10arrivals</t>
  </si>
  <si>
    <t>modelarrivals_LSJUN1arrivals</t>
  </si>
  <si>
    <t>modelarrivals_LSJUN2arrivals</t>
  </si>
  <si>
    <t>modelarrivals_LSJUN3arrivals</t>
  </si>
  <si>
    <t>modelarrivals_LSJUN4arrivals</t>
  </si>
  <si>
    <t>modelarrivals_LSJUN5arrivals</t>
  </si>
  <si>
    <t>modelarrivals_LSJUN6arrivals</t>
  </si>
  <si>
    <t>modelarrivals_LSJUN7arrivals</t>
  </si>
  <si>
    <t>modelarrivals_LSJUN8arrivals</t>
  </si>
  <si>
    <t>modelarrivals_LSJUN9arrivals</t>
  </si>
  <si>
    <t>modelarrivals_LSminus1arrivals</t>
  </si>
  <si>
    <t>modelarrivals_LSminus2arrivals</t>
  </si>
  <si>
    <t>modelarrivals_SO10arrivals</t>
  </si>
  <si>
    <t>modelarrivals_SO1arrivals</t>
  </si>
  <si>
    <t>modelarrivals_SO2arrivals</t>
  </si>
  <si>
    <t>modelarrivals_SO3arrivals</t>
  </si>
  <si>
    <t>modelarrivals_SO4arrivals</t>
  </si>
  <si>
    <t>modelarrivals_SO5arrivals</t>
  </si>
  <si>
    <t>modelarrivals_SO6arrivals</t>
  </si>
  <si>
    <t>modelarrivals_SO7arrivals</t>
  </si>
  <si>
    <t>modelarrivals_SO8arrivals</t>
  </si>
  <si>
    <t>modelarrivals_SO9arrivals</t>
  </si>
  <si>
    <t>modelarrivals_SOJUN10arrivals</t>
  </si>
  <si>
    <t>modelarrivals_SOJUN1arrivals</t>
  </si>
  <si>
    <t>modelarrivals_SOJUN2arrivals</t>
  </si>
  <si>
    <t>modelarrivals_SOJUN3arrivals</t>
  </si>
  <si>
    <t>modelarrivals_SOJUN4arrivals</t>
  </si>
  <si>
    <t>modelarrivals_SOJUN5arrivals</t>
  </si>
  <si>
    <t>modelarrivals_SOJUN6arrivals</t>
  </si>
  <si>
    <t>modelarrivals_SOJUN7arrivals</t>
  </si>
  <si>
    <t>modelarrivals_SOJUN8arrivals</t>
  </si>
  <si>
    <t>modelarrivals_SOJUN9arrivals</t>
  </si>
  <si>
    <t>modelarrivals_SOminus1arrivals</t>
  </si>
  <si>
    <t>modelarrivals_TO10arrivals</t>
  </si>
  <si>
    <t>modelarrivals_TO1arrivals</t>
  </si>
  <si>
    <t>modelarrivals_TO2arrivals</t>
  </si>
  <si>
    <t>modelarrivals_TO3arrivals</t>
  </si>
  <si>
    <t>modelarrivals_TO4arrivals</t>
  </si>
  <si>
    <t>modelarrivals_TO5arrivals</t>
  </si>
  <si>
    <t>modelarrivals_TO6arrivals</t>
  </si>
  <si>
    <t>modelarrivals_TO7arrivals</t>
  </si>
  <si>
    <t>modelarrivals_TO8arrivals</t>
  </si>
  <si>
    <t>modelarrivals_TO9arrivals</t>
  </si>
  <si>
    <t>modelarrivals_TOJUN10arrivals</t>
  </si>
  <si>
    <t>modelarrivals_TOJUN1arrivals</t>
  </si>
  <si>
    <t>modelarrivals_TOJUN2arrivals</t>
  </si>
  <si>
    <t>modelarrivals_TOJUN3arrivals</t>
  </si>
  <si>
    <t>modelarrivals_TOJUN4arrivals</t>
  </si>
  <si>
    <t>modelarrivals_TOJUN5arrivals</t>
  </si>
  <si>
    <t>modelarrivals_TOJUN6arrivals</t>
  </si>
  <si>
    <t>modelarrivals_TOJUN7arrivals</t>
  </si>
  <si>
    <t>modelarrivals_TOJUN8arrivals</t>
  </si>
  <si>
    <t>modelarrivals_TOJUN9arrivals</t>
  </si>
  <si>
    <t>modelarrivals_TOminus1arrivals</t>
  </si>
  <si>
    <t>modelarrivals_TOminus2arrivals</t>
  </si>
  <si>
    <t>modelarrivals_WO10arrivals</t>
  </si>
  <si>
    <t>modelarrivals_WO1arrivals</t>
  </si>
  <si>
    <t>modelarrivals_WO2arrivals</t>
  </si>
  <si>
    <t>modelarrivals_WO3arrivals</t>
  </si>
  <si>
    <t>modelarrivals_WO4arrivals</t>
  </si>
  <si>
    <t>modelarrivals_WO5arrivals</t>
  </si>
  <si>
    <t>modelarrivals_WO6arrivals</t>
  </si>
  <si>
    <t>modelarrivals_WO7arrivals</t>
  </si>
  <si>
    <t>modelarrivals_WO8arrivals</t>
  </si>
  <si>
    <t>modelarrivals_WO9arrivals</t>
  </si>
  <si>
    <t>modelarrivals_WOJUN10arrivals</t>
  </si>
  <si>
    <t>modelarrivals_WOJUN1arrivals</t>
  </si>
  <si>
    <t>modelarrivals_WOJUN3arrivals</t>
  </si>
  <si>
    <t>modelarrivals_WOJUN4arrivals</t>
  </si>
  <si>
    <t>modelarrivals_WOJUN5arrivals</t>
  </si>
  <si>
    <t>modelarrivals_WOJUN6arrivals</t>
  </si>
  <si>
    <t>modelarrivals_WOJUN7arrivals</t>
  </si>
  <si>
    <t>modelarrivals_WOJUN8arrivals</t>
  </si>
  <si>
    <t>modelarrivals_WOJUN9arrivals</t>
  </si>
  <si>
    <t>modelarrivals_WOminus1arrivals</t>
  </si>
  <si>
    <t>modelarrivals_WOminus2arrivals</t>
  </si>
  <si>
    <t>modelarrivals_DO10arrivals</t>
  </si>
  <si>
    <t>modelarrivals_DO1arrivals</t>
  </si>
  <si>
    <t>modelarrivals_DO2arrivals</t>
  </si>
  <si>
    <t>modelarrivals_DO3arrivals</t>
  </si>
  <si>
    <t>modelarrivals_DO4arrivals</t>
  </si>
  <si>
    <t>modelarrivals_DO5arrivals</t>
  </si>
  <si>
    <t>modelarrivals_DO6arrivals</t>
  </si>
  <si>
    <t>modelarrivals_DO7arrivals</t>
  </si>
  <si>
    <t>modelarrivals_DO8arrivals</t>
  </si>
  <si>
    <t>modelarrivals_DO9arrivals</t>
  </si>
  <si>
    <t>modelarrivals_DOJUN10arrivals</t>
  </si>
  <si>
    <t>modelarrivals_DOJUN1arrivals</t>
  </si>
  <si>
    <t>modelarrivals_DOJUN2arrivals</t>
  </si>
  <si>
    <t>modelarrivals_DOJUN3arrivals</t>
  </si>
  <si>
    <t>modelarrivals_DOJUN4arrivals</t>
  </si>
  <si>
    <t>modelarrivals_DOJUN5arrivals</t>
  </si>
  <si>
    <t>modelarrivals_DOJUN6arrivals</t>
  </si>
  <si>
    <t>modelarrivals_DOJUN7arrivals</t>
  </si>
  <si>
    <t>modelarrivals_DOJUN8arrivals</t>
  </si>
  <si>
    <t>modelarrivals_DOJUN9arrivals</t>
  </si>
  <si>
    <t>modelarrivals_DOminus1arrivals</t>
  </si>
  <si>
    <t>modelarrivals_DOminus2arrivals</t>
  </si>
  <si>
    <t xml:space="preserve">  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</si>
</sst>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14">
    <font>
      <sz val="10.0"/>
      <color rgb="FF000000"/>
      <name val="Arial"/>
    </font>
    <font>
      <sz val="11.0"/>
      <color rgb="FF000000"/>
      <name val="Calibri"/>
    </font>
    <font>
      <color rgb="FF0000FF"/>
      <name val="Arial"/>
    </font>
    <font>
      <name val="Arial"/>
    </font>
    <font>
      <color rgb="FF000000"/>
      <name val="Arial"/>
    </font>
    <font/>
    <font>
      <sz val="11.0"/>
      <color rgb="FF0000FF"/>
      <name val="Calibri"/>
    </font>
    <font>
      <sz val="11.0"/>
      <name val="Calibri"/>
    </font>
    <font>
      <b/>
    </font>
    <font>
      <color rgb="FF0000FF"/>
    </font>
    <font>
      <b/>
      <name val="Arial"/>
    </font>
    <font>
      <sz val="11.0"/>
      <color rgb="FF000000"/>
      <name val="Inconsolata"/>
    </font>
    <font>
      <color rgb="FF000000"/>
    </font>
    <font>
      <sz val="11.0"/>
      <color rgb="FF0000FF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4" numFmtId="0" xfId="0" applyAlignment="1" applyFill="1" applyFont="1">
      <alignment readingOrder="0" vertical="bottom"/>
    </xf>
    <xf borderId="1" fillId="2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5" numFmtId="0" xfId="0" applyAlignment="1" applyFont="1">
      <alignment horizontal="left" readingOrder="0"/>
    </xf>
    <xf borderId="0" fillId="0" fontId="5" numFmtId="1" xfId="0" applyAlignment="1" applyFont="1" applyNumberFormat="1">
      <alignment horizontal="left" readingOrder="0"/>
    </xf>
    <xf borderId="0" fillId="0" fontId="5" numFmtId="0" xfId="0" applyAlignment="1" applyFont="1">
      <alignment horizontal="right" readingOrder="0"/>
    </xf>
    <xf borderId="0" fillId="0" fontId="5" numFmtId="1" xfId="0" applyAlignment="1" applyFont="1" applyNumberFormat="1">
      <alignment horizontal="right" readingOrder="0"/>
    </xf>
    <xf borderId="0" fillId="0" fontId="7" numFmtId="165" xfId="0" applyAlignment="1" applyFont="1" applyNumberFormat="1">
      <alignment horizontal="right" vertical="bottom"/>
    </xf>
    <xf borderId="0" fillId="0" fontId="5" numFmtId="165" xfId="0" applyAlignment="1" applyFont="1" applyNumberFormat="1">
      <alignment readingOrder="0"/>
    </xf>
    <xf borderId="0" fillId="3" fontId="5" numFmtId="0" xfId="0" applyAlignment="1" applyFill="1" applyFont="1">
      <alignment readingOrder="0"/>
    </xf>
    <xf borderId="0" fillId="0" fontId="8" numFmtId="165" xfId="0" applyAlignment="1" applyFont="1" applyNumberFormat="1">
      <alignment readingOrder="0"/>
    </xf>
    <xf borderId="0" fillId="0" fontId="9" numFmtId="0" xfId="0" applyFont="1"/>
    <xf borderId="0" fillId="0" fontId="7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9" numFmtId="0" xfId="0" applyFont="1"/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10" numFmtId="0" xfId="0" applyAlignment="1" applyFont="1">
      <alignment horizontal="right" vertical="bottom"/>
    </xf>
    <xf borderId="0" fillId="0" fontId="3" numFmtId="1" xfId="0" applyAlignment="1" applyFont="1" applyNumberForma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1" xfId="0" applyAlignment="1" applyFont="1" applyNumberFormat="1">
      <alignment horizontal="right" readingOrder="0" vertical="bottom"/>
    </xf>
    <xf borderId="0" fillId="0" fontId="8" numFmtId="0" xfId="0" applyFont="1"/>
    <xf borderId="0" fillId="0" fontId="5" numFmtId="3" xfId="0" applyAlignment="1" applyFont="1" applyNumberFormat="1">
      <alignment horizontal="left" readingOrder="0"/>
    </xf>
    <xf borderId="0" fillId="2" fontId="1" numFmtId="164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5" numFmtId="0" xfId="0" applyFont="1"/>
    <xf borderId="0" fillId="2" fontId="4" numFmtId="0" xfId="0" applyAlignment="1" applyFont="1">
      <alignment readingOrder="0"/>
    </xf>
    <xf borderId="0" fillId="4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5" fontId="3" numFmtId="0" xfId="0" applyAlignment="1" applyFill="1" applyFont="1">
      <alignment readingOrder="0" vertical="bottom"/>
    </xf>
    <xf borderId="0" fillId="4" fontId="3" numFmtId="0" xfId="0" applyAlignment="1" applyFont="1">
      <alignment readingOrder="0" vertical="bottom"/>
    </xf>
    <xf borderId="0" fillId="5" fontId="5" numFmtId="0" xfId="0" applyAlignment="1" applyFont="1">
      <alignment horizontal="left" readingOrder="0"/>
    </xf>
    <xf borderId="0" fillId="5" fontId="5" numFmtId="0" xfId="0" applyAlignment="1" applyFont="1">
      <alignment horizontal="right" readingOrder="0"/>
    </xf>
    <xf borderId="0" fillId="0" fontId="4" numFmtId="165" xfId="0" applyAlignment="1" applyFont="1" applyNumberFormat="1">
      <alignment readingOrder="0"/>
    </xf>
    <xf borderId="0" fillId="5" fontId="5" numFmtId="0" xfId="0" applyAlignment="1" applyFont="1">
      <alignment readingOrder="0"/>
    </xf>
    <xf borderId="0" fillId="5" fontId="5" numFmtId="0" xfId="0" applyFont="1"/>
    <xf borderId="0" fillId="2" fontId="11" numFmtId="0" xfId="0" applyFont="1"/>
    <xf borderId="0" fillId="0" fontId="6" numFmtId="1" xfId="0" applyAlignment="1" applyFont="1" applyNumberFormat="1">
      <alignment horizontal="right" vertical="bottom"/>
    </xf>
    <xf borderId="0" fillId="5" fontId="4" numFmtId="0" xfId="0" applyAlignment="1" applyFont="1">
      <alignment readingOrder="0"/>
    </xf>
    <xf borderId="0" fillId="5" fontId="12" numFmtId="0" xfId="0" applyAlignment="1" applyFont="1">
      <alignment horizontal="left" readingOrder="0"/>
    </xf>
    <xf borderId="0" fillId="5" fontId="12" numFmtId="0" xfId="0" applyAlignment="1" applyFont="1">
      <alignment horizontal="right" readingOrder="0"/>
    </xf>
    <xf borderId="0" fillId="6" fontId="6" numFmtId="0" xfId="0" applyAlignment="1" applyFill="1" applyFont="1">
      <alignment horizontal="right" vertical="bottom"/>
    </xf>
    <xf borderId="0" fillId="4" fontId="6" numFmtId="0" xfId="0" applyAlignment="1" applyFont="1">
      <alignment horizontal="right" vertical="bottom"/>
    </xf>
    <xf borderId="0" fillId="5" fontId="12" numFmtId="0" xfId="0" applyAlignment="1" applyFont="1">
      <alignment readingOrder="0"/>
    </xf>
    <xf borderId="0" fillId="5" fontId="12" numFmtId="0" xfId="0" applyFont="1"/>
    <xf borderId="0" fillId="2" fontId="3" numFmtId="0" xfId="0" applyAlignment="1" applyFont="1">
      <alignment readingOrder="0" vertical="bottom"/>
    </xf>
    <xf borderId="0" fillId="2" fontId="13" numFmtId="0" xfId="0" applyFont="1"/>
    <xf borderId="0" fillId="2" fontId="5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0" fontId="5" numFmtId="11" xfId="0" applyAlignment="1" applyFont="1" applyNumberFormat="1">
      <alignment horizontal="right" readingOrder="0"/>
    </xf>
    <xf borderId="0" fillId="2" fontId="5" numFmtId="0" xfId="0" applyAlignment="1" applyFont="1">
      <alignment readingOrder="0"/>
    </xf>
    <xf borderId="0" fillId="2" fontId="5" numFmtId="0" xfId="0" applyFont="1"/>
    <xf borderId="0" fillId="4" fontId="2" numFmtId="0" xfId="0" applyAlignment="1" applyFont="1">
      <alignment vertical="bottom"/>
    </xf>
    <xf borderId="0" fillId="5" fontId="4" numFmtId="0" xfId="0" applyAlignment="1" applyFont="1">
      <alignment readingOrder="0" vertical="bottom"/>
    </xf>
    <xf borderId="0" fillId="0" fontId="9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3" max="13" width="22.14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4" t="s">
        <v>13</v>
      </c>
      <c r="O1" s="4" t="s">
        <v>14</v>
      </c>
      <c r="P1" s="5" t="s">
        <v>15</v>
      </c>
      <c r="Q1" s="6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</row>
    <row r="2">
      <c r="A2" s="8">
        <v>40179.0</v>
      </c>
      <c r="B2" s="9" t="str">
        <f>IFERROR(__xludf.DUMMYFUNCTION("IMPORTRANGE(""https://docs.google.com/spreadsheets/d/1oPTPmoJ9phtMOkp-nMB7WHnPESomLzqUj9t0gcE9bYA"",""Current Region!B2:B130"")"),"")</f>
        <v/>
      </c>
      <c r="C2" s="10" t="s">
        <v>3</v>
      </c>
      <c r="D2" s="10" t="s">
        <v>26</v>
      </c>
      <c r="E2" s="10" t="s">
        <v>26</v>
      </c>
      <c r="F2" s="10" t="s">
        <v>26</v>
      </c>
      <c r="G2" s="11" t="s">
        <v>26</v>
      </c>
      <c r="H2" s="10" t="s">
        <v>26</v>
      </c>
      <c r="I2" s="10" t="s">
        <v>26</v>
      </c>
      <c r="J2" s="10" t="s">
        <v>26</v>
      </c>
      <c r="K2" s="10" t="s">
        <v>26</v>
      </c>
      <c r="L2" s="10" t="s">
        <v>26</v>
      </c>
      <c r="M2" s="10" t="s">
        <v>26</v>
      </c>
      <c r="N2" s="10" t="s">
        <v>26</v>
      </c>
      <c r="O2" s="10" t="s">
        <v>26</v>
      </c>
      <c r="P2" s="10" t="s">
        <v>26</v>
      </c>
      <c r="Q2" s="7" t="s">
        <v>26</v>
      </c>
      <c r="R2" s="7" t="s">
        <v>26</v>
      </c>
      <c r="S2" s="7" t="s">
        <v>26</v>
      </c>
      <c r="T2" s="7" t="s">
        <v>26</v>
      </c>
      <c r="U2" s="7" t="s">
        <v>26</v>
      </c>
      <c r="V2" s="7" t="s">
        <v>26</v>
      </c>
      <c r="W2" s="7" t="s">
        <v>26</v>
      </c>
      <c r="X2" s="7" t="s">
        <v>26</v>
      </c>
      <c r="Y2" s="7" t="s">
        <v>26</v>
      </c>
      <c r="Z2" s="7" t="s">
        <v>26</v>
      </c>
    </row>
    <row r="3">
      <c r="A3" s="8">
        <v>40210.0</v>
      </c>
      <c r="B3" s="9">
        <f>IFERROR(__xludf.DUMMYFUNCTION("""COMPUTED_VALUE"""),118.0)</f>
        <v>118</v>
      </c>
      <c r="C3" s="10" t="s">
        <v>4</v>
      </c>
      <c r="D3" s="10" t="s">
        <v>26</v>
      </c>
      <c r="E3" s="10" t="s">
        <v>26</v>
      </c>
      <c r="F3" s="10" t="s">
        <v>26</v>
      </c>
      <c r="G3" s="11" t="s">
        <v>26</v>
      </c>
      <c r="H3" s="10" t="s">
        <v>26</v>
      </c>
      <c r="I3" s="10" t="s">
        <v>26</v>
      </c>
      <c r="J3" s="10" t="s">
        <v>26</v>
      </c>
      <c r="K3" s="10" t="s">
        <v>26</v>
      </c>
      <c r="L3" s="10" t="s">
        <v>26</v>
      </c>
      <c r="M3" s="10" t="s">
        <v>26</v>
      </c>
      <c r="N3" s="10" t="s">
        <v>26</v>
      </c>
      <c r="O3" s="10" t="s">
        <v>26</v>
      </c>
      <c r="P3" s="10" t="s">
        <v>26</v>
      </c>
      <c r="Q3" s="7" t="s">
        <v>26</v>
      </c>
      <c r="R3" s="7" t="s">
        <v>26</v>
      </c>
      <c r="S3" s="7" t="s">
        <v>26</v>
      </c>
      <c r="T3" s="7" t="s">
        <v>26</v>
      </c>
      <c r="U3" s="7" t="s">
        <v>26</v>
      </c>
      <c r="V3" s="7" t="s">
        <v>26</v>
      </c>
      <c r="W3" s="7" t="s">
        <v>26</v>
      </c>
      <c r="X3" s="7" t="s">
        <v>26</v>
      </c>
      <c r="Y3" s="7" t="s">
        <v>26</v>
      </c>
      <c r="Z3" s="7" t="s">
        <v>26</v>
      </c>
    </row>
    <row r="4">
      <c r="A4" s="8">
        <v>40238.0</v>
      </c>
      <c r="B4" s="9">
        <f>IFERROR(__xludf.DUMMYFUNCTION("""COMPUTED_VALUE"""),73.0)</f>
        <v>73</v>
      </c>
      <c r="C4" s="10" t="s">
        <v>5</v>
      </c>
      <c r="D4" s="10" t="s">
        <v>26</v>
      </c>
      <c r="E4" s="10" t="s">
        <v>26</v>
      </c>
      <c r="F4" s="10" t="s">
        <v>26</v>
      </c>
      <c r="G4" s="11" t="s">
        <v>26</v>
      </c>
      <c r="H4" s="10" t="s">
        <v>26</v>
      </c>
      <c r="I4" s="10" t="s">
        <v>26</v>
      </c>
      <c r="J4" s="10" t="s">
        <v>26</v>
      </c>
      <c r="K4" s="10" t="s">
        <v>26</v>
      </c>
      <c r="L4" s="10" t="s">
        <v>26</v>
      </c>
      <c r="M4" s="10" t="s">
        <v>26</v>
      </c>
      <c r="N4" s="10" t="s">
        <v>26</v>
      </c>
      <c r="O4" s="10" t="s">
        <v>26</v>
      </c>
      <c r="P4" s="10" t="s">
        <v>26</v>
      </c>
      <c r="Q4" s="7" t="s">
        <v>26</v>
      </c>
      <c r="R4" s="7" t="s">
        <v>26</v>
      </c>
      <c r="S4" s="7" t="s">
        <v>26</v>
      </c>
      <c r="T4" s="7" t="s">
        <v>26</v>
      </c>
      <c r="U4" s="7" t="s">
        <v>26</v>
      </c>
      <c r="V4" s="7" t="s">
        <v>26</v>
      </c>
      <c r="W4" s="7" t="s">
        <v>26</v>
      </c>
      <c r="X4" s="7" t="s">
        <v>26</v>
      </c>
      <c r="Y4" s="7" t="s">
        <v>26</v>
      </c>
      <c r="Z4" s="7" t="s">
        <v>26</v>
      </c>
    </row>
    <row r="5">
      <c r="A5" s="8">
        <v>40269.0</v>
      </c>
      <c r="B5" s="9">
        <f>IFERROR(__xludf.DUMMYFUNCTION("""COMPUTED_VALUE"""),57.0)</f>
        <v>57</v>
      </c>
      <c r="C5" s="10" t="s">
        <v>6</v>
      </c>
      <c r="D5" s="10" t="s">
        <v>26</v>
      </c>
      <c r="E5" s="10" t="s">
        <v>26</v>
      </c>
      <c r="F5" s="10" t="s">
        <v>26</v>
      </c>
      <c r="G5" s="11" t="s">
        <v>26</v>
      </c>
      <c r="H5" s="10" t="s">
        <v>26</v>
      </c>
      <c r="I5" s="10" t="s">
        <v>26</v>
      </c>
      <c r="J5" s="10" t="s">
        <v>26</v>
      </c>
      <c r="K5" s="10" t="s">
        <v>26</v>
      </c>
      <c r="L5" s="10" t="s">
        <v>26</v>
      </c>
      <c r="M5" s="10" t="s">
        <v>26</v>
      </c>
      <c r="N5" s="10" t="s">
        <v>26</v>
      </c>
      <c r="O5" s="10" t="s">
        <v>26</v>
      </c>
      <c r="P5" s="10" t="s">
        <v>26</v>
      </c>
      <c r="Q5" s="7" t="s">
        <v>26</v>
      </c>
      <c r="R5" s="7" t="s">
        <v>26</v>
      </c>
      <c r="S5" s="7" t="s">
        <v>26</v>
      </c>
      <c r="T5" s="7" t="s">
        <v>26</v>
      </c>
      <c r="U5" s="7" t="s">
        <v>26</v>
      </c>
      <c r="V5" s="7" t="s">
        <v>26</v>
      </c>
      <c r="W5" s="7" t="s">
        <v>26</v>
      </c>
      <c r="X5" s="7" t="s">
        <v>26</v>
      </c>
      <c r="Y5" s="7" t="s">
        <v>26</v>
      </c>
      <c r="Z5" s="7" t="s">
        <v>26</v>
      </c>
    </row>
    <row r="6">
      <c r="A6" s="8">
        <v>40299.0</v>
      </c>
      <c r="B6" s="9">
        <f>IFERROR(__xludf.DUMMYFUNCTION("""COMPUTED_VALUE"""),101.0)</f>
        <v>101</v>
      </c>
      <c r="C6" s="10" t="s">
        <v>7</v>
      </c>
      <c r="D6" s="10" t="s">
        <v>26</v>
      </c>
      <c r="E6" s="10" t="s">
        <v>26</v>
      </c>
      <c r="F6" s="10" t="s">
        <v>26</v>
      </c>
      <c r="G6" s="11" t="s">
        <v>26</v>
      </c>
      <c r="H6" s="10" t="s">
        <v>26</v>
      </c>
      <c r="I6" s="10" t="s">
        <v>26</v>
      </c>
      <c r="J6" s="10" t="s">
        <v>26</v>
      </c>
      <c r="K6" s="10" t="s">
        <v>26</v>
      </c>
      <c r="L6" s="10" t="s">
        <v>26</v>
      </c>
      <c r="M6" s="10" t="s">
        <v>26</v>
      </c>
      <c r="N6" s="10" t="s">
        <v>26</v>
      </c>
      <c r="O6" s="10" t="s">
        <v>26</v>
      </c>
      <c r="P6" s="10" t="s">
        <v>26</v>
      </c>
      <c r="Q6" s="7" t="s">
        <v>26</v>
      </c>
      <c r="R6" s="7" t="s">
        <v>26</v>
      </c>
      <c r="S6" s="7" t="s">
        <v>26</v>
      </c>
      <c r="T6" s="7" t="s">
        <v>26</v>
      </c>
      <c r="U6" s="7" t="s">
        <v>26</v>
      </c>
      <c r="V6" s="7" t="s">
        <v>26</v>
      </c>
      <c r="W6" s="7" t="s">
        <v>26</v>
      </c>
      <c r="X6" s="7" t="s">
        <v>26</v>
      </c>
      <c r="Y6" s="7" t="s">
        <v>26</v>
      </c>
      <c r="Z6" s="7" t="s">
        <v>26</v>
      </c>
    </row>
    <row r="7">
      <c r="A7" s="8">
        <v>40330.0</v>
      </c>
      <c r="B7" s="9">
        <f>IFERROR(__xludf.DUMMYFUNCTION("""COMPUTED_VALUE"""),35.0)</f>
        <v>35</v>
      </c>
      <c r="C7" s="10" t="s">
        <v>8</v>
      </c>
      <c r="D7" s="10" t="s">
        <v>26</v>
      </c>
      <c r="E7" s="10" t="s">
        <v>26</v>
      </c>
      <c r="F7" s="10" t="s">
        <v>26</v>
      </c>
      <c r="G7" s="11" t="s">
        <v>26</v>
      </c>
      <c r="H7" s="10" t="s">
        <v>26</v>
      </c>
      <c r="I7" s="10" t="s">
        <v>26</v>
      </c>
      <c r="J7" s="10" t="s">
        <v>26</v>
      </c>
      <c r="K7" s="10" t="s">
        <v>26</v>
      </c>
      <c r="L7" s="10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7" t="s">
        <v>26</v>
      </c>
      <c r="R7" s="7" t="s">
        <v>26</v>
      </c>
      <c r="S7" s="7" t="s">
        <v>26</v>
      </c>
      <c r="T7" s="7" t="s">
        <v>26</v>
      </c>
      <c r="U7" s="7" t="s">
        <v>26</v>
      </c>
      <c r="V7" s="7" t="s">
        <v>26</v>
      </c>
      <c r="W7" s="7" t="s">
        <v>26</v>
      </c>
      <c r="X7" s="7" t="s">
        <v>26</v>
      </c>
      <c r="Y7" s="7" t="s">
        <v>26</v>
      </c>
      <c r="Z7" s="7" t="s">
        <v>26</v>
      </c>
    </row>
    <row r="8">
      <c r="A8" s="8">
        <v>40360.0</v>
      </c>
      <c r="B8" s="9"/>
      <c r="C8" s="10" t="s">
        <v>9</v>
      </c>
      <c r="D8" s="10" t="s">
        <v>26</v>
      </c>
      <c r="E8" s="10" t="s">
        <v>26</v>
      </c>
      <c r="F8" s="10" t="s">
        <v>26</v>
      </c>
      <c r="G8" s="11" t="s">
        <v>26</v>
      </c>
      <c r="H8" s="10" t="s">
        <v>26</v>
      </c>
      <c r="I8" s="10" t="s">
        <v>26</v>
      </c>
      <c r="J8" s="10" t="s">
        <v>26</v>
      </c>
      <c r="K8" s="10" t="s">
        <v>26</v>
      </c>
      <c r="L8" s="10" t="s">
        <v>26</v>
      </c>
      <c r="M8" s="10" t="s">
        <v>26</v>
      </c>
      <c r="N8" s="10" t="s">
        <v>26</v>
      </c>
      <c r="O8" s="10" t="s">
        <v>26</v>
      </c>
      <c r="P8" s="10" t="s">
        <v>26</v>
      </c>
      <c r="Q8" s="7" t="s">
        <v>26</v>
      </c>
      <c r="R8" s="7" t="s">
        <v>26</v>
      </c>
      <c r="S8" s="7" t="s">
        <v>26</v>
      </c>
      <c r="T8" s="7" t="s">
        <v>26</v>
      </c>
      <c r="U8" s="7" t="s">
        <v>26</v>
      </c>
      <c r="V8" s="7" t="s">
        <v>26</v>
      </c>
      <c r="W8" s="7" t="s">
        <v>26</v>
      </c>
      <c r="X8" s="7" t="s">
        <v>26</v>
      </c>
      <c r="Y8" s="7" t="s">
        <v>26</v>
      </c>
      <c r="Z8" s="7" t="s">
        <v>26</v>
      </c>
    </row>
    <row r="9">
      <c r="A9" s="8">
        <v>40391.0</v>
      </c>
      <c r="B9" s="9">
        <f>IFERROR(__xludf.DUMMYFUNCTION("""COMPUTED_VALUE"""),111.0)</f>
        <v>111</v>
      </c>
      <c r="C9" s="10" t="s">
        <v>10</v>
      </c>
      <c r="D9" s="10" t="s">
        <v>26</v>
      </c>
      <c r="E9" s="10" t="s">
        <v>26</v>
      </c>
      <c r="F9" s="10" t="s">
        <v>26</v>
      </c>
      <c r="G9" s="11" t="s">
        <v>26</v>
      </c>
      <c r="H9" s="10" t="s">
        <v>26</v>
      </c>
      <c r="I9" s="10" t="s">
        <v>26</v>
      </c>
      <c r="J9" s="10" t="s">
        <v>26</v>
      </c>
      <c r="K9" s="10" t="s">
        <v>26</v>
      </c>
      <c r="L9" s="10" t="s">
        <v>26</v>
      </c>
      <c r="M9" s="10" t="s">
        <v>26</v>
      </c>
      <c r="N9" s="10" t="s">
        <v>26</v>
      </c>
      <c r="O9" s="10" t="s">
        <v>26</v>
      </c>
      <c r="P9" s="10" t="s">
        <v>26</v>
      </c>
      <c r="Q9" s="7" t="s">
        <v>26</v>
      </c>
      <c r="R9" s="7" t="s">
        <v>26</v>
      </c>
      <c r="S9" s="7" t="s">
        <v>26</v>
      </c>
      <c r="T9" s="7" t="s">
        <v>26</v>
      </c>
      <c r="U9" s="7" t="s">
        <v>26</v>
      </c>
      <c r="V9" s="7" t="s">
        <v>26</v>
      </c>
      <c r="W9" s="7" t="s">
        <v>26</v>
      </c>
      <c r="X9" s="7" t="s">
        <v>26</v>
      </c>
      <c r="Y9" s="7" t="s">
        <v>26</v>
      </c>
      <c r="Z9" s="7" t="s">
        <v>26</v>
      </c>
    </row>
    <row r="10">
      <c r="A10" s="8">
        <v>40422.0</v>
      </c>
      <c r="B10" s="9">
        <f>IFERROR(__xludf.DUMMYFUNCTION("""COMPUTED_VALUE"""),159.0)</f>
        <v>159</v>
      </c>
      <c r="C10" s="10" t="s">
        <v>11</v>
      </c>
      <c r="D10" s="10" t="s">
        <v>26</v>
      </c>
      <c r="E10" s="10" t="s">
        <v>26</v>
      </c>
      <c r="F10" s="10" t="s">
        <v>26</v>
      </c>
      <c r="G10" s="11" t="s">
        <v>26</v>
      </c>
      <c r="H10" s="10" t="s">
        <v>26</v>
      </c>
      <c r="I10" s="10" t="s">
        <v>26</v>
      </c>
      <c r="J10" s="10" t="s">
        <v>26</v>
      </c>
      <c r="K10" s="10" t="s">
        <v>26</v>
      </c>
      <c r="L10" s="10" t="s">
        <v>26</v>
      </c>
      <c r="M10" s="10" t="s">
        <v>26</v>
      </c>
      <c r="N10" s="10" t="s">
        <v>26</v>
      </c>
      <c r="O10" s="10" t="s">
        <v>26</v>
      </c>
      <c r="P10" s="10" t="s">
        <v>26</v>
      </c>
      <c r="Q10" s="7" t="s">
        <v>26</v>
      </c>
      <c r="R10" s="7" t="s">
        <v>26</v>
      </c>
      <c r="S10" s="7" t="s">
        <v>26</v>
      </c>
      <c r="T10" s="7" t="s">
        <v>26</v>
      </c>
      <c r="U10" s="7" t="s">
        <v>26</v>
      </c>
      <c r="V10" s="7" t="s">
        <v>26</v>
      </c>
      <c r="W10" s="7" t="s">
        <v>26</v>
      </c>
      <c r="X10" s="7" t="s">
        <v>26</v>
      </c>
      <c r="Y10" s="7" t="s">
        <v>26</v>
      </c>
      <c r="Z10" s="7" t="s">
        <v>26</v>
      </c>
    </row>
    <row r="11">
      <c r="A11" s="8">
        <v>40452.0</v>
      </c>
      <c r="B11" s="9">
        <f>IFERROR(__xludf.DUMMYFUNCTION("""COMPUTED_VALUE"""),320.0)</f>
        <v>320</v>
      </c>
      <c r="C11" s="10" t="s">
        <v>12</v>
      </c>
      <c r="D11" s="10" t="s">
        <v>26</v>
      </c>
      <c r="E11" s="10" t="s">
        <v>26</v>
      </c>
      <c r="F11" s="10" t="s">
        <v>26</v>
      </c>
      <c r="G11" s="11" t="s">
        <v>26</v>
      </c>
      <c r="H11" s="10" t="s">
        <v>26</v>
      </c>
      <c r="I11" s="10" t="s">
        <v>26</v>
      </c>
      <c r="J11" s="10" t="s">
        <v>26</v>
      </c>
      <c r="K11" s="10" t="s">
        <v>26</v>
      </c>
      <c r="L11" s="10" t="s">
        <v>26</v>
      </c>
      <c r="M11" s="10" t="s">
        <v>26</v>
      </c>
      <c r="N11" s="10" t="s">
        <v>26</v>
      </c>
      <c r="O11" s="10" t="s">
        <v>26</v>
      </c>
      <c r="P11" s="10" t="s">
        <v>26</v>
      </c>
      <c r="Q11" s="7" t="s">
        <v>26</v>
      </c>
      <c r="R11" s="7" t="s">
        <v>26</v>
      </c>
      <c r="S11" s="7" t="s">
        <v>26</v>
      </c>
      <c r="T11" s="7" t="s">
        <v>26</v>
      </c>
      <c r="U11" s="7" t="s">
        <v>26</v>
      </c>
      <c r="V11" s="7" t="s">
        <v>26</v>
      </c>
      <c r="W11" s="7" t="s">
        <v>26</v>
      </c>
      <c r="X11" s="7" t="s">
        <v>26</v>
      </c>
      <c r="Y11" s="7" t="s">
        <v>26</v>
      </c>
      <c r="Z11" s="7" t="s">
        <v>26</v>
      </c>
    </row>
    <row r="12">
      <c r="A12" s="8">
        <v>40483.0</v>
      </c>
      <c r="B12" s="9">
        <f>IFERROR(__xludf.DUMMYFUNCTION("""COMPUTED_VALUE"""),290.0)</f>
        <v>290</v>
      </c>
      <c r="C12" s="10" t="s">
        <v>13</v>
      </c>
      <c r="D12" s="10" t="s">
        <v>26</v>
      </c>
      <c r="E12" s="10" t="s">
        <v>26</v>
      </c>
      <c r="F12" s="10" t="s">
        <v>26</v>
      </c>
      <c r="G12" s="11" t="s">
        <v>26</v>
      </c>
      <c r="H12" s="10" t="s">
        <v>26</v>
      </c>
      <c r="I12" s="10" t="s">
        <v>26</v>
      </c>
      <c r="J12" s="10" t="s">
        <v>26</v>
      </c>
      <c r="K12" s="10" t="s">
        <v>26</v>
      </c>
      <c r="L12" s="10" t="s">
        <v>26</v>
      </c>
      <c r="M12" s="10" t="s">
        <v>26</v>
      </c>
      <c r="N12" s="10" t="s">
        <v>26</v>
      </c>
      <c r="O12" s="10" t="s">
        <v>26</v>
      </c>
      <c r="P12" s="10" t="s">
        <v>26</v>
      </c>
      <c r="Q12" s="7" t="s">
        <v>26</v>
      </c>
      <c r="R12" s="7" t="s">
        <v>26</v>
      </c>
      <c r="S12" s="7" t="s">
        <v>26</v>
      </c>
      <c r="T12" s="7" t="s">
        <v>26</v>
      </c>
      <c r="U12" s="7" t="s">
        <v>26</v>
      </c>
      <c r="V12" s="7" t="s">
        <v>26</v>
      </c>
      <c r="W12" s="7" t="s">
        <v>26</v>
      </c>
      <c r="X12" s="7" t="s">
        <v>26</v>
      </c>
      <c r="Y12" s="7" t="s">
        <v>26</v>
      </c>
      <c r="Z12" s="7" t="s">
        <v>26</v>
      </c>
    </row>
    <row r="13">
      <c r="A13" s="8">
        <v>40513.0</v>
      </c>
      <c r="B13" s="9">
        <f>IFERROR(__xludf.DUMMYFUNCTION("""COMPUTED_VALUE"""),446.0)</f>
        <v>446</v>
      </c>
      <c r="C13" s="10" t="s">
        <v>14</v>
      </c>
      <c r="D13" s="10" t="s">
        <v>26</v>
      </c>
      <c r="E13" s="10" t="s">
        <v>26</v>
      </c>
      <c r="F13" s="10" t="s">
        <v>26</v>
      </c>
      <c r="G13" s="11" t="s">
        <v>26</v>
      </c>
      <c r="H13" s="10" t="s">
        <v>26</v>
      </c>
      <c r="I13" s="10" t="s">
        <v>26</v>
      </c>
      <c r="J13" s="10" t="s">
        <v>26</v>
      </c>
      <c r="K13" s="10" t="s">
        <v>26</v>
      </c>
      <c r="L13" s="10" t="s">
        <v>26</v>
      </c>
      <c r="M13" s="10" t="s">
        <v>26</v>
      </c>
      <c r="N13" s="10" t="s">
        <v>26</v>
      </c>
      <c r="O13" s="10" t="s">
        <v>26</v>
      </c>
      <c r="P13" s="10" t="s">
        <v>26</v>
      </c>
      <c r="Q13" s="7" t="s">
        <v>26</v>
      </c>
      <c r="R13" s="7" t="s">
        <v>26</v>
      </c>
      <c r="S13" s="7" t="s">
        <v>26</v>
      </c>
      <c r="T13" s="7" t="s">
        <v>26</v>
      </c>
      <c r="U13" s="7" t="s">
        <v>26</v>
      </c>
      <c r="V13" s="7" t="s">
        <v>26</v>
      </c>
      <c r="W13" s="7" t="s">
        <v>26</v>
      </c>
      <c r="X13" s="7" t="s">
        <v>26</v>
      </c>
      <c r="Y13" s="7" t="s">
        <v>26</v>
      </c>
      <c r="Z13" s="7" t="s">
        <v>26</v>
      </c>
    </row>
    <row r="14">
      <c r="A14" s="8">
        <v>40544.0</v>
      </c>
      <c r="B14" s="9">
        <f>IFERROR(__xludf.DUMMYFUNCTION("""COMPUTED_VALUE"""),127.0)</f>
        <v>127</v>
      </c>
      <c r="C14" s="10" t="s">
        <v>15</v>
      </c>
      <c r="D14" s="10" t="s">
        <v>26</v>
      </c>
      <c r="E14" s="10" t="s">
        <v>26</v>
      </c>
      <c r="F14" s="10" t="s">
        <v>26</v>
      </c>
      <c r="G14" s="11" t="s">
        <v>26</v>
      </c>
      <c r="H14" s="10" t="s">
        <v>26</v>
      </c>
      <c r="I14" s="10" t="s">
        <v>26</v>
      </c>
      <c r="J14" s="10" t="s">
        <v>26</v>
      </c>
      <c r="K14" s="10" t="s">
        <v>26</v>
      </c>
      <c r="L14" s="10" t="s">
        <v>26</v>
      </c>
      <c r="M14" s="10" t="s">
        <v>26</v>
      </c>
      <c r="N14" s="10" t="s">
        <v>26</v>
      </c>
      <c r="O14" s="10" t="s">
        <v>26</v>
      </c>
      <c r="P14" s="10" t="s">
        <v>26</v>
      </c>
      <c r="Q14" s="7" t="s">
        <v>26</v>
      </c>
      <c r="R14" s="7" t="s">
        <v>26</v>
      </c>
      <c r="S14" s="7" t="s">
        <v>26</v>
      </c>
      <c r="T14" s="7" t="s">
        <v>26</v>
      </c>
      <c r="U14" s="7" t="s">
        <v>26</v>
      </c>
      <c r="V14" s="7" t="s">
        <v>26</v>
      </c>
      <c r="W14" s="7" t="s">
        <v>26</v>
      </c>
      <c r="X14" s="7" t="s">
        <v>26</v>
      </c>
      <c r="Y14" s="7" t="s">
        <v>26</v>
      </c>
      <c r="Z14" s="7" t="s">
        <v>26</v>
      </c>
    </row>
    <row r="15">
      <c r="A15" s="8">
        <v>40575.0</v>
      </c>
      <c r="B15" s="9">
        <f>IFERROR(__xludf.DUMMYFUNCTION("""COMPUTED_VALUE"""),298.0)</f>
        <v>298</v>
      </c>
      <c r="C15" s="10" t="s">
        <v>16</v>
      </c>
      <c r="D15" s="10" t="s">
        <v>26</v>
      </c>
      <c r="E15" s="10" t="s">
        <v>26</v>
      </c>
      <c r="F15" s="10" t="s">
        <v>26</v>
      </c>
      <c r="G15" s="11" t="s">
        <v>26</v>
      </c>
      <c r="H15" s="10" t="s">
        <v>26</v>
      </c>
      <c r="I15" s="10" t="s">
        <v>26</v>
      </c>
      <c r="J15" s="10" t="s">
        <v>26</v>
      </c>
      <c r="K15" s="10" t="s">
        <v>26</v>
      </c>
      <c r="L15" s="10" t="s">
        <v>26</v>
      </c>
      <c r="M15" s="10" t="s">
        <v>26</v>
      </c>
      <c r="N15" s="10" t="s">
        <v>26</v>
      </c>
      <c r="O15" s="10" t="s">
        <v>26</v>
      </c>
      <c r="P15" s="10" t="s">
        <v>26</v>
      </c>
      <c r="Q15" s="7" t="s">
        <v>26</v>
      </c>
      <c r="R15" s="7" t="s">
        <v>26</v>
      </c>
      <c r="S15" s="7" t="s">
        <v>26</v>
      </c>
      <c r="T15" s="7" t="s">
        <v>26</v>
      </c>
      <c r="U15" s="7" t="s">
        <v>26</v>
      </c>
      <c r="V15" s="7" t="s">
        <v>26</v>
      </c>
      <c r="W15" s="7" t="s">
        <v>26</v>
      </c>
      <c r="X15" s="7" t="s">
        <v>26</v>
      </c>
      <c r="Y15" s="7" t="s">
        <v>26</v>
      </c>
      <c r="Z15" s="7" t="s">
        <v>26</v>
      </c>
    </row>
    <row r="16">
      <c r="A16" s="8">
        <v>40603.0</v>
      </c>
      <c r="B16" s="9">
        <f>IFERROR(__xludf.DUMMYFUNCTION("""COMPUTED_VALUE"""),451.0)</f>
        <v>451</v>
      </c>
      <c r="C16" s="10" t="s">
        <v>17</v>
      </c>
      <c r="D16" s="10" t="s">
        <v>26</v>
      </c>
      <c r="E16" s="10" t="s">
        <v>26</v>
      </c>
      <c r="F16" s="10" t="s">
        <v>26</v>
      </c>
      <c r="G16" s="11" t="s">
        <v>26</v>
      </c>
      <c r="H16" s="10" t="s">
        <v>26</v>
      </c>
      <c r="I16" s="10" t="s">
        <v>26</v>
      </c>
      <c r="J16" s="10" t="s">
        <v>26</v>
      </c>
      <c r="K16" s="10" t="s">
        <v>26</v>
      </c>
      <c r="L16" s="10" t="s">
        <v>26</v>
      </c>
      <c r="M16" s="10" t="s">
        <v>26</v>
      </c>
      <c r="N16" s="10" t="s">
        <v>26</v>
      </c>
      <c r="O16" s="10" t="s">
        <v>26</v>
      </c>
      <c r="P16" s="10" t="s">
        <v>26</v>
      </c>
      <c r="Q16" s="7" t="s">
        <v>26</v>
      </c>
      <c r="R16" s="7" t="s">
        <v>26</v>
      </c>
      <c r="S16" s="7" t="s">
        <v>26</v>
      </c>
      <c r="T16" s="7" t="s">
        <v>26</v>
      </c>
      <c r="U16" s="7" t="s">
        <v>26</v>
      </c>
      <c r="V16" s="7" t="s">
        <v>26</v>
      </c>
      <c r="W16" s="7" t="s">
        <v>26</v>
      </c>
      <c r="X16" s="7" t="s">
        <v>26</v>
      </c>
      <c r="Y16" s="7" t="s">
        <v>26</v>
      </c>
      <c r="Z16" s="7" t="s">
        <v>26</v>
      </c>
    </row>
    <row r="17">
      <c r="A17" s="8">
        <v>40634.0</v>
      </c>
      <c r="B17" s="9">
        <f>IFERROR(__xludf.DUMMYFUNCTION("""COMPUTED_VALUE"""),371.0)</f>
        <v>371</v>
      </c>
      <c r="C17" s="10" t="s">
        <v>18</v>
      </c>
      <c r="D17" s="10" t="s">
        <v>26</v>
      </c>
      <c r="E17" s="10" t="s">
        <v>26</v>
      </c>
      <c r="F17" s="10" t="s">
        <v>26</v>
      </c>
      <c r="G17" s="11" t="s">
        <v>26</v>
      </c>
      <c r="H17" s="10" t="s">
        <v>26</v>
      </c>
      <c r="I17" s="10" t="s">
        <v>26</v>
      </c>
      <c r="J17" s="10" t="s">
        <v>26</v>
      </c>
      <c r="K17" s="10" t="s">
        <v>26</v>
      </c>
      <c r="L17" s="10" t="s">
        <v>26</v>
      </c>
      <c r="M17" s="10" t="s">
        <v>26</v>
      </c>
      <c r="N17" s="10" t="s">
        <v>26</v>
      </c>
      <c r="O17" s="10" t="s">
        <v>26</v>
      </c>
      <c r="P17" s="10" t="s">
        <v>26</v>
      </c>
      <c r="Q17" s="7" t="s">
        <v>26</v>
      </c>
      <c r="R17" s="7" t="s">
        <v>26</v>
      </c>
      <c r="S17" s="7" t="s">
        <v>26</v>
      </c>
      <c r="T17" s="7" t="s">
        <v>26</v>
      </c>
      <c r="U17" s="7" t="s">
        <v>26</v>
      </c>
      <c r="V17" s="7" t="s">
        <v>26</v>
      </c>
      <c r="W17" s="7" t="s">
        <v>26</v>
      </c>
      <c r="X17" s="7" t="s">
        <v>26</v>
      </c>
      <c r="Y17" s="7" t="s">
        <v>26</v>
      </c>
      <c r="Z17" s="7" t="s">
        <v>26</v>
      </c>
    </row>
    <row r="18">
      <c r="A18" s="8">
        <v>40664.0</v>
      </c>
      <c r="B18" s="9">
        <f>IFERROR(__xludf.DUMMYFUNCTION("""COMPUTED_VALUE"""),506.0)</f>
        <v>506</v>
      </c>
      <c r="C18" s="10" t="s">
        <v>19</v>
      </c>
      <c r="D18" s="10" t="s">
        <v>26</v>
      </c>
      <c r="E18" s="10" t="s">
        <v>26</v>
      </c>
      <c r="F18" s="10" t="s">
        <v>26</v>
      </c>
      <c r="G18" s="11" t="s">
        <v>26</v>
      </c>
      <c r="H18" s="10" t="s">
        <v>26</v>
      </c>
      <c r="I18" s="10" t="s">
        <v>26</v>
      </c>
      <c r="J18" s="10" t="s">
        <v>26</v>
      </c>
      <c r="K18" s="10" t="s">
        <v>26</v>
      </c>
      <c r="L18" s="10" t="s">
        <v>26</v>
      </c>
      <c r="M18" s="10" t="s">
        <v>26</v>
      </c>
      <c r="N18" s="10" t="s">
        <v>26</v>
      </c>
      <c r="O18" s="10" t="s">
        <v>26</v>
      </c>
      <c r="P18" s="10" t="s">
        <v>26</v>
      </c>
      <c r="Q18" s="7" t="s">
        <v>26</v>
      </c>
      <c r="R18" s="7" t="s">
        <v>26</v>
      </c>
      <c r="S18" s="7" t="s">
        <v>26</v>
      </c>
      <c r="T18" s="7" t="s">
        <v>26</v>
      </c>
      <c r="U18" s="7" t="s">
        <v>26</v>
      </c>
      <c r="V18" s="7" t="s">
        <v>26</v>
      </c>
      <c r="W18" s="7" t="s">
        <v>26</v>
      </c>
      <c r="X18" s="7" t="s">
        <v>26</v>
      </c>
      <c r="Y18" s="7" t="s">
        <v>26</v>
      </c>
      <c r="Z18" s="7" t="s">
        <v>26</v>
      </c>
    </row>
    <row r="19">
      <c r="A19" s="8">
        <v>40695.0</v>
      </c>
      <c r="B19" s="9">
        <f>IFERROR(__xludf.DUMMYFUNCTION("""COMPUTED_VALUE"""),483.0)</f>
        <v>483</v>
      </c>
      <c r="C19" s="10" t="s">
        <v>20</v>
      </c>
      <c r="D19" s="10" t="s">
        <v>26</v>
      </c>
      <c r="E19" s="10" t="s">
        <v>26</v>
      </c>
      <c r="F19" s="10" t="s">
        <v>26</v>
      </c>
      <c r="G19" s="11" t="s">
        <v>26</v>
      </c>
      <c r="H19" s="10" t="s">
        <v>26</v>
      </c>
      <c r="I19" s="10" t="s">
        <v>26</v>
      </c>
      <c r="J19" s="10" t="s">
        <v>26</v>
      </c>
      <c r="K19" s="10" t="s">
        <v>26</v>
      </c>
      <c r="L19" s="10" t="s">
        <v>26</v>
      </c>
      <c r="M19" s="10" t="s">
        <v>26</v>
      </c>
      <c r="N19" s="10" t="s">
        <v>26</v>
      </c>
      <c r="O19" s="10" t="s">
        <v>26</v>
      </c>
      <c r="P19" s="10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7" t="s">
        <v>26</v>
      </c>
      <c r="V19" s="7" t="s">
        <v>26</v>
      </c>
      <c r="W19" s="7" t="s">
        <v>26</v>
      </c>
      <c r="X19" s="7" t="s">
        <v>26</v>
      </c>
      <c r="Y19" s="7" t="s">
        <v>26</v>
      </c>
      <c r="Z19" s="7" t="s">
        <v>26</v>
      </c>
    </row>
    <row r="20">
      <c r="A20" s="8">
        <v>40725.0</v>
      </c>
      <c r="B20" s="9">
        <f>IFERROR(__xludf.DUMMYFUNCTION("""COMPUTED_VALUE"""),402.0)</f>
        <v>402</v>
      </c>
      <c r="C20" s="10" t="s">
        <v>21</v>
      </c>
      <c r="D20" s="10" t="s">
        <v>26</v>
      </c>
      <c r="E20" s="10" t="s">
        <v>26</v>
      </c>
      <c r="F20" s="10" t="s">
        <v>26</v>
      </c>
      <c r="G20" s="11" t="s">
        <v>26</v>
      </c>
      <c r="H20" s="10" t="s">
        <v>26</v>
      </c>
      <c r="I20" s="10" t="s">
        <v>26</v>
      </c>
      <c r="J20" s="10" t="s">
        <v>26</v>
      </c>
      <c r="K20" s="10" t="s">
        <v>26</v>
      </c>
      <c r="L20" s="10" t="s">
        <v>26</v>
      </c>
      <c r="M20" s="10" t="s">
        <v>26</v>
      </c>
      <c r="N20" s="10" t="s">
        <v>26</v>
      </c>
      <c r="O20" s="10" t="s">
        <v>26</v>
      </c>
      <c r="P20" s="10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7" t="s">
        <v>26</v>
      </c>
      <c r="V20" s="7" t="s">
        <v>26</v>
      </c>
      <c r="W20" s="7" t="s">
        <v>26</v>
      </c>
      <c r="X20" s="7" t="s">
        <v>26</v>
      </c>
      <c r="Y20" s="7" t="s">
        <v>26</v>
      </c>
      <c r="Z20" s="7" t="s">
        <v>26</v>
      </c>
    </row>
    <row r="21">
      <c r="A21" s="8">
        <v>40756.0</v>
      </c>
      <c r="B21" s="9">
        <f>IFERROR(__xludf.DUMMYFUNCTION("""COMPUTED_VALUE"""),1113.0)</f>
        <v>1113</v>
      </c>
      <c r="C21" s="12" t="s">
        <v>22</v>
      </c>
      <c r="D21" s="12">
        <v>2822.71397292351</v>
      </c>
      <c r="E21" s="12">
        <v>1916.53302906639</v>
      </c>
      <c r="F21" s="12">
        <v>2407.79933512004</v>
      </c>
      <c r="G21" s="13">
        <v>1456.94992473259</v>
      </c>
      <c r="H21" s="12">
        <v>1466.60774499754</v>
      </c>
      <c r="I21" s="12">
        <v>1856.96681506998</v>
      </c>
      <c r="J21" s="12">
        <v>2762.54729170152</v>
      </c>
      <c r="K21" s="12">
        <v>3006.80882428671</v>
      </c>
      <c r="L21" s="12">
        <v>2307.59336145439</v>
      </c>
      <c r="M21" s="12">
        <v>2170.36712543512</v>
      </c>
      <c r="N21" s="12">
        <v>1490.78871270824</v>
      </c>
      <c r="O21" s="12">
        <v>2840.86627026414</v>
      </c>
      <c r="P21" s="12">
        <v>7378.4094529093</v>
      </c>
      <c r="Q21" s="7">
        <v>1558.37615967766</v>
      </c>
      <c r="R21" s="7">
        <v>2427.37184650033</v>
      </c>
      <c r="S21" s="7">
        <v>2114.32</v>
      </c>
      <c r="T21" s="7">
        <v>2067.61478993903</v>
      </c>
      <c r="U21" s="7">
        <v>2110.55706421823</v>
      </c>
      <c r="V21" s="7">
        <v>2165.33814250789</v>
      </c>
      <c r="W21" s="7">
        <v>2134.35485831506</v>
      </c>
      <c r="X21" s="7" t="s">
        <v>26</v>
      </c>
      <c r="Y21" s="7">
        <v>1053.05101048429</v>
      </c>
      <c r="Z21" s="7">
        <v>2071.01621007569</v>
      </c>
    </row>
    <row r="22">
      <c r="A22" s="8">
        <v>40787.0</v>
      </c>
      <c r="B22" s="9">
        <f>IFERROR(__xludf.DUMMYFUNCTION("""COMPUTED_VALUE"""),710.0)</f>
        <v>710</v>
      </c>
      <c r="C22" s="12" t="s">
        <v>23</v>
      </c>
      <c r="D22" s="12">
        <v>4089.69316384047</v>
      </c>
      <c r="E22" s="12">
        <v>5306.22204316143</v>
      </c>
      <c r="F22" s="12">
        <v>4876.47435215505</v>
      </c>
      <c r="G22" s="13">
        <v>4060.59270205813</v>
      </c>
      <c r="H22" s="12">
        <v>4060.25475367922</v>
      </c>
      <c r="I22" s="12">
        <v>4162.28479757965</v>
      </c>
      <c r="J22" s="12">
        <v>3840.7540688154</v>
      </c>
      <c r="K22" s="12">
        <v>6155.70628922571</v>
      </c>
      <c r="L22" s="12">
        <v>3521.34721585128</v>
      </c>
      <c r="M22" s="12">
        <v>5383.88672787213</v>
      </c>
      <c r="N22" s="12">
        <v>5754.49333699024</v>
      </c>
      <c r="O22" s="12">
        <v>3141.178088844</v>
      </c>
      <c r="P22" s="12">
        <v>4037.83512708471</v>
      </c>
      <c r="Q22" s="7">
        <v>3646.89012332325</v>
      </c>
      <c r="R22" s="7">
        <v>4795.86632061373</v>
      </c>
      <c r="S22" s="7">
        <v>2270.06003432502</v>
      </c>
      <c r="T22" s="7">
        <v>2234.9778332615</v>
      </c>
      <c r="U22" s="7">
        <v>5352.51088244648</v>
      </c>
      <c r="V22" s="7">
        <v>803.0</v>
      </c>
      <c r="W22" s="7">
        <v>5412.20403369281</v>
      </c>
      <c r="X22" s="7" t="s">
        <v>26</v>
      </c>
      <c r="Y22" s="7">
        <v>1764.05101048429</v>
      </c>
      <c r="Z22" s="7">
        <v>4727.6147707952</v>
      </c>
    </row>
    <row r="23">
      <c r="A23" s="8">
        <v>40817.0</v>
      </c>
      <c r="B23" s="9">
        <f>IFERROR(__xludf.DUMMYFUNCTION("""COMPUTED_VALUE"""),1004.0)</f>
        <v>1004</v>
      </c>
      <c r="C23" s="12" t="s">
        <v>24</v>
      </c>
      <c r="D23" s="12">
        <v>2891.91522581018</v>
      </c>
      <c r="E23" s="12">
        <v>3583.39121168301</v>
      </c>
      <c r="F23" s="12">
        <v>2964.32489170847</v>
      </c>
      <c r="G23" s="13">
        <v>2540.14538945308</v>
      </c>
      <c r="H23" s="12">
        <v>3428.69988790402</v>
      </c>
      <c r="I23" s="12">
        <v>3370.86051939205</v>
      </c>
      <c r="J23" s="12">
        <v>2704.90690822905</v>
      </c>
      <c r="K23" s="12">
        <v>4171.07701786176</v>
      </c>
      <c r="L23" s="12">
        <v>7789.35516193171</v>
      </c>
      <c r="M23" s="12">
        <v>3444.81472367015</v>
      </c>
      <c r="N23" s="12">
        <v>2548.75365335139</v>
      </c>
      <c r="O23" s="12">
        <v>3017.93575032351</v>
      </c>
      <c r="P23" s="12">
        <v>2752.75072513317</v>
      </c>
      <c r="Q23" s="7">
        <v>6333.34953416498</v>
      </c>
      <c r="R23" s="7">
        <v>3340.79702393149</v>
      </c>
      <c r="S23" s="7">
        <v>5052.78780981728</v>
      </c>
      <c r="T23" s="7">
        <v>5631.73430275957</v>
      </c>
      <c r="U23" s="7">
        <v>3387.55210422868</v>
      </c>
      <c r="V23" s="7">
        <v>803.0</v>
      </c>
      <c r="W23" s="7">
        <v>3411.24630107612</v>
      </c>
      <c r="X23" s="7" t="s">
        <v>26</v>
      </c>
      <c r="Y23" s="7">
        <v>1361.05101048429</v>
      </c>
      <c r="Z23" s="7">
        <v>1160.16489488858</v>
      </c>
    </row>
    <row r="24">
      <c r="A24" s="8">
        <v>40848.0</v>
      </c>
      <c r="B24" s="9">
        <f>IFERROR(__xludf.DUMMYFUNCTION("""COMPUTED_VALUE"""),502.0)</f>
        <v>502</v>
      </c>
      <c r="C24" s="12" t="s">
        <v>25</v>
      </c>
      <c r="D24" s="12">
        <v>-167.0</v>
      </c>
      <c r="E24" s="12">
        <v>0.0</v>
      </c>
      <c r="F24" s="12">
        <v>2376.13071604836</v>
      </c>
      <c r="G24" s="13">
        <v>1004.0</v>
      </c>
      <c r="H24" s="12">
        <v>2172.60566927474</v>
      </c>
      <c r="I24" s="12">
        <v>595.420681117979</v>
      </c>
      <c r="J24" s="12">
        <v>1743.08568140114</v>
      </c>
      <c r="K24" s="12">
        <v>5341.22901881705</v>
      </c>
      <c r="L24" s="12">
        <v>486.617371723462</v>
      </c>
      <c r="M24" s="12">
        <v>23.0577402585059</v>
      </c>
      <c r="N24" s="12">
        <v>848.567709545115</v>
      </c>
      <c r="O24" s="12">
        <v>1247.43242693244</v>
      </c>
      <c r="P24" s="12">
        <v>580.0</v>
      </c>
      <c r="Q24" s="7">
        <v>1935.25095020209</v>
      </c>
      <c r="R24" s="7">
        <v>288.0</v>
      </c>
      <c r="S24" s="7">
        <v>3064.02352941176</v>
      </c>
      <c r="T24" s="7">
        <v>2866.20478993903</v>
      </c>
      <c r="U24" s="7">
        <v>4815.55670064465</v>
      </c>
      <c r="V24" s="7">
        <v>135.0</v>
      </c>
      <c r="W24" s="7">
        <v>4857.54492180991</v>
      </c>
      <c r="X24" s="7" t="s">
        <v>26</v>
      </c>
      <c r="Y24" s="7">
        <v>1655.05101048429</v>
      </c>
      <c r="Z24" s="7">
        <v>1495.58288395581</v>
      </c>
    </row>
    <row r="25">
      <c r="A25" s="8">
        <v>40878.0</v>
      </c>
      <c r="B25" s="9">
        <f>IFERROR(__xludf.DUMMYFUNCTION("""COMPUTED_VALUE"""),551.0)</f>
        <v>551</v>
      </c>
      <c r="C25" s="12" t="s">
        <v>3</v>
      </c>
      <c r="D25" s="12">
        <v>403.0</v>
      </c>
      <c r="E25" s="12">
        <v>0.0</v>
      </c>
      <c r="F25" s="12">
        <v>2703.12012364413</v>
      </c>
      <c r="G25" s="13">
        <v>1548.47258252868</v>
      </c>
      <c r="H25" s="12">
        <v>1503.98186120357</v>
      </c>
      <c r="I25" s="12">
        <v>562.0</v>
      </c>
      <c r="J25" s="12">
        <v>1702.07342015094</v>
      </c>
      <c r="K25" s="12">
        <v>2935.86540200989</v>
      </c>
      <c r="L25" s="12">
        <v>897.886162328418</v>
      </c>
      <c r="M25" s="12">
        <v>2410.50162296504</v>
      </c>
      <c r="N25" s="12">
        <v>2374.79892248135</v>
      </c>
      <c r="O25" s="12">
        <v>906.763693220944</v>
      </c>
      <c r="P25" s="12">
        <v>441.0</v>
      </c>
      <c r="Q25" s="7">
        <v>1238.30287903751</v>
      </c>
      <c r="R25" s="7">
        <v>135.0</v>
      </c>
      <c r="S25" s="7">
        <v>1877.57176470588</v>
      </c>
      <c r="T25" s="7">
        <v>1713.29478993903</v>
      </c>
      <c r="U25" s="7">
        <v>2385.47106321516</v>
      </c>
      <c r="V25" s="7">
        <v>135.0</v>
      </c>
      <c r="W25" s="7">
        <v>2416.41856919344</v>
      </c>
      <c r="X25" s="7" t="s">
        <v>26</v>
      </c>
      <c r="Y25" s="7">
        <v>1153.05101048429</v>
      </c>
      <c r="Z25" s="7">
        <v>2324.06752973079</v>
      </c>
    </row>
    <row r="26">
      <c r="A26" s="8">
        <v>40909.0</v>
      </c>
      <c r="B26" s="9">
        <f>IFERROR(__xludf.DUMMYFUNCTION("""COMPUTED_VALUE"""),198.0)</f>
        <v>198</v>
      </c>
      <c r="C26" s="12" t="s">
        <v>4</v>
      </c>
      <c r="D26" s="12">
        <v>1936.0</v>
      </c>
      <c r="E26" s="12">
        <v>53.0</v>
      </c>
      <c r="F26" s="12">
        <v>2687.48716375633</v>
      </c>
      <c r="G26" s="13">
        <v>2265.68604177949</v>
      </c>
      <c r="H26" s="12">
        <v>1645.10482919329</v>
      </c>
      <c r="I26" s="12">
        <v>489.0</v>
      </c>
      <c r="J26" s="12">
        <v>2123.33727656497</v>
      </c>
      <c r="K26" s="12">
        <v>2948.67784669525</v>
      </c>
      <c r="L26" s="12">
        <v>1471.82672895885</v>
      </c>
      <c r="M26" s="12">
        <v>2726.00980551491</v>
      </c>
      <c r="N26" s="12">
        <v>706.202010417578</v>
      </c>
      <c r="O26" s="12">
        <v>656.911530224572</v>
      </c>
      <c r="P26" s="12">
        <v>719.0</v>
      </c>
      <c r="Q26" s="7">
        <v>1143.31961521048</v>
      </c>
      <c r="R26" s="7">
        <v>143.5</v>
      </c>
      <c r="S26" s="7">
        <v>3011.02941176471</v>
      </c>
      <c r="T26" s="7">
        <v>2866.20478993903</v>
      </c>
      <c r="U26" s="7">
        <v>2638.80687763062</v>
      </c>
      <c r="V26" s="7">
        <v>105.5</v>
      </c>
      <c r="W26" s="7">
        <v>2678.27085805101</v>
      </c>
      <c r="X26" s="7">
        <v>0.0</v>
      </c>
      <c r="Y26" s="7">
        <v>1202.05101048429</v>
      </c>
      <c r="Z26" s="7">
        <v>2516.82336412057</v>
      </c>
    </row>
    <row r="27">
      <c r="A27" s="8">
        <v>40940.0</v>
      </c>
      <c r="B27" s="9">
        <f>IFERROR(__xludf.DUMMYFUNCTION("""COMPUTED_VALUE"""),389.0)</f>
        <v>389</v>
      </c>
      <c r="C27" s="12" t="s">
        <v>5</v>
      </c>
      <c r="D27" s="12">
        <v>8500.0</v>
      </c>
      <c r="E27" s="12">
        <v>0.0</v>
      </c>
      <c r="F27" s="12">
        <v>8536.06110009855</v>
      </c>
      <c r="G27" s="13">
        <v>0.0</v>
      </c>
      <c r="H27" s="12">
        <v>656.526237527777</v>
      </c>
      <c r="I27" s="12">
        <v>631.0</v>
      </c>
      <c r="J27" s="12">
        <v>9075.97639926934</v>
      </c>
      <c r="K27" s="12">
        <v>239.248452222778</v>
      </c>
      <c r="L27" s="12">
        <v>7546.99416617404</v>
      </c>
      <c r="M27" s="12">
        <v>-40.3369970334157</v>
      </c>
      <c r="N27" s="12">
        <v>7798.35787351743</v>
      </c>
      <c r="O27" s="12">
        <v>1585.44874944241</v>
      </c>
      <c r="P27" s="12">
        <v>595.0</v>
      </c>
      <c r="Q27" s="7">
        <v>446.368073839685</v>
      </c>
      <c r="R27" s="7">
        <v>186.0</v>
      </c>
      <c r="S27" s="7">
        <v>3681.705</v>
      </c>
      <c r="T27" s="7">
        <v>2827.68478993903</v>
      </c>
      <c r="U27" s="7">
        <v>553.862328372246</v>
      </c>
      <c r="V27" s="7">
        <v>135.0</v>
      </c>
      <c r="W27" s="7">
        <v>-143.723000138597</v>
      </c>
      <c r="X27" s="7">
        <v>0.0</v>
      </c>
      <c r="Y27" s="7">
        <v>849.051010484291</v>
      </c>
      <c r="Z27" s="7">
        <v>1128.19459800643</v>
      </c>
    </row>
    <row r="28">
      <c r="A28" s="8">
        <v>40969.0</v>
      </c>
      <c r="B28" s="9">
        <f>IFERROR(__xludf.DUMMYFUNCTION("""COMPUTED_VALUE"""),679.0)</f>
        <v>679</v>
      </c>
      <c r="C28" s="12" t="s">
        <v>6</v>
      </c>
      <c r="D28" s="12">
        <v>822.0</v>
      </c>
      <c r="E28" s="12">
        <v>0.0</v>
      </c>
      <c r="F28" s="12">
        <v>4266.72459652971</v>
      </c>
      <c r="G28" s="13">
        <v>2024.48388239049</v>
      </c>
      <c r="H28" s="12">
        <v>1493.91027476597</v>
      </c>
      <c r="I28" s="12">
        <v>2437.0</v>
      </c>
      <c r="J28" s="12">
        <v>3048.34667489982</v>
      </c>
      <c r="K28" s="12">
        <v>3018.8329024998</v>
      </c>
      <c r="L28" s="12">
        <v>3262.75733026737</v>
      </c>
      <c r="M28" s="12">
        <v>1294.49615684536</v>
      </c>
      <c r="N28" s="12">
        <v>1913.15218542815</v>
      </c>
      <c r="O28" s="12">
        <v>845.576518000827</v>
      </c>
      <c r="P28" s="12">
        <v>2853.2686870784</v>
      </c>
      <c r="Q28" s="7">
        <v>3263.84640592153</v>
      </c>
      <c r="R28" s="7">
        <v>193.5</v>
      </c>
      <c r="S28" s="7">
        <v>3219.495</v>
      </c>
      <c r="T28" s="7">
        <v>2556.10978993903</v>
      </c>
      <c r="U28" s="7">
        <v>165.5</v>
      </c>
      <c r="V28" s="7">
        <v>165.5</v>
      </c>
      <c r="W28" s="7">
        <v>1179.93819486065</v>
      </c>
      <c r="X28" s="7">
        <v>0.0</v>
      </c>
      <c r="Y28" s="7">
        <v>1040.05101048429</v>
      </c>
      <c r="Z28" s="7">
        <v>1879.54897287272</v>
      </c>
    </row>
    <row r="29">
      <c r="A29" s="8">
        <v>41000.0</v>
      </c>
      <c r="B29" s="9">
        <f>IFERROR(__xludf.DUMMYFUNCTION("""COMPUTED_VALUE"""),449.0)</f>
        <v>449</v>
      </c>
      <c r="C29" s="12" t="s">
        <v>7</v>
      </c>
      <c r="D29" s="12">
        <v>93.0</v>
      </c>
      <c r="E29" s="12">
        <v>876.48475691369</v>
      </c>
      <c r="F29" s="12">
        <v>2644.9979296527</v>
      </c>
      <c r="G29" s="13">
        <v>1726.62850650761</v>
      </c>
      <c r="H29" s="12">
        <v>1146.92521612316</v>
      </c>
      <c r="I29" s="12">
        <v>557.0</v>
      </c>
      <c r="J29" s="12">
        <v>2913.99900687603</v>
      </c>
      <c r="K29" s="12">
        <v>2421.49973126625</v>
      </c>
      <c r="L29" s="12">
        <v>606.07155590928</v>
      </c>
      <c r="M29" s="12">
        <v>2346.17998586716</v>
      </c>
      <c r="N29" s="12">
        <v>2657.66700701379</v>
      </c>
      <c r="O29" s="12">
        <v>616.330540279725</v>
      </c>
      <c r="P29" s="12">
        <v>268.318007537882</v>
      </c>
      <c r="Q29" s="7">
        <v>2797.18939792622</v>
      </c>
      <c r="R29" s="7">
        <v>241.0</v>
      </c>
      <c r="S29" s="7">
        <v>2435.44411764706</v>
      </c>
      <c r="T29" s="7">
        <v>1854.00478993903</v>
      </c>
      <c r="U29" s="7">
        <v>1640.63937815737</v>
      </c>
      <c r="V29" s="7">
        <v>196.0</v>
      </c>
      <c r="W29" s="7">
        <v>2292.29066712107</v>
      </c>
      <c r="X29" s="7">
        <v>0.0</v>
      </c>
      <c r="Y29" s="7">
        <v>1330.05101048429</v>
      </c>
      <c r="Z29" s="7">
        <v>1124.79769195972</v>
      </c>
    </row>
    <row r="30">
      <c r="A30" s="8">
        <v>41030.0</v>
      </c>
      <c r="B30" s="9">
        <f>IFERROR(__xludf.DUMMYFUNCTION("""COMPUTED_VALUE"""),390.0)</f>
        <v>390</v>
      </c>
      <c r="C30" s="12" t="s">
        <v>8</v>
      </c>
      <c r="D30" s="12">
        <v>1400.34745433196</v>
      </c>
      <c r="E30" s="12">
        <v>2156.42882266206</v>
      </c>
      <c r="F30" s="12">
        <v>1950.82923563648</v>
      </c>
      <c r="G30" s="13">
        <v>535.889984062556</v>
      </c>
      <c r="H30" s="12">
        <v>840.377358867872</v>
      </c>
      <c r="I30" s="12">
        <v>1837.0</v>
      </c>
      <c r="J30" s="12">
        <v>1150.68735937534</v>
      </c>
      <c r="K30" s="12">
        <v>1933.4594510066</v>
      </c>
      <c r="L30" s="12">
        <v>126.562067190451</v>
      </c>
      <c r="M30" s="12">
        <v>1316.04046151709</v>
      </c>
      <c r="N30" s="12">
        <v>899.558673299316</v>
      </c>
      <c r="O30" s="12">
        <v>1939.8818916733</v>
      </c>
      <c r="P30" s="12">
        <v>1483.94050317006</v>
      </c>
      <c r="Q30" s="7">
        <v>1301.97847440356</v>
      </c>
      <c r="R30" s="7">
        <v>211.0</v>
      </c>
      <c r="S30" s="7">
        <v>1756.08058823529</v>
      </c>
      <c r="T30" s="7">
        <v>1116.85978993903</v>
      </c>
      <c r="U30" s="7">
        <v>885.695934853378</v>
      </c>
      <c r="V30" s="7">
        <v>169.0</v>
      </c>
      <c r="W30" s="7">
        <v>1302.84918697337</v>
      </c>
      <c r="X30" s="7">
        <v>0.0</v>
      </c>
      <c r="Y30" s="7">
        <v>4594.51289967238</v>
      </c>
      <c r="Z30" s="7">
        <v>2115.57652518674</v>
      </c>
    </row>
    <row r="31">
      <c r="A31" s="8">
        <v>41061.0</v>
      </c>
      <c r="B31" s="9">
        <f>IFERROR(__xludf.DUMMYFUNCTION("""COMPUTED_VALUE"""),288.0)</f>
        <v>288</v>
      </c>
      <c r="C31" s="12" t="s">
        <v>9</v>
      </c>
      <c r="D31" s="12">
        <v>1245.19072157424</v>
      </c>
      <c r="E31" s="12">
        <v>1878.96001803816</v>
      </c>
      <c r="F31" s="12">
        <v>1462.87167075815</v>
      </c>
      <c r="G31" s="13">
        <v>0.0</v>
      </c>
      <c r="H31" s="12">
        <v>985.491312712635</v>
      </c>
      <c r="I31" s="12">
        <v>625.190857281045</v>
      </c>
      <c r="J31" s="12">
        <v>1376.61632795835</v>
      </c>
      <c r="K31" s="12">
        <v>402.989384825925</v>
      </c>
      <c r="L31" s="12">
        <v>328.691310812818</v>
      </c>
      <c r="M31" s="12">
        <v>962.668045184336</v>
      </c>
      <c r="N31" s="12">
        <v>374.971241186809</v>
      </c>
      <c r="O31" s="12">
        <v>1977.8947065048</v>
      </c>
      <c r="P31" s="12">
        <v>1000.26894342097</v>
      </c>
      <c r="Q31" s="7">
        <v>562.342441911675</v>
      </c>
      <c r="R31" s="7">
        <v>1076.11427948846</v>
      </c>
      <c r="S31" s="7">
        <v>2227.55882352941</v>
      </c>
      <c r="T31" s="7">
        <v>1611.00478993903</v>
      </c>
      <c r="U31" s="7">
        <v>211.0</v>
      </c>
      <c r="V31" s="7">
        <v>1891.87099977436</v>
      </c>
      <c r="W31" s="7">
        <v>964.831482885998</v>
      </c>
      <c r="X31" s="7">
        <v>0.0</v>
      </c>
      <c r="Y31" s="7">
        <v>1041.05101048429</v>
      </c>
      <c r="Z31" s="7">
        <v>805.351988086165</v>
      </c>
    </row>
    <row r="32">
      <c r="A32" s="8">
        <v>41091.0</v>
      </c>
      <c r="B32" s="9">
        <f>IFERROR(__xludf.DUMMYFUNCTION("""COMPUTED_VALUE"""),175.0)</f>
        <v>175</v>
      </c>
      <c r="C32" s="12" t="s">
        <v>10</v>
      </c>
      <c r="D32" s="12">
        <v>861.988691455398</v>
      </c>
      <c r="E32" s="12">
        <v>1566.88934103863</v>
      </c>
      <c r="F32" s="12">
        <v>1043.82071041636</v>
      </c>
      <c r="G32" s="13">
        <v>0.0</v>
      </c>
      <c r="H32" s="12">
        <v>762.518958419063</v>
      </c>
      <c r="I32" s="12">
        <v>514.0</v>
      </c>
      <c r="J32" s="12">
        <v>687.749858911676</v>
      </c>
      <c r="K32" s="12">
        <v>641.67465280553</v>
      </c>
      <c r="L32" s="12">
        <v>101.259283601742</v>
      </c>
      <c r="M32" s="12">
        <v>106.14773505737</v>
      </c>
      <c r="N32" s="12">
        <v>374.355856571424</v>
      </c>
      <c r="O32" s="12">
        <v>1132.92598503904</v>
      </c>
      <c r="P32" s="12">
        <v>760.262473672086</v>
      </c>
      <c r="Q32" s="7">
        <v>446.315394066911</v>
      </c>
      <c r="R32" s="7">
        <v>953.068745702673</v>
      </c>
      <c r="S32" s="7">
        <v>1682.52147058824</v>
      </c>
      <c r="T32" s="7">
        <v>1163.47978993903</v>
      </c>
      <c r="U32" s="7">
        <v>196.0</v>
      </c>
      <c r="V32" s="7">
        <v>196.0</v>
      </c>
      <c r="W32" s="7">
        <v>118.721564493928</v>
      </c>
      <c r="X32" s="7">
        <v>1260.74048354471</v>
      </c>
      <c r="Y32" s="7">
        <v>939.051010484291</v>
      </c>
      <c r="Z32" s="7">
        <v>1482.23592647746</v>
      </c>
    </row>
    <row r="33">
      <c r="A33" s="8">
        <v>41122.0</v>
      </c>
      <c r="B33" s="9">
        <f>IFERROR(__xludf.DUMMYFUNCTION("""COMPUTED_VALUE"""),208.0)</f>
        <v>208</v>
      </c>
      <c r="C33" s="12" t="s">
        <v>11</v>
      </c>
      <c r="D33" s="12">
        <v>859.295003924588</v>
      </c>
      <c r="E33" s="12">
        <v>834.311642006514</v>
      </c>
      <c r="F33" s="12">
        <v>839.707152823622</v>
      </c>
      <c r="G33" s="13">
        <v>0.0</v>
      </c>
      <c r="H33" s="12">
        <v>565.0</v>
      </c>
      <c r="I33" s="12">
        <v>1063.0</v>
      </c>
      <c r="J33" s="12">
        <v>842.724831335185</v>
      </c>
      <c r="K33" s="12">
        <v>263.592199926838</v>
      </c>
      <c r="L33" s="12">
        <v>510.113236997444</v>
      </c>
      <c r="M33" s="12">
        <v>-440.069661853875</v>
      </c>
      <c r="N33" s="12">
        <v>404.50970272527</v>
      </c>
      <c r="O33" s="12">
        <v>454.838198825088</v>
      </c>
      <c r="P33" s="12">
        <v>533.322714630535</v>
      </c>
      <c r="Q33" s="7">
        <v>425.283071494755</v>
      </c>
      <c r="R33" s="7">
        <v>1025.0371032489</v>
      </c>
      <c r="S33" s="7">
        <v>1708.82</v>
      </c>
      <c r="T33" s="7">
        <v>1163.47978993903</v>
      </c>
      <c r="U33" s="7">
        <v>169.0</v>
      </c>
      <c r="V33" s="7">
        <v>169.0</v>
      </c>
      <c r="W33" s="7">
        <v>-459.970104025255</v>
      </c>
      <c r="X33" s="7">
        <v>1410.51562557794</v>
      </c>
      <c r="Y33" s="7">
        <v>826.051010484291</v>
      </c>
      <c r="Z33" s="7">
        <v>1037.71736961939</v>
      </c>
    </row>
    <row r="34">
      <c r="A34" s="8">
        <v>41153.0</v>
      </c>
      <c r="B34" s="9">
        <f>IFERROR(__xludf.DUMMYFUNCTION("""COMPUTED_VALUE"""),313.0)</f>
        <v>313</v>
      </c>
      <c r="C34" s="12" t="s">
        <v>12</v>
      </c>
      <c r="D34" s="12">
        <v>688.913402008345</v>
      </c>
      <c r="E34" s="12">
        <v>1129.3463100519</v>
      </c>
      <c r="F34" s="12">
        <v>877.400268407924</v>
      </c>
      <c r="G34" s="13">
        <v>675.432313211995</v>
      </c>
      <c r="H34" s="12">
        <v>677.507968485425</v>
      </c>
      <c r="I34" s="12">
        <v>597.0</v>
      </c>
      <c r="J34" s="12">
        <v>685.615422841303</v>
      </c>
      <c r="K34" s="12">
        <v>1247.96445447858</v>
      </c>
      <c r="L34" s="12">
        <v>685.617668850679</v>
      </c>
      <c r="M34" s="12">
        <v>-240.477814244571</v>
      </c>
      <c r="N34" s="12">
        <v>1319.48096003763</v>
      </c>
      <c r="O34" s="12">
        <v>439.506418542938</v>
      </c>
      <c r="P34" s="12">
        <v>696.211945652188</v>
      </c>
      <c r="Q34" s="7">
        <v>433.926491729887</v>
      </c>
      <c r="R34" s="7">
        <v>937.687707916337</v>
      </c>
      <c r="S34" s="7">
        <v>1936.24941176471</v>
      </c>
      <c r="T34" s="7">
        <v>1629.16478993903</v>
      </c>
      <c r="U34" s="7">
        <v>179.5</v>
      </c>
      <c r="V34" s="7">
        <v>179.5</v>
      </c>
      <c r="W34" s="7">
        <v>-291.570078099044</v>
      </c>
      <c r="X34" s="7">
        <v>1917.23347814647</v>
      </c>
      <c r="Y34" s="7">
        <v>859.051010484291</v>
      </c>
      <c r="Z34" s="7">
        <v>1167.5325233921</v>
      </c>
    </row>
    <row r="35">
      <c r="A35" s="8">
        <v>41183.0</v>
      </c>
      <c r="B35" s="9">
        <f>IFERROR(__xludf.DUMMYFUNCTION("""COMPUTED_VALUE"""),135.0)</f>
        <v>135</v>
      </c>
      <c r="C35" s="12" t="s">
        <v>13</v>
      </c>
      <c r="D35" s="12">
        <v>1545.81557485597</v>
      </c>
      <c r="E35" s="12">
        <v>1492.22596541737</v>
      </c>
      <c r="F35" s="12">
        <v>865.934559724994</v>
      </c>
      <c r="G35" s="13">
        <v>1022.99783254362</v>
      </c>
      <c r="H35" s="12">
        <v>1037.6990624417</v>
      </c>
      <c r="I35" s="12">
        <v>378.0</v>
      </c>
      <c r="J35" s="12">
        <v>1023.87111935526</v>
      </c>
      <c r="K35" s="12">
        <v>1734.50439921903</v>
      </c>
      <c r="L35" s="12">
        <v>975.305781850514</v>
      </c>
      <c r="M35" s="12">
        <v>1036.45178638858</v>
      </c>
      <c r="N35" s="12">
        <v>307.817395032963</v>
      </c>
      <c r="O35" s="12">
        <v>562.348544202484</v>
      </c>
      <c r="P35" s="12">
        <v>1090.87953609269</v>
      </c>
      <c r="Q35" s="7">
        <v>623.439397761819</v>
      </c>
      <c r="R35" s="7">
        <v>1233.97317017076</v>
      </c>
      <c r="S35" s="7">
        <v>2103.36617647059</v>
      </c>
      <c r="T35" s="7">
        <v>1825.09478993903</v>
      </c>
      <c r="U35" s="7">
        <v>339.992301132915</v>
      </c>
      <c r="V35" s="7">
        <v>196.0</v>
      </c>
      <c r="W35" s="7">
        <v>903.883595525565</v>
      </c>
      <c r="X35" s="7">
        <v>1289.92656714237</v>
      </c>
      <c r="Y35" s="7">
        <v>964.051010484291</v>
      </c>
      <c r="Z35" s="7">
        <v>1580.58073994163</v>
      </c>
    </row>
    <row r="36">
      <c r="A36" s="8">
        <v>41214.0</v>
      </c>
      <c r="B36" s="9">
        <f>IFERROR(__xludf.DUMMYFUNCTION("""COMPUTED_VALUE"""),186.0)</f>
        <v>186</v>
      </c>
      <c r="C36" s="12" t="s">
        <v>14</v>
      </c>
      <c r="D36" s="12">
        <v>-159.0</v>
      </c>
      <c r="E36" s="12">
        <v>0.0</v>
      </c>
      <c r="F36" s="12">
        <v>811.626500149359</v>
      </c>
      <c r="G36" s="13">
        <v>0.0</v>
      </c>
      <c r="H36" s="12">
        <v>565.0</v>
      </c>
      <c r="I36" s="12">
        <v>441.157969896869</v>
      </c>
      <c r="J36" s="12">
        <v>534.795427180965</v>
      </c>
      <c r="K36" s="12">
        <v>455.821921765639</v>
      </c>
      <c r="L36" s="12">
        <v>333.638040640691</v>
      </c>
      <c r="M36" s="12">
        <v>920.482476518742</v>
      </c>
      <c r="N36" s="12">
        <v>281.894318109886</v>
      </c>
      <c r="O36" s="12">
        <v>183.544429618142</v>
      </c>
      <c r="P36" s="12">
        <v>119.493901072124</v>
      </c>
      <c r="Q36" s="7">
        <v>550.055833109355</v>
      </c>
      <c r="R36" s="7">
        <v>213.0</v>
      </c>
      <c r="S36" s="7">
        <v>1661.62970588235</v>
      </c>
      <c r="T36" s="7">
        <v>1379.81478993903</v>
      </c>
      <c r="U36" s="7">
        <v>211.0</v>
      </c>
      <c r="V36" s="7">
        <v>211.0</v>
      </c>
      <c r="W36" s="7">
        <v>482.9818591992</v>
      </c>
      <c r="X36" s="7">
        <v>1430.11958645244</v>
      </c>
      <c r="Y36" s="7">
        <v>786.051010484291</v>
      </c>
      <c r="Z36" s="7">
        <v>626.234218414206</v>
      </c>
    </row>
    <row r="37">
      <c r="A37" s="8">
        <v>41244.0</v>
      </c>
      <c r="B37" s="9">
        <f>IFERROR(__xludf.DUMMYFUNCTION("""COMPUTED_VALUE"""),120.0)</f>
        <v>120</v>
      </c>
      <c r="C37" s="12" t="s">
        <v>15</v>
      </c>
      <c r="D37" s="12">
        <v>301.0</v>
      </c>
      <c r="E37" s="12">
        <v>21.0</v>
      </c>
      <c r="F37" s="12">
        <v>882.592808706244</v>
      </c>
      <c r="G37" s="13">
        <v>68.4303962936963</v>
      </c>
      <c r="H37" s="12">
        <v>699.120963948659</v>
      </c>
      <c r="I37" s="12">
        <v>214.0</v>
      </c>
      <c r="J37" s="12">
        <v>494.229439694366</v>
      </c>
      <c r="K37" s="12">
        <v>902.819215075415</v>
      </c>
      <c r="L37" s="12">
        <v>472.079825191961</v>
      </c>
      <c r="M37" s="12">
        <v>858.647676608647</v>
      </c>
      <c r="N37" s="12">
        <v>664.107124318364</v>
      </c>
      <c r="O37" s="12">
        <v>389.61331583629</v>
      </c>
      <c r="P37" s="12">
        <v>56.8840236156811</v>
      </c>
      <c r="Q37" s="7">
        <v>424.418729471241</v>
      </c>
      <c r="R37" s="7">
        <v>251.0</v>
      </c>
      <c r="S37" s="7">
        <v>1398.71117647059</v>
      </c>
      <c r="T37" s="7">
        <v>1155.33478993903</v>
      </c>
      <c r="U37" s="7">
        <v>226.0</v>
      </c>
      <c r="V37" s="7">
        <v>226.0</v>
      </c>
      <c r="W37" s="7">
        <v>645.706547195075</v>
      </c>
      <c r="X37" s="7">
        <v>1097.11906162601</v>
      </c>
      <c r="Y37" s="7">
        <v>837.051010484291</v>
      </c>
      <c r="Z37" s="7">
        <v>1080.98908754363</v>
      </c>
    </row>
    <row r="38">
      <c r="A38" s="8">
        <v>41275.0</v>
      </c>
      <c r="B38" s="9">
        <f>IFERROR(__xludf.DUMMYFUNCTION("""COMPUTED_VALUE"""),108.0)</f>
        <v>108</v>
      </c>
      <c r="C38" s="12" t="s">
        <v>16</v>
      </c>
      <c r="D38" s="12">
        <v>60.3736258427247</v>
      </c>
      <c r="E38" s="12">
        <v>75.7534748310708</v>
      </c>
      <c r="F38" s="12">
        <v>972.817399311313</v>
      </c>
      <c r="G38" s="13">
        <v>397.3980425033</v>
      </c>
      <c r="H38" s="12">
        <v>566.0</v>
      </c>
      <c r="I38" s="12">
        <v>170.0</v>
      </c>
      <c r="J38" s="12">
        <v>227.046442012058</v>
      </c>
      <c r="K38" s="12">
        <v>226.0</v>
      </c>
      <c r="L38" s="12">
        <v>516.83734360557</v>
      </c>
      <c r="M38" s="12">
        <v>350.075109707367</v>
      </c>
      <c r="N38" s="12">
        <v>273.702010417578</v>
      </c>
      <c r="O38" s="12">
        <v>470.268322282068</v>
      </c>
      <c r="P38" s="12">
        <v>3.08608364896549</v>
      </c>
      <c r="Q38" s="7">
        <v>424.994957486917</v>
      </c>
      <c r="R38" s="7">
        <v>227.0</v>
      </c>
      <c r="S38" s="7">
        <v>1362.01912273822</v>
      </c>
      <c r="T38" s="7">
        <v>827.814789939032</v>
      </c>
      <c r="U38" s="7">
        <v>226.0</v>
      </c>
      <c r="V38" s="7">
        <v>226.0</v>
      </c>
      <c r="W38" s="7">
        <v>285.996962521086</v>
      </c>
      <c r="X38" s="7">
        <v>1793.25196662794</v>
      </c>
      <c r="Y38" s="7">
        <v>771.051010484291</v>
      </c>
      <c r="Z38" s="7">
        <v>821.35877999821</v>
      </c>
    </row>
    <row r="39">
      <c r="A39" s="8">
        <v>41306.0</v>
      </c>
      <c r="B39" s="9">
        <f>IFERROR(__xludf.DUMMYFUNCTION("""COMPUTED_VALUE"""),244.0)</f>
        <v>244</v>
      </c>
      <c r="C39" s="12" t="s">
        <v>17</v>
      </c>
      <c r="D39" s="12">
        <v>546.431160281351</v>
      </c>
      <c r="E39" s="12">
        <v>147.786027892722</v>
      </c>
      <c r="F39" s="12">
        <v>858.554042644477</v>
      </c>
      <c r="G39" s="13">
        <v>567.411965422176</v>
      </c>
      <c r="H39" s="12">
        <v>567.0</v>
      </c>
      <c r="I39" s="12">
        <v>135.0</v>
      </c>
      <c r="J39" s="12">
        <v>807.157711094307</v>
      </c>
      <c r="K39" s="12">
        <v>226.0</v>
      </c>
      <c r="L39" s="12">
        <v>554.459805315306</v>
      </c>
      <c r="M39" s="12">
        <v>15.9828358572486</v>
      </c>
      <c r="N39" s="12">
        <v>322.202010417578</v>
      </c>
      <c r="O39" s="12">
        <v>552.516882401802</v>
      </c>
      <c r="P39" s="12">
        <v>66.3822296398719</v>
      </c>
      <c r="Q39" s="7">
        <v>432.485921690699</v>
      </c>
      <c r="R39" s="7">
        <v>203.5</v>
      </c>
      <c r="S39" s="7">
        <v>683.055270120245</v>
      </c>
      <c r="T39" s="7">
        <v>367.564789939032</v>
      </c>
      <c r="U39" s="7">
        <v>194.5</v>
      </c>
      <c r="V39" s="7">
        <v>194.5</v>
      </c>
      <c r="W39" s="7">
        <v>-17.0046922911214</v>
      </c>
      <c r="X39" s="7">
        <v>2043.11339445174</v>
      </c>
      <c r="Y39" s="7">
        <v>759.051010484291</v>
      </c>
      <c r="Z39" s="7">
        <v>774.153269535407</v>
      </c>
    </row>
    <row r="40">
      <c r="A40" s="8">
        <v>41334.0</v>
      </c>
      <c r="B40" s="9">
        <f>IFERROR(__xludf.DUMMYFUNCTION("""COMPUTED_VALUE"""),231.0)</f>
        <v>231</v>
      </c>
      <c r="C40" s="12" t="s">
        <v>18</v>
      </c>
      <c r="D40" s="12">
        <v>162.0</v>
      </c>
      <c r="E40" s="12">
        <v>231.289647324266</v>
      </c>
      <c r="F40" s="12">
        <v>674.973574576999</v>
      </c>
      <c r="G40" s="13">
        <v>181.346153721576</v>
      </c>
      <c r="H40" s="12">
        <v>603.777588793102</v>
      </c>
      <c r="I40" s="12">
        <v>172.895746599852</v>
      </c>
      <c r="J40" s="12">
        <v>979.744490887756</v>
      </c>
      <c r="K40" s="12">
        <v>163.0</v>
      </c>
      <c r="L40" s="12">
        <v>983.35325203437</v>
      </c>
      <c r="M40" s="12">
        <v>500.453974317667</v>
      </c>
      <c r="N40" s="12">
        <v>273.535343750911</v>
      </c>
      <c r="O40" s="12">
        <v>892.884590004666</v>
      </c>
      <c r="P40" s="12">
        <v>1119.65255447595</v>
      </c>
      <c r="Q40" s="7">
        <v>437.960087839616</v>
      </c>
      <c r="R40" s="7">
        <v>2219.2</v>
      </c>
      <c r="S40" s="7">
        <v>529.189594619275</v>
      </c>
      <c r="T40" s="7">
        <v>402.918908612712</v>
      </c>
      <c r="U40" s="7">
        <v>318.743086086103</v>
      </c>
      <c r="V40" s="7">
        <v>593.219053884674</v>
      </c>
      <c r="W40" s="7">
        <v>461.039977494926</v>
      </c>
      <c r="X40" s="7">
        <v>1947.83326032522</v>
      </c>
      <c r="Y40" s="7">
        <v>895.051010484291</v>
      </c>
      <c r="Z40" s="7">
        <v>1351.36152279238</v>
      </c>
    </row>
    <row r="41">
      <c r="A41" s="8">
        <v>41365.0</v>
      </c>
      <c r="B41" s="9">
        <f>IFERROR(__xludf.DUMMYFUNCTION("""COMPUTED_VALUE"""),136.0)</f>
        <v>136</v>
      </c>
      <c r="C41" s="12" t="s">
        <v>19</v>
      </c>
      <c r="D41" s="12">
        <v>866.275939665002</v>
      </c>
      <c r="E41" s="12">
        <v>1187.2913674486</v>
      </c>
      <c r="F41" s="12">
        <v>479.807715284189</v>
      </c>
      <c r="G41" s="13">
        <v>77.3743589212058</v>
      </c>
      <c r="H41" s="12">
        <v>721.120963948659</v>
      </c>
      <c r="I41" s="12">
        <v>114.0</v>
      </c>
      <c r="J41" s="12">
        <v>916.895619668281</v>
      </c>
      <c r="K41" s="12">
        <v>152.5</v>
      </c>
      <c r="L41" s="12">
        <v>727.495461304902</v>
      </c>
      <c r="M41" s="12">
        <v>93.2160141725667</v>
      </c>
      <c r="N41" s="12">
        <v>317.111101326669</v>
      </c>
      <c r="O41" s="12">
        <v>915.004586813885</v>
      </c>
      <c r="P41" s="12">
        <v>859.008591904138</v>
      </c>
      <c r="Q41" s="7">
        <v>432.478004059486</v>
      </c>
      <c r="R41" s="7">
        <v>947.350548236676</v>
      </c>
      <c r="S41" s="7">
        <v>498.425948853277</v>
      </c>
      <c r="T41" s="7">
        <v>243.454789939032</v>
      </c>
      <c r="U41" s="7">
        <v>421.717905756298</v>
      </c>
      <c r="V41" s="7">
        <v>202.824886590286</v>
      </c>
      <c r="W41" s="7">
        <v>-60.8490616255067</v>
      </c>
      <c r="X41" s="7">
        <v>1531.60884276083</v>
      </c>
      <c r="Y41" s="7">
        <v>882.051010484291</v>
      </c>
      <c r="Z41" s="7">
        <v>1258.00975177914</v>
      </c>
    </row>
    <row r="42">
      <c r="A42" s="8">
        <v>41395.0</v>
      </c>
      <c r="B42" s="9">
        <f>IFERROR(__xludf.DUMMYFUNCTION("""COMPUTED_VALUE"""),216.0)</f>
        <v>216</v>
      </c>
      <c r="C42" s="12" t="s">
        <v>20</v>
      </c>
      <c r="D42" s="12">
        <v>706.452919484332</v>
      </c>
      <c r="E42" s="12">
        <v>744.232198002046</v>
      </c>
      <c r="F42" s="12">
        <v>177.531645255885</v>
      </c>
      <c r="G42" s="13">
        <v>4.02991452714614</v>
      </c>
      <c r="H42" s="12">
        <v>565.0</v>
      </c>
      <c r="I42" s="12">
        <v>182.681358707493</v>
      </c>
      <c r="J42" s="12">
        <v>465.503214975804</v>
      </c>
      <c r="K42" s="12">
        <v>142.0</v>
      </c>
      <c r="L42" s="12">
        <v>49.8057424878754</v>
      </c>
      <c r="M42" s="12">
        <v>526.744547795658</v>
      </c>
      <c r="N42" s="12">
        <v>540.048164263732</v>
      </c>
      <c r="O42" s="12">
        <v>565.02480935012</v>
      </c>
      <c r="P42" s="12">
        <v>774.73133870047</v>
      </c>
      <c r="Q42" s="7">
        <v>445.451052043398</v>
      </c>
      <c r="R42" s="7">
        <v>344.0</v>
      </c>
      <c r="S42" s="7">
        <v>374.980564237892</v>
      </c>
      <c r="T42" s="7">
        <v>108.454789939032</v>
      </c>
      <c r="U42" s="7">
        <v>148.0</v>
      </c>
      <c r="V42" s="7">
        <v>148.0</v>
      </c>
      <c r="W42" s="7">
        <v>8.54928672059655</v>
      </c>
      <c r="X42" s="7">
        <v>1498.34895405945</v>
      </c>
      <c r="Y42" s="7">
        <v>787.051010484291</v>
      </c>
      <c r="Z42" s="7">
        <v>890.003848184453</v>
      </c>
    </row>
    <row r="43">
      <c r="A43" s="8">
        <v>41426.0</v>
      </c>
      <c r="B43" s="9">
        <f>IFERROR(__xludf.DUMMYFUNCTION("""COMPUTED_VALUE"""),111.0)</f>
        <v>111</v>
      </c>
      <c r="C43" s="12" t="s">
        <v>21</v>
      </c>
      <c r="D43" s="12">
        <v>685.209247022974</v>
      </c>
      <c r="E43" s="12">
        <v>1108.06790829068</v>
      </c>
      <c r="F43" s="12">
        <v>576.73478372494</v>
      </c>
      <c r="G43" s="13">
        <v>447.613115736617</v>
      </c>
      <c r="H43" s="12">
        <v>565.0</v>
      </c>
      <c r="I43" s="12">
        <v>731.550799406643</v>
      </c>
      <c r="J43" s="12">
        <v>562.243101730137</v>
      </c>
      <c r="K43" s="12">
        <v>1109.58416034032</v>
      </c>
      <c r="L43" s="12">
        <v>31.9258990415956</v>
      </c>
      <c r="M43" s="12">
        <v>431.664853355287</v>
      </c>
      <c r="N43" s="12">
        <v>600.74047195604</v>
      </c>
      <c r="O43" s="12">
        <v>923.073889575739</v>
      </c>
      <c r="P43" s="12">
        <v>674.108925632977</v>
      </c>
      <c r="Q43" s="7">
        <v>818.126728770743</v>
      </c>
      <c r="R43" s="7">
        <v>1048.98705939186</v>
      </c>
      <c r="S43" s="7">
        <v>642.213880333561</v>
      </c>
      <c r="T43" s="7">
        <v>809.437277971633</v>
      </c>
      <c r="U43" s="7">
        <v>260.454031611577</v>
      </c>
      <c r="V43" s="7">
        <v>452.317746293688</v>
      </c>
      <c r="W43" s="7">
        <v>-246.869414512075</v>
      </c>
      <c r="X43" s="7">
        <v>1282.6364905929</v>
      </c>
      <c r="Y43" s="7">
        <v>867.051010484291</v>
      </c>
      <c r="Z43" s="7">
        <v>1199.00286370064</v>
      </c>
    </row>
    <row r="44">
      <c r="A44" s="8">
        <v>41456.0</v>
      </c>
      <c r="B44" s="9">
        <f>IFERROR(__xludf.DUMMYFUNCTION("""COMPUTED_VALUE"""),62.0)</f>
        <v>62</v>
      </c>
      <c r="C44" s="12" t="s">
        <v>22</v>
      </c>
      <c r="D44" s="12">
        <v>244.39546974721</v>
      </c>
      <c r="E44" s="12">
        <v>234.0</v>
      </c>
      <c r="F44" s="12">
        <v>476.122529300005</v>
      </c>
      <c r="G44" s="13">
        <v>-1400.24654337392</v>
      </c>
      <c r="H44" s="12">
        <v>598.0</v>
      </c>
      <c r="I44" s="12">
        <v>416.214382427305</v>
      </c>
      <c r="J44" s="12">
        <v>457.069206106026</v>
      </c>
      <c r="K44" s="12">
        <v>133.0</v>
      </c>
      <c r="L44" s="12">
        <v>362.294129570132</v>
      </c>
      <c r="M44" s="12">
        <v>3.58024152318194</v>
      </c>
      <c r="N44" s="12">
        <v>552.817395032963</v>
      </c>
      <c r="O44" s="12">
        <v>329.624312157495</v>
      </c>
      <c r="P44" s="12">
        <v>3.3318885588831</v>
      </c>
      <c r="Q44" s="7">
        <v>419.232677330162</v>
      </c>
      <c r="R44" s="7">
        <v>22282.5538461538</v>
      </c>
      <c r="S44" s="7">
        <v>385.638980527485</v>
      </c>
      <c r="T44" s="7">
        <v>469.123155093896</v>
      </c>
      <c r="U44" s="7">
        <v>148.0</v>
      </c>
      <c r="V44" s="7">
        <v>148.0</v>
      </c>
      <c r="W44" s="7">
        <v>-874.151566498286</v>
      </c>
      <c r="X44" s="7">
        <v>4079.90574391145</v>
      </c>
      <c r="Y44" s="7">
        <v>762.051010484291</v>
      </c>
      <c r="Z44" s="7">
        <v>785.954647151108</v>
      </c>
    </row>
    <row r="45">
      <c r="A45" s="8">
        <v>41487.0</v>
      </c>
      <c r="B45" s="9">
        <f>IFERROR(__xludf.DUMMYFUNCTION("""COMPUTED_VALUE"""),100.0)</f>
        <v>100</v>
      </c>
      <c r="C45" s="12" t="s">
        <v>23</v>
      </c>
      <c r="D45" s="12">
        <v>352.439429673307</v>
      </c>
      <c r="E45" s="12">
        <v>505.278138703355</v>
      </c>
      <c r="F45" s="12">
        <v>567.43850453827</v>
      </c>
      <c r="G45" s="13">
        <v>109.759993418986</v>
      </c>
      <c r="H45" s="12">
        <v>577.0</v>
      </c>
      <c r="I45" s="12">
        <v>384.123434022854</v>
      </c>
      <c r="J45" s="12">
        <v>268.043947037161</v>
      </c>
      <c r="K45" s="12">
        <v>220.845782297027</v>
      </c>
      <c r="L45" s="12">
        <v>430.085214066474</v>
      </c>
      <c r="M45" s="12">
        <v>-132.812091422022</v>
      </c>
      <c r="N45" s="12">
        <v>543.432779648347</v>
      </c>
      <c r="O45" s="12">
        <v>1722.07993586071</v>
      </c>
      <c r="P45" s="12">
        <v>212.950542226824</v>
      </c>
      <c r="Q45" s="7">
        <v>424.994957486917</v>
      </c>
      <c r="R45" s="7">
        <v>498.184235594083</v>
      </c>
      <c r="S45" s="7">
        <v>460.880396170665</v>
      </c>
      <c r="T45" s="7">
        <v>298.492749007786</v>
      </c>
      <c r="U45" s="7">
        <v>163.0</v>
      </c>
      <c r="V45" s="7">
        <v>163.0</v>
      </c>
      <c r="W45" s="7">
        <v>95.7520112706814</v>
      </c>
      <c r="X45" s="7">
        <v>3227.13807194139</v>
      </c>
      <c r="Y45" s="7">
        <v>713.051010484291</v>
      </c>
      <c r="Z45" s="7">
        <v>657.087953536038</v>
      </c>
    </row>
    <row r="46">
      <c r="A46" s="8">
        <v>41518.0</v>
      </c>
      <c r="B46" s="9">
        <f>IFERROR(__xludf.DUMMYFUNCTION("""COMPUTED_VALUE"""),128.0)</f>
        <v>128</v>
      </c>
      <c r="C46" s="12" t="s">
        <v>24</v>
      </c>
      <c r="D46" s="12">
        <v>508.998564732739</v>
      </c>
      <c r="E46" s="12">
        <v>1093.46361410088</v>
      </c>
      <c r="F46" s="12">
        <v>1344.54023509179</v>
      </c>
      <c r="G46" s="13">
        <v>957.507691649922</v>
      </c>
      <c r="H46" s="12">
        <v>565.0</v>
      </c>
      <c r="I46" s="12">
        <v>982.341738313489</v>
      </c>
      <c r="J46" s="12">
        <v>550.989305482032</v>
      </c>
      <c r="K46" s="12">
        <v>854.242402511656</v>
      </c>
      <c r="L46" s="12">
        <v>813.563301096419</v>
      </c>
      <c r="M46" s="12">
        <v>1581.31558400104</v>
      </c>
      <c r="N46" s="12">
        <v>1055.39125852409</v>
      </c>
      <c r="O46" s="12">
        <v>705.657348836492</v>
      </c>
      <c r="P46" s="12">
        <v>443.14000127857</v>
      </c>
      <c r="Q46" s="7">
        <v>1260.91853675193</v>
      </c>
      <c r="R46" s="7">
        <v>2041.0</v>
      </c>
      <c r="S46" s="7">
        <v>1185.5210040735</v>
      </c>
      <c r="T46" s="7">
        <v>958.39310809717</v>
      </c>
      <c r="U46" s="7">
        <v>2018.0</v>
      </c>
      <c r="V46" s="7">
        <v>2018.0</v>
      </c>
      <c r="W46" s="7">
        <v>1872.66700619485</v>
      </c>
      <c r="X46" s="7">
        <v>3832.1156669434</v>
      </c>
      <c r="Y46" s="7">
        <v>1087.45027978771</v>
      </c>
      <c r="Z46" s="7">
        <v>1369.02468432181</v>
      </c>
    </row>
    <row r="47">
      <c r="A47" s="8">
        <v>41548.0</v>
      </c>
      <c r="B47" s="9">
        <f>IFERROR(__xludf.DUMMYFUNCTION("""COMPUTED_VALUE"""),114.0)</f>
        <v>114</v>
      </c>
      <c r="C47" s="12" t="s">
        <v>25</v>
      </c>
      <c r="D47" s="12">
        <v>650.911712675117</v>
      </c>
      <c r="E47" s="12">
        <v>631.903127814398</v>
      </c>
      <c r="F47" s="12">
        <v>975.683135205462</v>
      </c>
      <c r="G47" s="13">
        <v>121.478580873817</v>
      </c>
      <c r="H47" s="12">
        <v>565.0</v>
      </c>
      <c r="I47" s="12">
        <v>489.425210602877</v>
      </c>
      <c r="J47" s="12">
        <v>606.797033473553</v>
      </c>
      <c r="K47" s="12">
        <v>531.770960741635</v>
      </c>
      <c r="L47" s="12">
        <v>494.290889195232</v>
      </c>
      <c r="M47" s="12">
        <v>790.855742231535</v>
      </c>
      <c r="N47" s="12">
        <v>509.125087340655</v>
      </c>
      <c r="O47" s="12">
        <v>3094.73390541949</v>
      </c>
      <c r="P47" s="12">
        <v>576.069286401107</v>
      </c>
      <c r="Q47" s="7">
        <v>612.863897571401</v>
      </c>
      <c r="R47" s="7">
        <v>1075.87608821688</v>
      </c>
      <c r="S47" s="7">
        <v>504.215961781525</v>
      </c>
      <c r="T47" s="7">
        <v>359.10575476385</v>
      </c>
      <c r="U47" s="7">
        <v>847.259758497299</v>
      </c>
      <c r="V47" s="7">
        <v>169.0</v>
      </c>
      <c r="W47" s="7">
        <v>969.358518265342</v>
      </c>
      <c r="X47" s="7">
        <v>2153.69777356488</v>
      </c>
      <c r="Y47" s="7">
        <v>779.051010484291</v>
      </c>
      <c r="Z47" s="7">
        <v>866.959373833208</v>
      </c>
    </row>
    <row r="48">
      <c r="A48" s="8">
        <v>41579.0</v>
      </c>
      <c r="B48" s="9">
        <f>IFERROR(__xludf.DUMMYFUNCTION("""COMPUTED_VALUE"""),145.0)</f>
        <v>145</v>
      </c>
      <c r="C48" s="12" t="s">
        <v>3</v>
      </c>
      <c r="D48" s="12">
        <v>352.545171548506</v>
      </c>
      <c r="E48" s="12">
        <v>566.220268013847</v>
      </c>
      <c r="F48" s="12">
        <v>757.226090679627</v>
      </c>
      <c r="G48" s="13">
        <v>0.0</v>
      </c>
      <c r="H48" s="12">
        <v>610.0</v>
      </c>
      <c r="I48" s="12">
        <v>381.393270867875</v>
      </c>
      <c r="J48" s="12">
        <v>454.716824874124</v>
      </c>
      <c r="K48" s="12">
        <v>280.34953028898</v>
      </c>
      <c r="L48" s="12">
        <v>208.715439649423</v>
      </c>
      <c r="M48" s="12">
        <v>869.947650096826</v>
      </c>
      <c r="N48" s="12">
        <v>933.649152810429</v>
      </c>
      <c r="O48" s="12">
        <v>841.529202409584</v>
      </c>
      <c r="P48" s="12">
        <v>501.053472510982</v>
      </c>
      <c r="Q48" s="7">
        <v>595.810236176915</v>
      </c>
      <c r="R48" s="7">
        <v>912.391626364766</v>
      </c>
      <c r="S48" s="7">
        <v>560.845761393677</v>
      </c>
      <c r="T48" s="7">
        <v>280.546313450703</v>
      </c>
      <c r="U48" s="7">
        <v>639.796667535383</v>
      </c>
      <c r="V48" s="7">
        <v>490.561475710512</v>
      </c>
      <c r="W48" s="7">
        <v>895.188295242903</v>
      </c>
      <c r="X48" s="7">
        <v>2457.86009808165</v>
      </c>
      <c r="Y48" s="7">
        <v>765.051010484291</v>
      </c>
      <c r="Z48" s="7">
        <v>1100.08856593285</v>
      </c>
    </row>
    <row r="49">
      <c r="A49" s="8">
        <v>41609.0</v>
      </c>
      <c r="B49" s="9">
        <f>IFERROR(__xludf.DUMMYFUNCTION("""COMPUTED_VALUE"""),98.0)</f>
        <v>98</v>
      </c>
      <c r="C49" s="12" t="s">
        <v>4</v>
      </c>
      <c r="D49" s="12">
        <v>376.87278531239</v>
      </c>
      <c r="E49" s="12">
        <v>784.767038249323</v>
      </c>
      <c r="F49" s="12">
        <v>741.097600437046</v>
      </c>
      <c r="G49" s="13">
        <v>363.319184789238</v>
      </c>
      <c r="H49" s="12">
        <v>1593.12663415498</v>
      </c>
      <c r="I49" s="12">
        <v>949.317373639419</v>
      </c>
      <c r="J49" s="12">
        <v>379.607117778987</v>
      </c>
      <c r="K49" s="12">
        <v>983.080794190006</v>
      </c>
      <c r="L49" s="12">
        <v>1001.27252883226</v>
      </c>
      <c r="M49" s="12">
        <v>742.838961712266</v>
      </c>
      <c r="N49" s="12">
        <v>1328.17971372825</v>
      </c>
      <c r="O49" s="12">
        <v>1329.06850829756</v>
      </c>
      <c r="P49" s="12">
        <v>1085.3855481967</v>
      </c>
      <c r="Q49" s="7">
        <v>706.097482473</v>
      </c>
      <c r="R49" s="7">
        <v>1379.97173563783</v>
      </c>
      <c r="S49" s="7">
        <v>633.907157644485</v>
      </c>
      <c r="T49" s="7">
        <v>890.390016627739</v>
      </c>
      <c r="U49" s="7">
        <v>879.509852372467</v>
      </c>
      <c r="V49" s="7">
        <v>169.0</v>
      </c>
      <c r="W49" s="7">
        <v>1222.43493739857</v>
      </c>
      <c r="X49" s="7">
        <v>2918.55758090068</v>
      </c>
      <c r="Y49" s="7">
        <v>796.051010484291</v>
      </c>
      <c r="Z49" s="7">
        <v>1290.48878545848</v>
      </c>
    </row>
    <row r="50">
      <c r="A50" s="8">
        <v>41640.0</v>
      </c>
      <c r="B50" s="9">
        <f>IFERROR(__xludf.DUMMYFUNCTION("""COMPUTED_VALUE"""),48.0)</f>
        <v>48</v>
      </c>
      <c r="C50" s="12" t="s">
        <v>5</v>
      </c>
      <c r="D50" s="12">
        <v>524.392727570278</v>
      </c>
      <c r="E50" s="12">
        <v>80.0</v>
      </c>
      <c r="F50" s="12">
        <v>370.453093815675</v>
      </c>
      <c r="G50" s="13">
        <v>150.137071486418</v>
      </c>
      <c r="H50" s="12">
        <v>565.0</v>
      </c>
      <c r="I50" s="12">
        <v>364.054852372766</v>
      </c>
      <c r="J50" s="12">
        <v>532.850026510958</v>
      </c>
      <c r="K50" s="12">
        <v>440.262093499855</v>
      </c>
      <c r="L50" s="12">
        <v>657.301157960579</v>
      </c>
      <c r="M50" s="12">
        <v>350.994375476632</v>
      </c>
      <c r="N50" s="12">
        <v>658.602010417578</v>
      </c>
      <c r="O50" s="12">
        <v>839.730838982973</v>
      </c>
      <c r="P50" s="12">
        <v>181.139493199949</v>
      </c>
      <c r="Q50" s="7">
        <v>366.507813895851</v>
      </c>
      <c r="R50" s="7">
        <v>1133.73846153846</v>
      </c>
      <c r="S50" s="7">
        <v>722.076220346489</v>
      </c>
      <c r="T50" s="7">
        <v>817.360083295223</v>
      </c>
      <c r="U50" s="7">
        <v>185.0</v>
      </c>
      <c r="V50" s="7">
        <v>294.031760258645</v>
      </c>
      <c r="W50" s="7">
        <v>479.254313742462</v>
      </c>
      <c r="X50" s="7">
        <v>3884.82758951349</v>
      </c>
      <c r="Y50" s="7">
        <v>749.051010484291</v>
      </c>
      <c r="Z50" s="7">
        <v>754.210261884918</v>
      </c>
    </row>
    <row r="51">
      <c r="A51" s="8">
        <v>41671.0</v>
      </c>
      <c r="B51" s="9">
        <f>IFERROR(__xludf.DUMMYFUNCTION("""COMPUTED_VALUE"""),76.0)</f>
        <v>76</v>
      </c>
      <c r="C51" s="12" t="s">
        <v>6</v>
      </c>
      <c r="D51" s="12">
        <v>901.043463048016</v>
      </c>
      <c r="E51" s="12">
        <v>93.5157475380968</v>
      </c>
      <c r="F51" s="12">
        <v>316.392857383699</v>
      </c>
      <c r="G51" s="13">
        <v>-9.77328251966699</v>
      </c>
      <c r="H51" s="12">
        <v>582.0</v>
      </c>
      <c r="I51" s="12">
        <v>1614.39804778131</v>
      </c>
      <c r="J51" s="12">
        <v>212.999173862635</v>
      </c>
      <c r="K51" s="12">
        <v>297.720688471879</v>
      </c>
      <c r="L51" s="12">
        <v>555.772806891733</v>
      </c>
      <c r="M51" s="12">
        <v>409.806784400546</v>
      </c>
      <c r="N51" s="12">
        <v>957.817395032963</v>
      </c>
      <c r="O51" s="12">
        <v>646.292688644285</v>
      </c>
      <c r="P51" s="12">
        <v>297.698691834454</v>
      </c>
      <c r="Q51" s="7">
        <v>2066.30478447987</v>
      </c>
      <c r="R51" s="7">
        <v>248.5</v>
      </c>
      <c r="S51" s="7">
        <v>828.920958549463</v>
      </c>
      <c r="T51" s="7">
        <v>379.254788632929</v>
      </c>
      <c r="U51" s="7">
        <v>224.5</v>
      </c>
      <c r="V51" s="7">
        <v>224.5</v>
      </c>
      <c r="W51" s="7">
        <v>551.623784577916</v>
      </c>
      <c r="X51" s="7">
        <v>5552.90825072446</v>
      </c>
      <c r="Y51" s="7">
        <v>699.051010484291</v>
      </c>
      <c r="Z51" s="7">
        <v>777.709995126557</v>
      </c>
    </row>
    <row r="52">
      <c r="A52" s="8">
        <v>41699.0</v>
      </c>
      <c r="B52" s="9">
        <f>IFERROR(__xludf.DUMMYFUNCTION("""COMPUTED_VALUE"""),100.0)</f>
        <v>100</v>
      </c>
      <c r="C52" s="12" t="s">
        <v>7</v>
      </c>
      <c r="D52" s="12">
        <v>39606.0775632877</v>
      </c>
      <c r="E52" s="12">
        <v>39473.6926273804</v>
      </c>
      <c r="F52" s="12">
        <v>40320.0</v>
      </c>
      <c r="G52" s="13">
        <v>39605.9999727922</v>
      </c>
      <c r="H52" s="12">
        <v>39605.9079392398</v>
      </c>
      <c r="I52" s="12">
        <v>79181.9722914546</v>
      </c>
      <c r="J52" s="12">
        <v>39557.0747841931</v>
      </c>
      <c r="K52" s="12">
        <v>483.110693110346</v>
      </c>
      <c r="L52" s="12">
        <v>39017.7958022138</v>
      </c>
      <c r="M52" s="12">
        <v>39302.2467279363</v>
      </c>
      <c r="N52" s="12">
        <v>956.663548879117</v>
      </c>
      <c r="O52" s="12">
        <v>23625.2177441452</v>
      </c>
      <c r="P52" s="12">
        <v>39625.974962272</v>
      </c>
      <c r="Q52" s="7">
        <v>39554.8173580719</v>
      </c>
      <c r="R52" s="7">
        <v>38355.8538461538</v>
      </c>
      <c r="S52" s="7">
        <v>39605.9745503628</v>
      </c>
      <c r="T52" s="7">
        <v>481.047179286765</v>
      </c>
      <c r="U52" s="7">
        <v>264.0</v>
      </c>
      <c r="V52" s="7">
        <v>264.0</v>
      </c>
      <c r="W52" s="7">
        <v>276.720908928428</v>
      </c>
      <c r="X52" s="7">
        <v>4463.00266701566</v>
      </c>
      <c r="Y52" s="7">
        <v>38981.7494060161</v>
      </c>
      <c r="Z52" s="7">
        <v>648.271908301265</v>
      </c>
    </row>
    <row r="53">
      <c r="A53" s="8">
        <v>41730.0</v>
      </c>
      <c r="B53" s="9">
        <f>IFERROR(__xludf.DUMMYFUNCTION("""COMPUTED_VALUE"""),77.0)</f>
        <v>77</v>
      </c>
      <c r="C53" s="12" t="s">
        <v>8</v>
      </c>
      <c r="D53" s="12">
        <v>152.672413280935</v>
      </c>
      <c r="E53" s="12">
        <v>1586.90914265153</v>
      </c>
      <c r="F53" s="12">
        <v>671.41000136056</v>
      </c>
      <c r="G53" s="13">
        <v>58.0307691909043</v>
      </c>
      <c r="H53" s="12">
        <v>565.0</v>
      </c>
      <c r="I53" s="12">
        <v>208.69125888315</v>
      </c>
      <c r="J53" s="12">
        <v>2498.32713649403</v>
      </c>
      <c r="K53" s="12">
        <v>291.0</v>
      </c>
      <c r="L53" s="12">
        <v>323.469175399721</v>
      </c>
      <c r="M53" s="12">
        <v>704.483183905826</v>
      </c>
      <c r="N53" s="12">
        <v>944.355856571424</v>
      </c>
      <c r="O53" s="12">
        <v>2604.60973258955</v>
      </c>
      <c r="P53" s="12">
        <v>357.106977236551</v>
      </c>
      <c r="Q53" s="7">
        <v>2456.90502293555</v>
      </c>
      <c r="R53" s="7">
        <v>333.0</v>
      </c>
      <c r="S53" s="7">
        <v>946.521688995488</v>
      </c>
      <c r="T53" s="7">
        <v>313.988609480142</v>
      </c>
      <c r="U53" s="7">
        <v>291.0</v>
      </c>
      <c r="V53" s="7">
        <v>334.845837036104</v>
      </c>
      <c r="W53" s="7">
        <v>575.349652312674</v>
      </c>
      <c r="X53" s="7">
        <v>3377.00203051676</v>
      </c>
      <c r="Y53" s="7">
        <v>751.051010484291</v>
      </c>
      <c r="Z53" s="7">
        <v>902.40578116365</v>
      </c>
    </row>
    <row r="54">
      <c r="A54" s="8">
        <v>41760.0</v>
      </c>
      <c r="B54" s="9">
        <f>IFERROR(__xludf.DUMMYFUNCTION("""COMPUTED_VALUE"""),78.0)</f>
        <v>78</v>
      </c>
      <c r="C54" s="12" t="s">
        <v>9</v>
      </c>
      <c r="D54" s="12">
        <v>365.435463097884</v>
      </c>
      <c r="E54" s="12">
        <v>883.571745988166</v>
      </c>
      <c r="F54" s="12">
        <v>182.500658244157</v>
      </c>
      <c r="G54" s="13">
        <v>268.392307507933</v>
      </c>
      <c r="H54" s="12">
        <v>573.0</v>
      </c>
      <c r="I54" s="12">
        <v>48.0638166482038</v>
      </c>
      <c r="J54" s="12">
        <v>289.642900217434</v>
      </c>
      <c r="K54" s="12">
        <v>291.0</v>
      </c>
      <c r="L54" s="12">
        <v>161.568068955423</v>
      </c>
      <c r="M54" s="12">
        <v>394.085536134316</v>
      </c>
      <c r="N54" s="12">
        <v>933.278933494501</v>
      </c>
      <c r="O54" s="12">
        <v>357.431184992812</v>
      </c>
      <c r="P54" s="12">
        <v>655.285926219223</v>
      </c>
      <c r="Q54" s="7">
        <v>716.581740425012</v>
      </c>
      <c r="R54" s="7">
        <v>393.972397939009</v>
      </c>
      <c r="S54" s="7">
        <v>963.236886151273</v>
      </c>
      <c r="T54" s="7">
        <v>147.904789939032</v>
      </c>
      <c r="U54" s="7">
        <v>291.0</v>
      </c>
      <c r="V54" s="7">
        <v>291.0</v>
      </c>
      <c r="W54" s="7">
        <v>43.9766392050954</v>
      </c>
      <c r="X54" s="7">
        <v>3007.03343212194</v>
      </c>
      <c r="Y54" s="7">
        <v>728.051010484291</v>
      </c>
      <c r="Z54" s="7">
        <v>652.205700839831</v>
      </c>
    </row>
    <row r="55">
      <c r="A55" s="8">
        <v>41791.0</v>
      </c>
      <c r="B55" s="9"/>
      <c r="C55" s="12" t="s">
        <v>10</v>
      </c>
      <c r="D55" s="12">
        <v>379.131156933962</v>
      </c>
      <c r="E55" s="12">
        <v>538.762166258963</v>
      </c>
      <c r="F55" s="12">
        <v>274.972523776472</v>
      </c>
      <c r="G55" s="13">
        <v>203.107692168165</v>
      </c>
      <c r="H55" s="12">
        <v>565.0</v>
      </c>
      <c r="I55" s="12">
        <v>68.161318097461</v>
      </c>
      <c r="J55" s="12">
        <v>472.727527766363</v>
      </c>
      <c r="K55" s="12">
        <v>264.0</v>
      </c>
      <c r="L55" s="12">
        <v>235.883041535122</v>
      </c>
      <c r="M55" s="12">
        <v>407.711181932379</v>
      </c>
      <c r="N55" s="12">
        <v>1591.2011477751</v>
      </c>
      <c r="O55" s="12">
        <v>538.484903839396</v>
      </c>
      <c r="P55" s="12">
        <v>286.723343103683</v>
      </c>
      <c r="Q55" s="7">
        <v>1018.94649187085</v>
      </c>
      <c r="R55" s="7">
        <v>264.0</v>
      </c>
      <c r="S55" s="7">
        <v>953.755166694259</v>
      </c>
      <c r="T55" s="7">
        <v>107.014789939032</v>
      </c>
      <c r="U55" s="7">
        <v>264.0</v>
      </c>
      <c r="V55" s="7">
        <v>264.0</v>
      </c>
      <c r="W55" s="7">
        <v>-64.4272824538035</v>
      </c>
      <c r="X55" s="7">
        <v>2334.74573799234</v>
      </c>
      <c r="Y55" s="7">
        <v>729.051010484291</v>
      </c>
      <c r="Z55" s="7">
        <v>656.139493378398</v>
      </c>
    </row>
    <row r="56">
      <c r="A56" s="8">
        <v>41821.0</v>
      </c>
      <c r="B56" s="9"/>
      <c r="C56" s="12" t="s">
        <v>11</v>
      </c>
      <c r="D56" s="12">
        <v>44.0551072722421</v>
      </c>
      <c r="E56" s="12">
        <v>0.0</v>
      </c>
      <c r="F56" s="12">
        <v>192.01086218931</v>
      </c>
      <c r="G56" s="13">
        <v>-576.679817248195</v>
      </c>
      <c r="H56" s="12">
        <v>687.0</v>
      </c>
      <c r="I56" s="12">
        <v>33.0</v>
      </c>
      <c r="J56" s="12">
        <v>31.7441677096246</v>
      </c>
      <c r="K56" s="12">
        <v>291.0</v>
      </c>
      <c r="L56" s="12">
        <v>0.410512134094688</v>
      </c>
      <c r="M56" s="12">
        <v>-541.051663395551</v>
      </c>
      <c r="N56" s="12">
        <v>338.432779648347</v>
      </c>
      <c r="O56" s="12">
        <v>435.0</v>
      </c>
      <c r="P56" s="12">
        <v>8.21072537724763</v>
      </c>
      <c r="Q56" s="7">
        <v>441.129341925832</v>
      </c>
      <c r="R56" s="7">
        <v>413.0</v>
      </c>
      <c r="S56" s="7">
        <v>1058.1787154984</v>
      </c>
      <c r="T56" s="7">
        <v>116.254789939032</v>
      </c>
      <c r="U56" s="7">
        <v>291.0</v>
      </c>
      <c r="V56" s="7">
        <v>291.0</v>
      </c>
      <c r="W56" s="7">
        <v>-426.365210195243</v>
      </c>
      <c r="X56" s="7">
        <v>0.0</v>
      </c>
      <c r="Y56" s="7">
        <v>651.051010484291</v>
      </c>
      <c r="Z56" s="7">
        <v>350.141860066347</v>
      </c>
    </row>
    <row r="57">
      <c r="A57" s="8">
        <v>41852.0</v>
      </c>
      <c r="B57" s="9"/>
      <c r="C57" s="12" t="s">
        <v>12</v>
      </c>
      <c r="D57" s="12">
        <v>-12.0</v>
      </c>
      <c r="E57" s="12">
        <v>42.0</v>
      </c>
      <c r="F57" s="12">
        <v>60.0032182319244</v>
      </c>
      <c r="G57" s="13">
        <v>-347.0</v>
      </c>
      <c r="H57" s="12">
        <v>565.0</v>
      </c>
      <c r="I57" s="12">
        <v>33.0</v>
      </c>
      <c r="J57" s="12">
        <v>7.21262110114256</v>
      </c>
      <c r="K57" s="12">
        <v>264.0</v>
      </c>
      <c r="L57" s="12">
        <v>0.0</v>
      </c>
      <c r="M57" s="12">
        <v>-324.426210008943</v>
      </c>
      <c r="N57" s="12">
        <v>386.618677084245</v>
      </c>
      <c r="O57" s="12">
        <v>383.024797393761</v>
      </c>
      <c r="P57" s="12">
        <v>4.0</v>
      </c>
      <c r="Q57" s="7">
        <v>447.7559641061</v>
      </c>
      <c r="R57" s="7">
        <v>264.0</v>
      </c>
      <c r="S57" s="7">
        <v>959.8897469302</v>
      </c>
      <c r="T57" s="7">
        <v>132.214789939032</v>
      </c>
      <c r="U57" s="7">
        <v>264.0</v>
      </c>
      <c r="V57" s="7">
        <v>264.0</v>
      </c>
      <c r="W57" s="7">
        <v>-558.5</v>
      </c>
      <c r="X57" s="7">
        <v>0.0</v>
      </c>
      <c r="Y57" s="7">
        <v>651.051010484291</v>
      </c>
      <c r="Z57" s="7">
        <v>350.407041959674</v>
      </c>
    </row>
    <row r="58">
      <c r="A58" s="8">
        <v>41883.0</v>
      </c>
      <c r="B58" s="9">
        <f>IFERROR(__xludf.DUMMYFUNCTION("""COMPUTED_VALUE"""),18.0)</f>
        <v>18</v>
      </c>
      <c r="C58" s="12" t="s">
        <v>13</v>
      </c>
      <c r="D58" s="12">
        <v>24.0</v>
      </c>
      <c r="E58" s="12">
        <v>25.5</v>
      </c>
      <c r="F58" s="12">
        <v>114.141489074311</v>
      </c>
      <c r="G58" s="13">
        <v>-441.0</v>
      </c>
      <c r="H58" s="12">
        <v>1336.74517643887</v>
      </c>
      <c r="I58" s="12">
        <v>35.5</v>
      </c>
      <c r="J58" s="12">
        <v>113.157879431233</v>
      </c>
      <c r="K58" s="12">
        <v>249.0</v>
      </c>
      <c r="L58" s="12">
        <v>846.878147061762</v>
      </c>
      <c r="M58" s="12">
        <v>-345.045718703106</v>
      </c>
      <c r="N58" s="12">
        <v>705.397196516346</v>
      </c>
      <c r="O58" s="12">
        <v>800.5</v>
      </c>
      <c r="P58" s="12">
        <v>155.999994196195</v>
      </c>
      <c r="Q58" s="7">
        <v>447.7559641061</v>
      </c>
      <c r="R58" s="7">
        <v>294.150400856004</v>
      </c>
      <c r="S58" s="7">
        <v>949.527399402727</v>
      </c>
      <c r="T58" s="7">
        <v>206.374789939032</v>
      </c>
      <c r="U58" s="7">
        <v>249.0</v>
      </c>
      <c r="V58" s="7">
        <v>249.0</v>
      </c>
      <c r="W58" s="7">
        <v>-482.541714663828</v>
      </c>
      <c r="X58" s="7">
        <v>0.0</v>
      </c>
      <c r="Y58" s="7">
        <v>651.051010484291</v>
      </c>
      <c r="Z58" s="7">
        <v>355.136119057353</v>
      </c>
    </row>
    <row r="59">
      <c r="A59" s="8">
        <v>41913.0</v>
      </c>
      <c r="B59" s="9">
        <f>IFERROR(__xludf.DUMMYFUNCTION("""COMPUTED_VALUE"""),160.0)</f>
        <v>160</v>
      </c>
      <c r="C59" s="12" t="s">
        <v>14</v>
      </c>
      <c r="D59" s="12">
        <v>69.8169262435445</v>
      </c>
      <c r="E59" s="12">
        <v>135.814911749241</v>
      </c>
      <c r="F59" s="12">
        <v>104.893845091917</v>
      </c>
      <c r="G59" s="13">
        <v>-552.17422996941</v>
      </c>
      <c r="H59" s="12">
        <v>565.0</v>
      </c>
      <c r="I59" s="12">
        <v>430.849511945328</v>
      </c>
      <c r="J59" s="12">
        <v>114.654782859138</v>
      </c>
      <c r="K59" s="12">
        <v>264.0</v>
      </c>
      <c r="L59" s="12">
        <v>424.622889504966</v>
      </c>
      <c r="M59" s="12">
        <v>251.209814872905</v>
      </c>
      <c r="N59" s="12">
        <v>661.035343750911</v>
      </c>
      <c r="O59" s="12">
        <v>1013.89308487317</v>
      </c>
      <c r="P59" s="12">
        <v>162.28528164113</v>
      </c>
      <c r="Q59" s="7">
        <v>442.858025972858</v>
      </c>
      <c r="R59" s="7">
        <v>268.79006279539</v>
      </c>
      <c r="S59" s="7">
        <v>917.935729073057</v>
      </c>
      <c r="T59" s="7">
        <v>396.049789939032</v>
      </c>
      <c r="U59" s="7">
        <v>249.0</v>
      </c>
      <c r="V59" s="7">
        <v>249.0</v>
      </c>
      <c r="W59" s="7">
        <v>-425.026449699864</v>
      </c>
      <c r="X59" s="7">
        <v>0.0</v>
      </c>
      <c r="Y59" s="7">
        <v>669.051010484291</v>
      </c>
      <c r="Z59" s="7">
        <v>420.111941064381</v>
      </c>
    </row>
    <row r="60">
      <c r="A60" s="8">
        <v>41944.0</v>
      </c>
      <c r="B60" s="9">
        <f>IFERROR(__xludf.DUMMYFUNCTION("""COMPUTED_VALUE"""),323.0)</f>
        <v>323</v>
      </c>
      <c r="C60" s="12" t="s">
        <v>15</v>
      </c>
      <c r="D60" s="12">
        <v>537.371482913406</v>
      </c>
      <c r="E60" s="12">
        <v>791.483632388393</v>
      </c>
      <c r="F60" s="12">
        <v>50.0434461308702</v>
      </c>
      <c r="G60" s="13">
        <v>0.0</v>
      </c>
      <c r="H60" s="12">
        <v>565.0</v>
      </c>
      <c r="I60" s="12">
        <v>504.519110671587</v>
      </c>
      <c r="J60" s="12">
        <v>519.584488704898</v>
      </c>
      <c r="K60" s="12">
        <v>264.0</v>
      </c>
      <c r="L60" s="12">
        <v>723.379343126081</v>
      </c>
      <c r="M60" s="12">
        <v>350.123294408347</v>
      </c>
      <c r="N60" s="12">
        <v>806.702010417578</v>
      </c>
      <c r="O60" s="12">
        <v>582.147710032462</v>
      </c>
      <c r="P60" s="12">
        <v>1268.53148626732</v>
      </c>
      <c r="Q60" s="7">
        <v>429.604781612321</v>
      </c>
      <c r="R60" s="7">
        <v>840.388401010133</v>
      </c>
      <c r="S60" s="7">
        <v>459.367597204925</v>
      </c>
      <c r="T60" s="7">
        <v>293.453915327248</v>
      </c>
      <c r="U60" s="7">
        <v>264.0</v>
      </c>
      <c r="V60" s="7">
        <v>264.0</v>
      </c>
      <c r="W60" s="7">
        <v>233.250159387211</v>
      </c>
      <c r="X60" s="7">
        <v>0.0</v>
      </c>
      <c r="Y60" s="7">
        <v>811.051010484291</v>
      </c>
      <c r="Z60" s="7">
        <v>532.682262279807</v>
      </c>
    </row>
    <row r="61">
      <c r="A61" s="8">
        <v>41974.0</v>
      </c>
      <c r="B61" s="9">
        <f>IFERROR(__xludf.DUMMYFUNCTION("""COMPUTED_VALUE"""),241.0)</f>
        <v>241</v>
      </c>
      <c r="C61" s="12" t="s">
        <v>16</v>
      </c>
      <c r="D61" s="12">
        <v>666.402877111875</v>
      </c>
      <c r="E61" s="12">
        <v>17.0</v>
      </c>
      <c r="F61" s="12">
        <v>111.509937650265</v>
      </c>
      <c r="G61" s="13">
        <v>573.792341277819</v>
      </c>
      <c r="H61" s="12">
        <v>570.0</v>
      </c>
      <c r="I61" s="12">
        <v>984.879204668267</v>
      </c>
      <c r="J61" s="12">
        <v>1546.51106732389</v>
      </c>
      <c r="K61" s="12">
        <v>1720.17191166372</v>
      </c>
      <c r="L61" s="12">
        <v>1542.4654495251</v>
      </c>
      <c r="M61" s="12">
        <v>1243.55933488029</v>
      </c>
      <c r="N61" s="12">
        <v>1250.09372064486</v>
      </c>
      <c r="O61" s="12">
        <v>1505.01964660719</v>
      </c>
      <c r="P61" s="12">
        <v>618.514066872664</v>
      </c>
      <c r="Q61" s="7">
        <v>699.802795178788</v>
      </c>
      <c r="R61" s="7">
        <v>30272.4230769231</v>
      </c>
      <c r="S61" s="7">
        <v>761.072971318684</v>
      </c>
      <c r="T61" s="7">
        <v>1878.03901433191</v>
      </c>
      <c r="U61" s="7">
        <v>421.5</v>
      </c>
      <c r="V61" s="7">
        <v>593.552171150472</v>
      </c>
      <c r="W61" s="7">
        <v>1050.36442295054</v>
      </c>
      <c r="X61" s="7">
        <v>0.0</v>
      </c>
      <c r="Y61" s="7">
        <v>974.051010484291</v>
      </c>
      <c r="Z61" s="7">
        <v>1619.9186653273</v>
      </c>
    </row>
    <row r="62">
      <c r="A62" s="8">
        <v>42005.0</v>
      </c>
      <c r="B62" s="9">
        <f>IFERROR(__xludf.DUMMYFUNCTION("""COMPUTED_VALUE"""),146.0)</f>
        <v>146</v>
      </c>
      <c r="C62" s="12" t="s">
        <v>17</v>
      </c>
      <c r="D62" s="12">
        <v>348.815347199755</v>
      </c>
      <c r="E62" s="12">
        <v>112.0</v>
      </c>
      <c r="F62" s="12">
        <v>178.382631544699</v>
      </c>
      <c r="G62" s="13">
        <v>-1175.11574384343</v>
      </c>
      <c r="H62" s="12">
        <v>583.0</v>
      </c>
      <c r="I62" s="12">
        <v>59.6500592954139</v>
      </c>
      <c r="J62" s="12">
        <v>991.13950078019</v>
      </c>
      <c r="K62" s="12">
        <v>579.0</v>
      </c>
      <c r="L62" s="12">
        <v>990.320162643648</v>
      </c>
      <c r="M62" s="12">
        <v>103.099295695675</v>
      </c>
      <c r="N62" s="12">
        <v>4180.39152205443</v>
      </c>
      <c r="O62" s="12">
        <v>378.130178996742</v>
      </c>
      <c r="P62" s="12">
        <v>216.269857367503</v>
      </c>
      <c r="Q62" s="7">
        <v>817.398917970393</v>
      </c>
      <c r="R62" s="7">
        <v>31101.3230769231</v>
      </c>
      <c r="S62" s="7">
        <v>353.364570231898</v>
      </c>
      <c r="T62" s="7">
        <v>1201.68579507852</v>
      </c>
      <c r="U62" s="7">
        <v>654.0</v>
      </c>
      <c r="V62" s="7">
        <v>654.0</v>
      </c>
      <c r="W62" s="7">
        <v>-52.7129559758409</v>
      </c>
      <c r="X62" s="7">
        <v>0.0</v>
      </c>
      <c r="Y62" s="7">
        <v>892.051010484291</v>
      </c>
      <c r="Z62" s="7">
        <v>1297.34767716481</v>
      </c>
    </row>
    <row r="63">
      <c r="A63" s="8">
        <v>42036.0</v>
      </c>
      <c r="B63" s="9">
        <f>IFERROR(__xludf.DUMMYFUNCTION("""COMPUTED_VALUE"""),133.0)</f>
        <v>133</v>
      </c>
      <c r="C63" s="12" t="s">
        <v>18</v>
      </c>
      <c r="D63" s="12">
        <v>272.718821853776</v>
      </c>
      <c r="E63" s="12">
        <v>56.0</v>
      </c>
      <c r="F63" s="12">
        <v>137.15324824813</v>
      </c>
      <c r="G63" s="13">
        <v>430.284073543748</v>
      </c>
      <c r="H63" s="12">
        <v>586.0</v>
      </c>
      <c r="I63" s="12">
        <v>82.267192061376</v>
      </c>
      <c r="J63" s="12">
        <v>626.698484390275</v>
      </c>
      <c r="K63" s="12">
        <v>579.0</v>
      </c>
      <c r="L63" s="12">
        <v>677.02210516362</v>
      </c>
      <c r="M63" s="12">
        <v>-290.455723717986</v>
      </c>
      <c r="N63" s="12">
        <v>981.035343750911</v>
      </c>
      <c r="O63" s="12">
        <v>51.2375501273491</v>
      </c>
      <c r="P63" s="12">
        <v>394.36512871347</v>
      </c>
      <c r="Q63" s="7">
        <v>454.010729470528</v>
      </c>
      <c r="R63" s="7">
        <v>34014.5076923077</v>
      </c>
      <c r="S63" s="7">
        <v>450.66231248964</v>
      </c>
      <c r="T63" s="7">
        <v>427.754789939032</v>
      </c>
      <c r="U63" s="7">
        <v>654.0</v>
      </c>
      <c r="V63" s="7">
        <v>654.0</v>
      </c>
      <c r="W63" s="7">
        <v>-83.00452059482</v>
      </c>
      <c r="X63" s="7">
        <v>0.0</v>
      </c>
      <c r="Y63" s="7">
        <v>1335.71047566355</v>
      </c>
      <c r="Z63" s="7">
        <v>923.637386000951</v>
      </c>
    </row>
    <row r="64">
      <c r="A64" s="8">
        <v>42064.0</v>
      </c>
      <c r="B64" s="9">
        <f>IFERROR(__xludf.DUMMYFUNCTION("""COMPUTED_VALUE"""),119.0)</f>
        <v>119</v>
      </c>
      <c r="C64" s="12" t="s">
        <v>19</v>
      </c>
      <c r="D64" s="12">
        <v>267.710647092331</v>
      </c>
      <c r="E64" s="12">
        <v>206.520848986425</v>
      </c>
      <c r="F64" s="12">
        <v>127.791714849805</v>
      </c>
      <c r="G64" s="13">
        <v>444.69573363533</v>
      </c>
      <c r="H64" s="12">
        <v>1359.45518982705</v>
      </c>
      <c r="I64" s="12">
        <v>94.7977337275193</v>
      </c>
      <c r="J64" s="12">
        <v>2318.09675229329</v>
      </c>
      <c r="K64" s="12">
        <v>856.857311804853</v>
      </c>
      <c r="L64" s="12">
        <v>597.208370021801</v>
      </c>
      <c r="M64" s="12">
        <v>597.628136355307</v>
      </c>
      <c r="N64" s="12">
        <v>707.663548879116</v>
      </c>
      <c r="O64" s="12">
        <v>350.0</v>
      </c>
      <c r="P64" s="12">
        <v>43.58379478539</v>
      </c>
      <c r="Q64" s="7">
        <v>989.167817601951</v>
      </c>
      <c r="R64" s="7">
        <v>25131.3461538462</v>
      </c>
      <c r="S64" s="7">
        <v>522.183201600529</v>
      </c>
      <c r="T64" s="7">
        <v>448.842599676307</v>
      </c>
      <c r="U64" s="7">
        <v>579.0</v>
      </c>
      <c r="V64" s="7">
        <v>579.0</v>
      </c>
      <c r="W64" s="7">
        <v>420.413780674592</v>
      </c>
      <c r="X64" s="7">
        <v>0.0</v>
      </c>
      <c r="Y64" s="7">
        <v>784.051010484291</v>
      </c>
      <c r="Z64" s="7">
        <v>501.878569406286</v>
      </c>
    </row>
    <row r="65">
      <c r="A65" s="8">
        <v>42095.0</v>
      </c>
      <c r="B65" s="9">
        <f>IFERROR(__xludf.DUMMYFUNCTION("""COMPUTED_VALUE"""),209.0)</f>
        <v>209</v>
      </c>
      <c r="C65" s="12" t="s">
        <v>20</v>
      </c>
      <c r="D65" s="12">
        <v>619.216456378091</v>
      </c>
      <c r="E65" s="12">
        <v>596.096601679096</v>
      </c>
      <c r="F65" s="12">
        <v>112.737104398447</v>
      </c>
      <c r="G65" s="13">
        <v>394.687679973218</v>
      </c>
      <c r="H65" s="12">
        <v>571.0</v>
      </c>
      <c r="I65" s="12">
        <v>77.0</v>
      </c>
      <c r="J65" s="12">
        <v>1549.46317644315</v>
      </c>
      <c r="K65" s="12">
        <v>654.0</v>
      </c>
      <c r="L65" s="12">
        <v>921.850103234461</v>
      </c>
      <c r="M65" s="12">
        <v>614.128705733261</v>
      </c>
      <c r="N65" s="12">
        <v>695.059153274721</v>
      </c>
      <c r="O65" s="12">
        <v>97.8434731566838</v>
      </c>
      <c r="P65" s="12">
        <v>606.413165437205</v>
      </c>
      <c r="Q65" s="7">
        <v>1262.44163756591</v>
      </c>
      <c r="R65" s="7">
        <v>586.0</v>
      </c>
      <c r="S65" s="7">
        <v>613.228756046084</v>
      </c>
      <c r="T65" s="7">
        <v>392.824789939032</v>
      </c>
      <c r="U65" s="7">
        <v>579.0</v>
      </c>
      <c r="V65" s="7">
        <v>579.0</v>
      </c>
      <c r="W65" s="7">
        <v>467.500588584694</v>
      </c>
      <c r="X65" s="7">
        <v>0.0</v>
      </c>
      <c r="Y65" s="7">
        <v>770.051010484291</v>
      </c>
      <c r="Z65" s="7">
        <v>817.424987459644</v>
      </c>
    </row>
    <row r="66">
      <c r="A66" s="8">
        <v>42125.0</v>
      </c>
      <c r="B66" s="9">
        <f>IFERROR(__xludf.DUMMYFUNCTION("""COMPUTED_VALUE"""),75.0)</f>
        <v>75</v>
      </c>
      <c r="C66" s="12" t="s">
        <v>21</v>
      </c>
      <c r="D66" s="12">
        <v>237.120208603484</v>
      </c>
      <c r="E66" s="12">
        <v>0.0</v>
      </c>
      <c r="F66" s="12">
        <v>29.2573768329498</v>
      </c>
      <c r="G66" s="13">
        <v>481.843840984149</v>
      </c>
      <c r="H66" s="12">
        <v>573.0</v>
      </c>
      <c r="I66" s="12">
        <v>161.817772630008</v>
      </c>
      <c r="J66" s="12">
        <v>774.332178037311</v>
      </c>
      <c r="K66" s="12">
        <v>1421.34653107653</v>
      </c>
      <c r="L66" s="12">
        <v>435.5018228522</v>
      </c>
      <c r="M66" s="12">
        <v>1777.95499662892</v>
      </c>
      <c r="N66" s="12">
        <v>1213.12909301419</v>
      </c>
      <c r="O66" s="12">
        <v>294.0</v>
      </c>
      <c r="P66" s="12">
        <v>301.324576337206</v>
      </c>
      <c r="Q66" s="7">
        <v>603.937561469214</v>
      </c>
      <c r="R66" s="7">
        <v>712104.061538461</v>
      </c>
      <c r="S66" s="7">
        <v>1370.25865214998</v>
      </c>
      <c r="T66" s="7">
        <v>420.094789939032</v>
      </c>
      <c r="U66" s="7">
        <v>508.5</v>
      </c>
      <c r="V66" s="7">
        <v>935.98090900254</v>
      </c>
      <c r="W66" s="7">
        <v>942.886088941179</v>
      </c>
      <c r="X66" s="7">
        <v>0.0</v>
      </c>
      <c r="Y66" s="7">
        <v>860.051010484291</v>
      </c>
      <c r="Z66" s="7">
        <v>588.58526045768</v>
      </c>
    </row>
    <row r="67">
      <c r="A67" s="8">
        <v>42156.0</v>
      </c>
      <c r="B67" s="9">
        <f>IFERROR(__xludf.DUMMYFUNCTION("""COMPUTED_VALUE"""),62.0)</f>
        <v>62</v>
      </c>
      <c r="C67" s="12" t="s">
        <v>22</v>
      </c>
      <c r="D67" s="12">
        <v>57.8225730275249</v>
      </c>
      <c r="E67" s="12">
        <v>38.1167770084197</v>
      </c>
      <c r="F67" s="12">
        <v>133.332173042551</v>
      </c>
      <c r="G67" s="13">
        <v>-251.078989414651</v>
      </c>
      <c r="H67" s="12">
        <v>565.0</v>
      </c>
      <c r="I67" s="12">
        <v>270.660800398403</v>
      </c>
      <c r="J67" s="12">
        <v>225.240117423504</v>
      </c>
      <c r="K67" s="12">
        <v>438.0</v>
      </c>
      <c r="L67" s="12">
        <v>279.246199215924</v>
      </c>
      <c r="M67" s="12">
        <v>446.832016561923</v>
      </c>
      <c r="N67" s="12">
        <v>662.202010417578</v>
      </c>
      <c r="O67" s="12">
        <v>218.623384656468</v>
      </c>
      <c r="P67" s="12">
        <v>12.009014849997</v>
      </c>
      <c r="Q67" s="7">
        <v>446.891622082587</v>
      </c>
      <c r="R67" s="7">
        <v>17818.0307692308</v>
      </c>
      <c r="S67" s="7">
        <v>1362.26265214998</v>
      </c>
      <c r="T67" s="7">
        <v>737.698235679242</v>
      </c>
      <c r="U67" s="7">
        <v>508.5</v>
      </c>
      <c r="V67" s="7">
        <v>508.5</v>
      </c>
      <c r="W67" s="7">
        <v>226.024784470837</v>
      </c>
      <c r="X67" s="7">
        <v>0.0</v>
      </c>
      <c r="Y67" s="7">
        <v>726.051010484291</v>
      </c>
      <c r="Z67" s="7">
        <v>651.183380845702</v>
      </c>
    </row>
    <row r="68">
      <c r="A68" s="8">
        <v>42186.0</v>
      </c>
      <c r="B68" s="9">
        <f>IFERROR(__xludf.DUMMYFUNCTION("""COMPUTED_VALUE"""),15.0)</f>
        <v>15</v>
      </c>
      <c r="C68" s="12" t="s">
        <v>23</v>
      </c>
      <c r="D68" s="12">
        <v>841.219860123735</v>
      </c>
      <c r="E68" s="12">
        <v>22.1883687077677</v>
      </c>
      <c r="F68" s="12">
        <v>174.228725149381</v>
      </c>
      <c r="G68" s="13">
        <v>668.52608069526</v>
      </c>
      <c r="H68" s="12">
        <v>565.0</v>
      </c>
      <c r="I68" s="12">
        <v>132.517161513618</v>
      </c>
      <c r="J68" s="12">
        <v>1252.16326121265</v>
      </c>
      <c r="K68" s="12">
        <v>706.571698214089</v>
      </c>
      <c r="L68" s="12">
        <v>1979.48018361194</v>
      </c>
      <c r="M68" s="12">
        <v>917.142440456535</v>
      </c>
      <c r="N68" s="12">
        <v>796.785343750911</v>
      </c>
      <c r="O68" s="12">
        <v>175.61665730844</v>
      </c>
      <c r="P68" s="12">
        <v>66.0137432278711</v>
      </c>
      <c r="Q68" s="7">
        <v>958.396769708408</v>
      </c>
      <c r="R68" s="7">
        <v>10686.1307692308</v>
      </c>
      <c r="S68" s="7">
        <v>1362.31265214998</v>
      </c>
      <c r="T68" s="7">
        <v>401.131112447531</v>
      </c>
      <c r="U68" s="7">
        <v>400.5</v>
      </c>
      <c r="V68" s="7">
        <v>400.5</v>
      </c>
      <c r="W68" s="7">
        <v>259.548492777381</v>
      </c>
      <c r="X68" s="7">
        <v>0.0</v>
      </c>
      <c r="Y68" s="7">
        <v>713.051010484291</v>
      </c>
      <c r="Z68" s="7">
        <v>593.198812761327</v>
      </c>
    </row>
    <row r="69">
      <c r="A69" s="8">
        <v>42217.0</v>
      </c>
      <c r="B69" s="9">
        <f>IFERROR(__xludf.DUMMYFUNCTION("""COMPUTED_VALUE"""),165.0)</f>
        <v>165</v>
      </c>
      <c r="C69" s="12" t="s">
        <v>24</v>
      </c>
      <c r="D69" s="12">
        <v>923.174669828067</v>
      </c>
      <c r="E69" s="12">
        <v>3.5</v>
      </c>
      <c r="F69" s="12">
        <v>1055.1086264133</v>
      </c>
      <c r="G69" s="13">
        <v>968.155730383345</v>
      </c>
      <c r="H69" s="12">
        <v>565.0</v>
      </c>
      <c r="I69" s="12">
        <v>122.648677810321</v>
      </c>
      <c r="J69" s="12">
        <v>977.102080165066</v>
      </c>
      <c r="K69" s="12">
        <v>1051.47702376147</v>
      </c>
      <c r="L69" s="12">
        <v>209.714822905666</v>
      </c>
      <c r="M69" s="12">
        <v>847.618593849412</v>
      </c>
      <c r="N69" s="12">
        <v>780.618677084245</v>
      </c>
      <c r="O69" s="12">
        <v>670.882508818669</v>
      </c>
      <c r="P69" s="12">
        <v>0.0961583999677661</v>
      </c>
      <c r="Q69" s="7">
        <v>986.191578845421</v>
      </c>
      <c r="R69" s="7">
        <v>6240.19230769231</v>
      </c>
      <c r="S69" s="7">
        <v>1362.38550929284</v>
      </c>
      <c r="T69" s="7">
        <v>505.794789939032</v>
      </c>
      <c r="U69" s="7">
        <v>583.5</v>
      </c>
      <c r="V69" s="7">
        <v>583.5</v>
      </c>
      <c r="W69" s="7">
        <v>106.541723764033</v>
      </c>
      <c r="X69" s="7">
        <v>0.0</v>
      </c>
      <c r="Y69" s="7">
        <v>666.051010484291</v>
      </c>
      <c r="Z69" s="7">
        <v>493.822793459011</v>
      </c>
    </row>
    <row r="70">
      <c r="A70" s="8">
        <v>42248.0</v>
      </c>
      <c r="B70" s="9">
        <f>IFERROR(__xludf.DUMMYFUNCTION("""COMPUTED_VALUE"""),80.0)</f>
        <v>80</v>
      </c>
      <c r="C70" s="12" t="s">
        <v>25</v>
      </c>
      <c r="D70" s="12">
        <v>423.81530783471</v>
      </c>
      <c r="E70" s="12">
        <v>-465.765179073556</v>
      </c>
      <c r="F70" s="12">
        <v>1448.83961458607</v>
      </c>
      <c r="G70" s="13">
        <v>380.020634231307</v>
      </c>
      <c r="H70" s="12">
        <v>565.0</v>
      </c>
      <c r="I70" s="12">
        <v>3546.95242701501</v>
      </c>
      <c r="J70" s="12">
        <v>-2028.03032933008</v>
      </c>
      <c r="K70" s="12">
        <v>1358.61089560031</v>
      </c>
      <c r="L70" s="12">
        <v>438.397395556363</v>
      </c>
      <c r="M70" s="12">
        <v>5677.61852716879</v>
      </c>
      <c r="N70" s="12">
        <v>710.278933494501</v>
      </c>
      <c r="O70" s="12">
        <v>137.596336314149</v>
      </c>
      <c r="P70" s="12">
        <v>297.635599906124</v>
      </c>
      <c r="Q70" s="7">
        <v>-220.480504771153</v>
      </c>
      <c r="R70" s="7">
        <v>7476.65384615385</v>
      </c>
      <c r="S70" s="7">
        <v>1635.32583333333</v>
      </c>
      <c r="T70" s="7">
        <v>1366.14478993903</v>
      </c>
      <c r="U70" s="7">
        <v>960.301420717258</v>
      </c>
      <c r="V70" s="7">
        <v>1427.4745392627</v>
      </c>
      <c r="W70" s="7">
        <v>5973.20462768226</v>
      </c>
      <c r="X70" s="7">
        <v>0.0</v>
      </c>
      <c r="Y70" s="7">
        <v>5606.08349610773</v>
      </c>
      <c r="Z70" s="7">
        <v>4421.01198573611</v>
      </c>
    </row>
    <row r="71">
      <c r="A71" s="8">
        <v>42278.0</v>
      </c>
      <c r="B71" s="9">
        <f>IFERROR(__xludf.DUMMYFUNCTION("""COMPUTED_VALUE"""),77.0)</f>
        <v>77</v>
      </c>
      <c r="C71" s="12" t="s">
        <v>3</v>
      </c>
      <c r="D71" s="12">
        <v>3000.0</v>
      </c>
      <c r="E71" s="12">
        <v>5735.87893508581</v>
      </c>
      <c r="F71" s="12">
        <v>1023.79280113775</v>
      </c>
      <c r="G71" s="13">
        <v>5483.90768854046</v>
      </c>
      <c r="H71" s="12">
        <v>565.0</v>
      </c>
      <c r="I71" s="12">
        <v>105.5</v>
      </c>
      <c r="J71" s="12">
        <v>577.251498514556</v>
      </c>
      <c r="K71" s="12">
        <v>729.0</v>
      </c>
      <c r="L71" s="12">
        <v>1158.67691245141</v>
      </c>
      <c r="M71" s="12">
        <v>1284.50962865386</v>
      </c>
      <c r="N71" s="12">
        <v>4664.38879475971</v>
      </c>
      <c r="O71" s="12">
        <v>5839.44489363914</v>
      </c>
      <c r="P71" s="12">
        <v>3576.77005990464</v>
      </c>
      <c r="Q71" s="7">
        <v>503.705431625206</v>
      </c>
      <c r="R71" s="7">
        <v>663.0</v>
      </c>
      <c r="S71" s="7">
        <v>1362.45465214998</v>
      </c>
      <c r="T71" s="7">
        <v>914.774789939032</v>
      </c>
      <c r="U71" s="7">
        <v>657.0</v>
      </c>
      <c r="V71" s="7">
        <v>657.0</v>
      </c>
      <c r="W71" s="7">
        <v>384.501565135295</v>
      </c>
      <c r="X71" s="7">
        <v>0.0</v>
      </c>
      <c r="Y71" s="7">
        <v>731.051010484291</v>
      </c>
      <c r="Z71" s="7">
        <v>664.007078455532</v>
      </c>
    </row>
    <row r="72">
      <c r="A72" s="8">
        <v>42309.0</v>
      </c>
      <c r="B72" s="9">
        <f>IFERROR(__xludf.DUMMYFUNCTION("""COMPUTED_VALUE"""),28.0)</f>
        <v>28</v>
      </c>
      <c r="C72" s="12" t="s">
        <v>4</v>
      </c>
      <c r="D72" s="12">
        <v>-40.3</v>
      </c>
      <c r="E72" s="12">
        <v>126.0</v>
      </c>
      <c r="F72" s="12">
        <v>921.721834804171</v>
      </c>
      <c r="G72" s="13">
        <v>90.6481465643711</v>
      </c>
      <c r="H72" s="12">
        <v>565.0</v>
      </c>
      <c r="I72" s="12">
        <v>331.0</v>
      </c>
      <c r="J72" s="12">
        <v>800.644144788474</v>
      </c>
      <c r="K72" s="12">
        <v>729.0</v>
      </c>
      <c r="L72" s="12">
        <v>770.669613482606</v>
      </c>
      <c r="M72" s="12">
        <v>475.501488150119</v>
      </c>
      <c r="N72" s="12">
        <v>720.817395032963</v>
      </c>
      <c r="O72" s="12">
        <v>352.283364601866</v>
      </c>
      <c r="P72" s="12">
        <v>350.626580732464</v>
      </c>
      <c r="Q72" s="7">
        <v>1315.0329200097</v>
      </c>
      <c r="R72" s="7">
        <v>660.0</v>
      </c>
      <c r="S72" s="7">
        <v>1362.16015214998</v>
      </c>
      <c r="T72" s="7">
        <v>899.494789939032</v>
      </c>
      <c r="U72" s="7">
        <v>657.0</v>
      </c>
      <c r="V72" s="7">
        <v>657.0</v>
      </c>
      <c r="W72" s="7">
        <v>326.430202291195</v>
      </c>
      <c r="X72" s="7">
        <v>0.0</v>
      </c>
      <c r="Y72" s="7">
        <v>728.051010484291</v>
      </c>
      <c r="Z72" s="7">
        <v>652.205700839831</v>
      </c>
    </row>
    <row r="73">
      <c r="A73" s="8">
        <v>42339.0</v>
      </c>
      <c r="B73" s="9"/>
      <c r="C73" s="12" t="s">
        <v>5</v>
      </c>
      <c r="D73" s="12">
        <v>-76.7</v>
      </c>
      <c r="E73" s="12">
        <v>126.0</v>
      </c>
      <c r="F73" s="12">
        <v>1029.42440042397</v>
      </c>
      <c r="G73" s="13">
        <v>-283.133505279095</v>
      </c>
      <c r="H73" s="12">
        <v>566.0</v>
      </c>
      <c r="I73" s="12">
        <v>116.0</v>
      </c>
      <c r="J73" s="12">
        <v>372.909774477932</v>
      </c>
      <c r="K73" s="12">
        <v>729.0</v>
      </c>
      <c r="L73" s="12">
        <v>26.8498398515288</v>
      </c>
      <c r="M73" s="12">
        <v>136.293422952578</v>
      </c>
      <c r="N73" s="12">
        <v>908.61377512346</v>
      </c>
      <c r="O73" s="12">
        <v>494.75047038127</v>
      </c>
      <c r="P73" s="12">
        <v>88.9381061101865</v>
      </c>
      <c r="Q73" s="7">
        <v>227.363756259561</v>
      </c>
      <c r="R73" s="7">
        <v>663.0</v>
      </c>
      <c r="S73" s="7">
        <v>475.0</v>
      </c>
      <c r="T73" s="7">
        <v>1142.75478993903</v>
      </c>
      <c r="U73" s="7">
        <v>657.0</v>
      </c>
      <c r="V73" s="7">
        <v>657.0</v>
      </c>
      <c r="W73" s="7">
        <v>-80.3257864725476</v>
      </c>
      <c r="X73" s="7">
        <v>0.0</v>
      </c>
      <c r="Y73" s="7">
        <v>679.051010484291</v>
      </c>
      <c r="Z73" s="7">
        <v>459.449866450051</v>
      </c>
    </row>
    <row r="74">
      <c r="A74" s="8">
        <v>42370.0</v>
      </c>
      <c r="B74" s="9">
        <f>IFERROR(__xludf.DUMMYFUNCTION("""COMPUTED_VALUE"""),143.0)</f>
        <v>143</v>
      </c>
      <c r="C74" s="12" t="s">
        <v>6</v>
      </c>
      <c r="D74" s="12">
        <v>8.0</v>
      </c>
      <c r="E74" s="12">
        <v>883.441843538838</v>
      </c>
      <c r="F74" s="12">
        <v>903.842840843547</v>
      </c>
      <c r="G74" s="13">
        <v>791.687956698575</v>
      </c>
      <c r="H74" s="12">
        <v>2289.57920103801</v>
      </c>
      <c r="I74" s="12">
        <v>141.0</v>
      </c>
      <c r="J74" s="12">
        <v>928.2328616496</v>
      </c>
      <c r="K74" s="12">
        <v>707.0</v>
      </c>
      <c r="L74" s="12">
        <v>1514.32222669048</v>
      </c>
      <c r="M74" s="12">
        <v>-214.027585050933</v>
      </c>
      <c r="N74" s="12">
        <v>941.025539829343</v>
      </c>
      <c r="O74" s="12">
        <v>98.7661241021652</v>
      </c>
      <c r="P74" s="12">
        <v>3131.22040191036</v>
      </c>
      <c r="Q74" s="7">
        <v>850.462025754726</v>
      </c>
      <c r="R74" s="7">
        <v>650.0</v>
      </c>
      <c r="S74" s="7">
        <v>475.0</v>
      </c>
      <c r="T74" s="7">
        <v>1142.75478993903</v>
      </c>
      <c r="U74" s="7">
        <v>646.0</v>
      </c>
      <c r="V74" s="7">
        <v>646.0</v>
      </c>
      <c r="W74" s="7">
        <v>-260.485768282244</v>
      </c>
      <c r="X74" s="7">
        <v>0.0</v>
      </c>
      <c r="Y74" s="7">
        <v>651.051010484291</v>
      </c>
      <c r="Z74" s="7">
        <v>377.455595079106</v>
      </c>
    </row>
    <row r="75">
      <c r="A75" s="8">
        <v>42401.0</v>
      </c>
      <c r="B75" s="9">
        <f>IFERROR(__xludf.DUMMYFUNCTION("""COMPUTED_VALUE"""),112.0)</f>
        <v>112</v>
      </c>
      <c r="C75" s="12" t="s">
        <v>7</v>
      </c>
      <c r="D75" s="12">
        <v>0.0</v>
      </c>
      <c r="E75" s="12">
        <v>860.0</v>
      </c>
      <c r="F75" s="12">
        <v>796.209000984169</v>
      </c>
      <c r="G75" s="13">
        <v>114.986326196022</v>
      </c>
      <c r="H75" s="12">
        <v>571.0</v>
      </c>
      <c r="I75" s="12">
        <v>198.0</v>
      </c>
      <c r="J75" s="12">
        <v>551.355790681201</v>
      </c>
      <c r="K75" s="12">
        <v>699.0</v>
      </c>
      <c r="L75" s="12">
        <v>1514.80501019993</v>
      </c>
      <c r="M75" s="12">
        <v>1516.88806994617</v>
      </c>
      <c r="N75" s="12">
        <v>968.378481005813</v>
      </c>
      <c r="O75" s="12">
        <v>267.199579658921</v>
      </c>
      <c r="P75" s="12">
        <v>80.5422758130009</v>
      </c>
      <c r="Q75" s="7">
        <v>-108.391355989632</v>
      </c>
      <c r="R75" s="7">
        <v>709.0</v>
      </c>
      <c r="S75" s="7">
        <v>568.040383544482</v>
      </c>
      <c r="T75" s="7">
        <v>1116.62978993903</v>
      </c>
      <c r="U75" s="7">
        <v>703.0</v>
      </c>
      <c r="V75" s="7">
        <v>703.0</v>
      </c>
      <c r="W75" s="7">
        <v>143.018095165716</v>
      </c>
      <c r="X75" s="7">
        <v>0.0</v>
      </c>
      <c r="Y75" s="7">
        <v>794.051010484291</v>
      </c>
      <c r="Z75" s="7">
        <v>911.836008385251</v>
      </c>
    </row>
    <row r="76">
      <c r="A76" s="8">
        <v>42430.0</v>
      </c>
      <c r="B76" s="9">
        <f>IFERROR(__xludf.DUMMYFUNCTION("""COMPUTED_VALUE"""),66.0)</f>
        <v>66</v>
      </c>
      <c r="C76" s="12" t="s">
        <v>8</v>
      </c>
      <c r="D76" s="12">
        <v>35.6397670986202</v>
      </c>
      <c r="E76" s="12">
        <v>1548.0</v>
      </c>
      <c r="F76" s="12">
        <v>1359.35008566748</v>
      </c>
      <c r="G76" s="13">
        <v>0.0</v>
      </c>
      <c r="H76" s="12">
        <v>836.0</v>
      </c>
      <c r="I76" s="12">
        <v>1367.93563685987</v>
      </c>
      <c r="J76" s="12">
        <v>1362.6480268394</v>
      </c>
      <c r="K76" s="12">
        <v>699.0</v>
      </c>
      <c r="L76" s="12">
        <v>1202.15420713149</v>
      </c>
      <c r="M76" s="12">
        <v>1077.61158579197</v>
      </c>
      <c r="N76" s="12">
        <v>829.202010417578</v>
      </c>
      <c r="O76" s="12">
        <v>520.861527669687</v>
      </c>
      <c r="P76" s="12">
        <v>11.0221565963052</v>
      </c>
      <c r="Q76" s="7">
        <v>1377.10124527796</v>
      </c>
      <c r="R76" s="7">
        <v>978.0</v>
      </c>
      <c r="S76" s="7">
        <v>424.763141420353</v>
      </c>
      <c r="T76" s="7">
        <v>531.139789939032</v>
      </c>
      <c r="U76" s="7">
        <v>743.68136498068</v>
      </c>
      <c r="V76" s="7">
        <v>703.0</v>
      </c>
      <c r="W76" s="7">
        <v>445.415547947032</v>
      </c>
      <c r="X76" s="7">
        <v>0.0</v>
      </c>
      <c r="Y76" s="7">
        <v>763.051010484291</v>
      </c>
      <c r="Z76" s="7">
        <v>789.888439689675</v>
      </c>
    </row>
    <row r="77">
      <c r="A77" s="8">
        <v>42461.0</v>
      </c>
      <c r="B77" s="9">
        <f>IFERROR(__xludf.DUMMYFUNCTION("""COMPUTED_VALUE"""),183.0)</f>
        <v>183</v>
      </c>
      <c r="C77" s="12" t="s">
        <v>9</v>
      </c>
      <c r="D77" s="12">
        <v>219.0</v>
      </c>
      <c r="E77" s="12">
        <v>265.5</v>
      </c>
      <c r="F77" s="12">
        <v>1610.6313112326</v>
      </c>
      <c r="G77" s="13">
        <v>714.934041833751</v>
      </c>
      <c r="H77" s="12">
        <v>784.172090918466</v>
      </c>
      <c r="I77" s="12">
        <v>489.0</v>
      </c>
      <c r="J77" s="12">
        <v>2532.55185768487</v>
      </c>
      <c r="K77" s="12">
        <v>976.13828182237</v>
      </c>
      <c r="L77" s="12">
        <v>1215.56912071227</v>
      </c>
      <c r="M77" s="12">
        <v>690.245124180497</v>
      </c>
      <c r="N77" s="12">
        <v>599.496128064637</v>
      </c>
      <c r="O77" s="12">
        <v>388.943140443064</v>
      </c>
      <c r="P77" s="12">
        <v>722.495153007807</v>
      </c>
      <c r="Q77" s="7">
        <v>2982.1560510051</v>
      </c>
      <c r="R77" s="7">
        <v>651.0</v>
      </c>
      <c r="S77" s="7">
        <v>1361.58265214998</v>
      </c>
      <c r="T77" s="7">
        <v>1685.37536379516</v>
      </c>
      <c r="U77" s="7">
        <v>642.0</v>
      </c>
      <c r="V77" s="7">
        <v>642.0</v>
      </c>
      <c r="W77" s="7">
        <v>145.324245224285</v>
      </c>
      <c r="X77" s="7">
        <v>0.0</v>
      </c>
      <c r="Y77" s="7">
        <v>717.051010484291</v>
      </c>
      <c r="Z77" s="7">
        <v>608.933982915595</v>
      </c>
    </row>
    <row r="78">
      <c r="A78" s="8">
        <v>42491.0</v>
      </c>
      <c r="B78" s="9">
        <f>IFERROR(__xludf.DUMMYFUNCTION("""COMPUTED_VALUE"""),112.0)</f>
        <v>112</v>
      </c>
      <c r="C78" s="12" t="s">
        <v>10</v>
      </c>
      <c r="D78" s="12">
        <v>-8.3</v>
      </c>
      <c r="E78" s="12">
        <v>124.5</v>
      </c>
      <c r="F78" s="12">
        <v>803.81639484393</v>
      </c>
      <c r="G78" s="13">
        <v>-241.083090411147</v>
      </c>
      <c r="H78" s="12">
        <v>565.0</v>
      </c>
      <c r="I78" s="12">
        <v>415.365602730361</v>
      </c>
      <c r="J78" s="12">
        <v>539.065993932175</v>
      </c>
      <c r="K78" s="12">
        <v>730.219689889972</v>
      </c>
      <c r="L78" s="12">
        <v>348.310568652346</v>
      </c>
      <c r="M78" s="12">
        <v>494.11066102818</v>
      </c>
      <c r="N78" s="12">
        <v>591.378481005813</v>
      </c>
      <c r="O78" s="12">
        <v>1071.0</v>
      </c>
      <c r="P78" s="12">
        <v>3.65401919877511</v>
      </c>
      <c r="Q78" s="7">
        <v>1222.96480914494</v>
      </c>
      <c r="R78" s="7">
        <v>708.0</v>
      </c>
      <c r="S78" s="7">
        <v>1361.64408072141</v>
      </c>
      <c r="T78" s="7">
        <v>684.664789939032</v>
      </c>
      <c r="U78" s="7">
        <v>823.363767124838</v>
      </c>
      <c r="V78" s="7">
        <v>672.0</v>
      </c>
      <c r="W78" s="7">
        <v>343.678250527865</v>
      </c>
      <c r="X78" s="7">
        <v>0.0</v>
      </c>
      <c r="Y78" s="7">
        <v>834.051010484291</v>
      </c>
      <c r="Z78" s="7">
        <v>1069.18770992793</v>
      </c>
    </row>
    <row r="79">
      <c r="A79" s="8">
        <v>42522.0</v>
      </c>
      <c r="B79" s="9">
        <f>IFERROR(__xludf.DUMMYFUNCTION("""COMPUTED_VALUE"""),208.0)</f>
        <v>208</v>
      </c>
      <c r="C79" s="12" t="s">
        <v>11</v>
      </c>
      <c r="D79" s="12">
        <v>-16.0</v>
      </c>
      <c r="E79" s="12">
        <v>212.930230442355</v>
      </c>
      <c r="F79" s="12">
        <v>1236.78298662856</v>
      </c>
      <c r="G79" s="13">
        <v>381.723023401791</v>
      </c>
      <c r="H79" s="12">
        <v>565.0</v>
      </c>
      <c r="I79" s="12">
        <v>601.584278498229</v>
      </c>
      <c r="J79" s="12">
        <v>937.766845854666</v>
      </c>
      <c r="K79" s="12">
        <v>1216.161777419</v>
      </c>
      <c r="L79" s="12">
        <v>409.441052281404</v>
      </c>
      <c r="M79" s="12">
        <v>576.23613056773</v>
      </c>
      <c r="N79" s="12">
        <v>689.025539829343</v>
      </c>
      <c r="O79" s="12">
        <v>933.202005329338</v>
      </c>
      <c r="P79" s="12">
        <v>291.311872702347</v>
      </c>
      <c r="Q79" s="7">
        <v>1192.21389027535</v>
      </c>
      <c r="R79" s="7">
        <v>707.0</v>
      </c>
      <c r="S79" s="7">
        <v>1064.1542730291</v>
      </c>
      <c r="T79" s="7">
        <v>829.142289939032</v>
      </c>
      <c r="U79" s="7">
        <v>703.0</v>
      </c>
      <c r="V79" s="7">
        <v>703.0</v>
      </c>
      <c r="W79" s="7">
        <v>163.187829747682</v>
      </c>
      <c r="X79" s="7">
        <v>0.0</v>
      </c>
      <c r="Y79" s="7">
        <v>763.051010484291</v>
      </c>
      <c r="Z79" s="7">
        <v>789.888439689675</v>
      </c>
    </row>
    <row r="80">
      <c r="A80" s="8">
        <v>42552.0</v>
      </c>
      <c r="B80" s="9">
        <f>IFERROR(__xludf.DUMMYFUNCTION("""COMPUTED_VALUE"""),163.0)</f>
        <v>163</v>
      </c>
      <c r="C80" s="12" t="s">
        <v>12</v>
      </c>
      <c r="D80" s="12">
        <v>51216.5</v>
      </c>
      <c r="E80" s="12">
        <v>78.0</v>
      </c>
      <c r="F80" s="12">
        <v>783.527781152895</v>
      </c>
      <c r="G80" s="13">
        <v>304.367403715547</v>
      </c>
      <c r="H80" s="12">
        <v>1087.52149947569</v>
      </c>
      <c r="I80" s="12">
        <v>1002.97484387306</v>
      </c>
      <c r="J80" s="12">
        <v>800.188041978636</v>
      </c>
      <c r="K80" s="12">
        <v>699.0</v>
      </c>
      <c r="L80" s="12">
        <v>1214.15710604657</v>
      </c>
      <c r="M80" s="12">
        <v>1296.60208646676</v>
      </c>
      <c r="N80" s="12">
        <v>701.731422182284</v>
      </c>
      <c r="O80" s="12">
        <v>429.07440245888</v>
      </c>
      <c r="P80" s="12">
        <v>19.9648877933074</v>
      </c>
      <c r="Q80" s="7">
        <v>680.142771742993</v>
      </c>
      <c r="R80" s="7">
        <v>736.0</v>
      </c>
      <c r="S80" s="7">
        <v>1033.18208896317</v>
      </c>
      <c r="T80" s="7">
        <v>829.142289939032</v>
      </c>
      <c r="U80" s="7">
        <v>946.935658388733</v>
      </c>
      <c r="V80" s="7">
        <v>703.0</v>
      </c>
      <c r="W80" s="7">
        <v>-265.819230753896</v>
      </c>
      <c r="X80" s="7">
        <v>0.0</v>
      </c>
      <c r="Y80" s="7">
        <v>859.051010484291</v>
      </c>
      <c r="Z80" s="7">
        <v>1167.5325233921</v>
      </c>
    </row>
    <row r="81">
      <c r="A81" s="8">
        <v>42583.0</v>
      </c>
      <c r="B81" s="9">
        <f>IFERROR(__xludf.DUMMYFUNCTION("""COMPUTED_VALUE"""),79.0)</f>
        <v>79</v>
      </c>
      <c r="C81" s="12" t="s">
        <v>13</v>
      </c>
      <c r="D81" s="12">
        <v>-0.5</v>
      </c>
      <c r="E81" s="12">
        <v>0.0</v>
      </c>
      <c r="F81" s="12">
        <v>730.679391917382</v>
      </c>
      <c r="G81" s="13">
        <v>698.163608776764</v>
      </c>
      <c r="H81" s="12">
        <v>867.061043591801</v>
      </c>
      <c r="I81" s="12">
        <v>665.36009399668</v>
      </c>
      <c r="J81" s="12">
        <v>1831.18239137332</v>
      </c>
      <c r="K81" s="12">
        <v>1393.8230354799</v>
      </c>
      <c r="L81" s="12">
        <v>1442.3415097569</v>
      </c>
      <c r="M81" s="12">
        <v>1019.80278557804</v>
      </c>
      <c r="N81" s="12">
        <v>838.971241186809</v>
      </c>
      <c r="O81" s="12">
        <v>1121.35070649668</v>
      </c>
      <c r="P81" s="12">
        <v>651.48998750161</v>
      </c>
      <c r="Q81" s="7">
        <v>2061.76869700197</v>
      </c>
      <c r="R81" s="7">
        <v>1525.0</v>
      </c>
      <c r="S81" s="7">
        <v>1070.96658072141</v>
      </c>
      <c r="T81" s="7">
        <v>645.222289939032</v>
      </c>
      <c r="U81" s="7">
        <v>740.865518295825</v>
      </c>
      <c r="V81" s="7">
        <v>703.0</v>
      </c>
      <c r="W81" s="7">
        <v>529.829410637551</v>
      </c>
      <c r="X81" s="7">
        <v>0.0</v>
      </c>
      <c r="Y81" s="7">
        <v>814.051010484291</v>
      </c>
      <c r="Z81" s="7">
        <v>536.10489482131</v>
      </c>
    </row>
    <row r="82">
      <c r="A82" s="8">
        <v>42614.0</v>
      </c>
      <c r="B82" s="9">
        <f>IFERROR(__xludf.DUMMYFUNCTION("""COMPUTED_VALUE"""),75.0)</f>
        <v>75</v>
      </c>
      <c r="C82" s="12" t="s">
        <v>14</v>
      </c>
      <c r="D82" s="12">
        <v>26.5</v>
      </c>
      <c r="E82" s="12">
        <v>278.930230442355</v>
      </c>
      <c r="F82" s="12">
        <v>679.248841034781</v>
      </c>
      <c r="G82" s="13">
        <v>331.233744393907</v>
      </c>
      <c r="H82" s="12">
        <v>565.0</v>
      </c>
      <c r="I82" s="12">
        <v>205.942771242995</v>
      </c>
      <c r="J82" s="12">
        <v>586.889268033596</v>
      </c>
      <c r="K82" s="12">
        <v>1053.71232514376</v>
      </c>
      <c r="L82" s="12">
        <v>155.902290435642</v>
      </c>
      <c r="M82" s="12">
        <v>559.59261048326</v>
      </c>
      <c r="N82" s="12">
        <v>872.202010417578</v>
      </c>
      <c r="O82" s="12">
        <v>826.796972423814</v>
      </c>
      <c r="P82" s="12">
        <v>3.49375519882883</v>
      </c>
      <c r="Q82" s="7">
        <v>476.91475507807</v>
      </c>
      <c r="R82" s="7">
        <v>718.0</v>
      </c>
      <c r="S82" s="7">
        <v>1098.04971258954</v>
      </c>
      <c r="T82" s="7">
        <v>1037.14205964729</v>
      </c>
      <c r="U82" s="7">
        <v>703.0</v>
      </c>
      <c r="V82" s="7">
        <v>703.0</v>
      </c>
      <c r="W82" s="7">
        <v>357.957728490863</v>
      </c>
      <c r="X82" s="7">
        <v>0.0</v>
      </c>
      <c r="Y82" s="7">
        <v>730.051010484291</v>
      </c>
      <c r="Z82" s="7">
        <v>660.073285916965</v>
      </c>
    </row>
    <row r="83">
      <c r="A83" s="8">
        <v>42644.0</v>
      </c>
      <c r="B83" s="9">
        <f>IFERROR(__xludf.DUMMYFUNCTION("""COMPUTED_VALUE"""),58.0)</f>
        <v>58</v>
      </c>
      <c r="C83" s="12" t="s">
        <v>15</v>
      </c>
      <c r="D83" s="12">
        <v>88.0</v>
      </c>
      <c r="E83" s="12">
        <v>0.0</v>
      </c>
      <c r="F83" s="12">
        <v>664.959610154438</v>
      </c>
      <c r="G83" s="13">
        <v>279.073548435317</v>
      </c>
      <c r="H83" s="12">
        <v>565.0</v>
      </c>
      <c r="I83" s="12">
        <v>428.024583127307</v>
      </c>
      <c r="J83" s="12">
        <v>306.925558043801</v>
      </c>
      <c r="K83" s="12">
        <v>1023.30402903317</v>
      </c>
      <c r="L83" s="12">
        <v>295.180378150682</v>
      </c>
      <c r="M83" s="12">
        <v>424.215100044827</v>
      </c>
      <c r="N83" s="12">
        <v>861.663548879117</v>
      </c>
      <c r="O83" s="12">
        <v>395.641224984489</v>
      </c>
      <c r="P83" s="12">
        <v>0.385635249870729</v>
      </c>
      <c r="Q83" s="7">
        <v>539.744714123182</v>
      </c>
      <c r="R83" s="7">
        <v>777.0</v>
      </c>
      <c r="S83" s="7">
        <v>1131.95121136854</v>
      </c>
      <c r="T83" s="7">
        <v>707.294789939032</v>
      </c>
      <c r="U83" s="7">
        <v>866.987351368298</v>
      </c>
      <c r="V83" s="7">
        <v>703.0</v>
      </c>
      <c r="W83" s="7">
        <v>866.317732890872</v>
      </c>
      <c r="X83" s="7">
        <v>0.0</v>
      </c>
      <c r="Y83" s="7">
        <v>726.051010484291</v>
      </c>
      <c r="Z83" s="7">
        <v>435.707673603906</v>
      </c>
    </row>
    <row r="84">
      <c r="A84" s="8">
        <v>42675.0</v>
      </c>
      <c r="B84" s="9">
        <f>IFERROR(__xludf.DUMMYFUNCTION("""COMPUTED_VALUE"""),464.0)</f>
        <v>464</v>
      </c>
      <c r="C84" s="12" t="s">
        <v>16</v>
      </c>
      <c r="D84" s="12">
        <v>121.0</v>
      </c>
      <c r="E84" s="12">
        <v>348672.0</v>
      </c>
      <c r="F84" s="12">
        <v>786.246704580668</v>
      </c>
      <c r="G84" s="13">
        <v>2917.17838311134</v>
      </c>
      <c r="H84" s="12">
        <v>565.0</v>
      </c>
      <c r="I84" s="12">
        <v>540.92567761845</v>
      </c>
      <c r="J84" s="12">
        <v>1074.40596997198</v>
      </c>
      <c r="K84" s="12">
        <v>699.0</v>
      </c>
      <c r="L84" s="12">
        <v>1518.8534389062</v>
      </c>
      <c r="M84" s="12">
        <v>304.783433836268</v>
      </c>
      <c r="N84" s="12">
        <v>784.740471956039</v>
      </c>
      <c r="O84" s="12">
        <v>490.952358144365</v>
      </c>
      <c r="P84" s="12">
        <v>437.634907953297</v>
      </c>
      <c r="Q84" s="7">
        <v>341.820605437991</v>
      </c>
      <c r="R84" s="7">
        <v>720.0</v>
      </c>
      <c r="S84" s="7">
        <v>1149.59169610602</v>
      </c>
      <c r="T84" s="7">
        <v>1040.17035644238</v>
      </c>
      <c r="U84" s="7">
        <v>672.0</v>
      </c>
      <c r="V84" s="7">
        <v>672.0</v>
      </c>
      <c r="W84" s="7">
        <v>236.297326467019</v>
      </c>
      <c r="X84" s="7">
        <v>0.0</v>
      </c>
      <c r="Y84" s="7">
        <v>709.051010484291</v>
      </c>
      <c r="Z84" s="7">
        <v>577.463642607059</v>
      </c>
    </row>
    <row r="85">
      <c r="A85" s="8">
        <v>42705.0</v>
      </c>
      <c r="B85" s="9">
        <f>IFERROR(__xludf.DUMMYFUNCTION("""COMPUTED_VALUE"""),395.0)</f>
        <v>395</v>
      </c>
      <c r="C85" s="12" t="s">
        <v>17</v>
      </c>
      <c r="D85" s="12">
        <v>17630.5</v>
      </c>
      <c r="E85" s="12">
        <v>0.0</v>
      </c>
      <c r="F85" s="12">
        <v>875.494918165739</v>
      </c>
      <c r="G85" s="13">
        <v>8281.00767359212</v>
      </c>
      <c r="H85" s="12">
        <v>2060.71280066262</v>
      </c>
      <c r="I85" s="12">
        <v>1605.4054209476</v>
      </c>
      <c r="J85" s="12">
        <v>2798.92608285459</v>
      </c>
      <c r="K85" s="12">
        <v>3259.98674978192</v>
      </c>
      <c r="L85" s="12">
        <v>5617.62309765229</v>
      </c>
      <c r="M85" s="12">
        <v>2284.85943428295</v>
      </c>
      <c r="N85" s="12">
        <v>1983.41322495461</v>
      </c>
      <c r="O85" s="12">
        <v>575.675868832264</v>
      </c>
      <c r="P85" s="12">
        <v>1208.71228957482</v>
      </c>
      <c r="Q85" s="7">
        <v>1648.66503851175</v>
      </c>
      <c r="R85" s="7">
        <v>634.5</v>
      </c>
      <c r="S85" s="7">
        <v>2669.34218922406</v>
      </c>
      <c r="T85" s="7">
        <v>670.114967851678</v>
      </c>
      <c r="U85" s="7">
        <v>2273.57040121806</v>
      </c>
      <c r="V85" s="7">
        <v>634.5</v>
      </c>
      <c r="W85" s="7">
        <v>2295.29235535765</v>
      </c>
      <c r="X85" s="7">
        <v>0.0</v>
      </c>
      <c r="Y85" s="7">
        <v>1115.05101048429</v>
      </c>
      <c r="Z85" s="7">
        <v>879.509026485383</v>
      </c>
    </row>
    <row r="86">
      <c r="A86" s="8">
        <v>42736.0</v>
      </c>
      <c r="B86" s="9">
        <f>IFERROR(__xludf.DUMMYFUNCTION("""COMPUTED_VALUE"""),5488.0)</f>
        <v>5488</v>
      </c>
      <c r="C86" s="12" t="s">
        <v>18</v>
      </c>
      <c r="D86" s="12">
        <v>6176.0</v>
      </c>
      <c r="E86" s="12">
        <v>4240.0</v>
      </c>
      <c r="F86" s="12">
        <v>10249.5170654142</v>
      </c>
      <c r="G86" s="13">
        <v>13730.2340069348</v>
      </c>
      <c r="H86" s="12">
        <v>9513.0</v>
      </c>
      <c r="I86" s="12">
        <v>1469.06280447048</v>
      </c>
      <c r="J86" s="12">
        <v>9896.63077964223</v>
      </c>
      <c r="K86" s="12">
        <v>9099.99788935012</v>
      </c>
      <c r="L86" s="12">
        <v>8841.82251657866</v>
      </c>
      <c r="M86" s="12">
        <v>5565.40627828805</v>
      </c>
      <c r="N86" s="12">
        <v>9722.40963109026</v>
      </c>
      <c r="O86" s="12">
        <v>9336.76750897364</v>
      </c>
      <c r="P86" s="12">
        <v>1423.32221256288</v>
      </c>
      <c r="Q86" s="7">
        <v>9307.52239456032</v>
      </c>
      <c r="R86" s="7">
        <v>10054.5</v>
      </c>
      <c r="S86" s="7">
        <v>10310.5684854833</v>
      </c>
      <c r="T86" s="7">
        <v>8811.22386653831</v>
      </c>
      <c r="U86" s="7">
        <v>10759.2992306709</v>
      </c>
      <c r="V86" s="7">
        <v>10874.3751757375</v>
      </c>
      <c r="W86" s="7">
        <v>10724.6062017767</v>
      </c>
      <c r="X86" s="7">
        <v>0.0</v>
      </c>
      <c r="Y86" s="7">
        <v>1046.05101048429</v>
      </c>
      <c r="Z86" s="7">
        <v>800.788478030828</v>
      </c>
    </row>
    <row r="87">
      <c r="A87" s="8">
        <v>42767.0</v>
      </c>
      <c r="B87" s="9">
        <f>IFERROR(__xludf.DUMMYFUNCTION("""COMPUTED_VALUE"""),1384.0)</f>
        <v>1384</v>
      </c>
      <c r="C87" s="12" t="s">
        <v>19</v>
      </c>
      <c r="D87" s="12">
        <v>23.0</v>
      </c>
      <c r="E87" s="12">
        <v>0.0</v>
      </c>
      <c r="F87" s="12">
        <v>27260.8707194075</v>
      </c>
      <c r="G87" s="13">
        <v>26417.0146530347</v>
      </c>
      <c r="H87" s="12">
        <v>26787.6012912338</v>
      </c>
      <c r="I87" s="12">
        <v>26645.1054960354</v>
      </c>
      <c r="J87" s="12">
        <v>26786.6400642869</v>
      </c>
      <c r="K87" s="12">
        <v>27135.0003992038</v>
      </c>
      <c r="L87" s="12">
        <v>3794.93577215917</v>
      </c>
      <c r="M87" s="12">
        <v>26603.8854080824</v>
      </c>
      <c r="N87" s="12">
        <v>26873.7250393953</v>
      </c>
      <c r="O87" s="12">
        <v>18501.8494039454</v>
      </c>
      <c r="P87" s="12">
        <v>414.460959821409</v>
      </c>
      <c r="Q87" s="7">
        <v>26786.9675556467</v>
      </c>
      <c r="R87" s="7">
        <v>741.5</v>
      </c>
      <c r="S87" s="7">
        <v>26331.2311847135</v>
      </c>
      <c r="T87" s="7">
        <v>27090.048476183</v>
      </c>
      <c r="U87" s="7">
        <v>26595.7812898295</v>
      </c>
      <c r="V87" s="7">
        <v>26960.9996912853</v>
      </c>
      <c r="W87" s="7">
        <v>26738.8399152961</v>
      </c>
      <c r="X87" s="7">
        <v>0.0</v>
      </c>
      <c r="Y87" s="7">
        <v>27626.9601558261</v>
      </c>
      <c r="Z87" s="7">
        <v>21937.9571270256</v>
      </c>
    </row>
    <row r="88">
      <c r="A88" s="8">
        <v>42795.0</v>
      </c>
      <c r="B88" s="9">
        <f>IFERROR(__xludf.DUMMYFUNCTION("""COMPUTED_VALUE"""),1112.0)</f>
        <v>1112</v>
      </c>
      <c r="C88" s="12" t="s">
        <v>20</v>
      </c>
      <c r="D88" s="12">
        <v>249.0</v>
      </c>
      <c r="E88" s="12">
        <v>24.0</v>
      </c>
      <c r="F88" s="12">
        <v>68351.6167674977</v>
      </c>
      <c r="G88" s="13">
        <v>220039.99084565</v>
      </c>
      <c r="H88" s="12">
        <v>71866.4919010489</v>
      </c>
      <c r="I88" s="12">
        <v>71730.6317174585</v>
      </c>
      <c r="J88" s="12">
        <v>71880.7331323887</v>
      </c>
      <c r="K88" s="12">
        <v>71639.5952629544</v>
      </c>
      <c r="L88" s="12">
        <v>11519.9394082043</v>
      </c>
      <c r="M88" s="12">
        <v>71868.2450846516</v>
      </c>
      <c r="N88" s="12">
        <v>71479.5491441171</v>
      </c>
      <c r="O88" s="12">
        <v>67433.6159178506</v>
      </c>
      <c r="P88" s="12">
        <v>61399.2699513302</v>
      </c>
      <c r="Q88" s="7">
        <v>71879.9414808807</v>
      </c>
      <c r="R88" s="7">
        <v>21913.8</v>
      </c>
      <c r="S88" s="7">
        <v>71871.4396776152</v>
      </c>
      <c r="T88" s="7">
        <v>71362.6155679585</v>
      </c>
      <c r="U88" s="7">
        <v>72306.2408132268</v>
      </c>
      <c r="V88" s="7">
        <v>71882.0314183043</v>
      </c>
      <c r="W88" s="7">
        <v>71838.0828664476</v>
      </c>
      <c r="X88" s="7">
        <v>0.0</v>
      </c>
      <c r="Y88" s="7">
        <v>71805.9927520102</v>
      </c>
      <c r="Z88" s="7">
        <v>1929.11633921278</v>
      </c>
    </row>
    <row r="89">
      <c r="A89" s="8">
        <v>42826.0</v>
      </c>
      <c r="B89" s="9">
        <f>IFERROR(__xludf.DUMMYFUNCTION("""COMPUTED_VALUE"""),1775.0)</f>
        <v>1775</v>
      </c>
      <c r="C89" s="12" t="s">
        <v>21</v>
      </c>
      <c r="D89" s="12">
        <v>9595.0</v>
      </c>
      <c r="E89" s="12">
        <v>762.293292348582</v>
      </c>
      <c r="F89" s="12">
        <v>222366.394605928</v>
      </c>
      <c r="G89" s="13">
        <v>159787.478010045</v>
      </c>
      <c r="H89" s="12">
        <v>56990.0514780074</v>
      </c>
      <c r="I89" s="12">
        <v>56915.3744880642</v>
      </c>
      <c r="J89" s="12">
        <v>54912.5493374098</v>
      </c>
      <c r="K89" s="12">
        <v>57259.8274204582</v>
      </c>
      <c r="L89" s="12">
        <v>7928.44316230501</v>
      </c>
      <c r="M89" s="12">
        <v>57088.7679702304</v>
      </c>
      <c r="N89" s="12">
        <v>56915.2781725019</v>
      </c>
      <c r="O89" s="12">
        <v>3731.48165550782</v>
      </c>
      <c r="P89" s="12">
        <v>48933.454915938</v>
      </c>
      <c r="Q89" s="7">
        <v>57973.7560000062</v>
      </c>
      <c r="R89" s="7">
        <v>9058.6</v>
      </c>
      <c r="S89" s="7">
        <v>43104.3294492855</v>
      </c>
      <c r="T89" s="7">
        <v>55526.7520977845</v>
      </c>
      <c r="U89" s="7">
        <v>59352.6729756348</v>
      </c>
      <c r="V89" s="7">
        <v>57219.3634003963</v>
      </c>
      <c r="W89" s="7">
        <v>57044.0452112002</v>
      </c>
      <c r="X89" s="7">
        <v>0.0</v>
      </c>
      <c r="Y89" s="7">
        <v>59174.630513821</v>
      </c>
      <c r="Z89" s="7">
        <v>41227.1979108935</v>
      </c>
    </row>
    <row r="90">
      <c r="A90" s="8">
        <v>42856.0</v>
      </c>
      <c r="B90" s="9">
        <f>IFERROR(__xludf.DUMMYFUNCTION("""COMPUTED_VALUE"""),1138.0)</f>
        <v>1138</v>
      </c>
      <c r="C90" s="12" t="s">
        <v>22</v>
      </c>
      <c r="D90" s="12">
        <v>34597.7306337833</v>
      </c>
      <c r="E90" s="12">
        <v>124.000155368116</v>
      </c>
      <c r="F90" s="12">
        <v>48153.1710886968</v>
      </c>
      <c r="G90" s="13">
        <v>14707.6803322395</v>
      </c>
      <c r="H90" s="12">
        <v>11544.0822596818</v>
      </c>
      <c r="I90" s="12">
        <v>12247.1286356763</v>
      </c>
      <c r="J90" s="12">
        <v>11552.5295140623</v>
      </c>
      <c r="K90" s="12">
        <v>11898.3732606246</v>
      </c>
      <c r="L90" s="12">
        <v>3452.68797446522</v>
      </c>
      <c r="M90" s="12">
        <v>15582.9421654973</v>
      </c>
      <c r="N90" s="12">
        <v>13703.269679743</v>
      </c>
      <c r="O90" s="12">
        <v>5674.12506744323</v>
      </c>
      <c r="P90" s="12">
        <v>1937.92205539274</v>
      </c>
      <c r="Q90" s="7">
        <v>11465.5773456511</v>
      </c>
      <c r="R90" s="7">
        <v>6577.73333333333</v>
      </c>
      <c r="S90" s="7">
        <v>9517.64876654266</v>
      </c>
      <c r="T90" s="7">
        <v>13494.0561225575</v>
      </c>
      <c r="U90" s="7">
        <v>12699.6430711121</v>
      </c>
      <c r="V90" s="7">
        <v>11889.4954079029</v>
      </c>
      <c r="W90" s="7">
        <v>11638.5343986837</v>
      </c>
      <c r="X90" s="7">
        <v>0.0</v>
      </c>
      <c r="Y90" s="7">
        <v>8990.36568800681</v>
      </c>
      <c r="Z90" s="7">
        <v>11869.0553038449</v>
      </c>
    </row>
    <row r="91">
      <c r="A91" s="8">
        <v>42887.0</v>
      </c>
      <c r="B91" s="9">
        <f>IFERROR(__xludf.DUMMYFUNCTION("""COMPUTED_VALUE"""),629.0)</f>
        <v>629</v>
      </c>
      <c r="C91" s="12" t="s">
        <v>23</v>
      </c>
      <c r="D91" s="12">
        <v>68504.5899543876</v>
      </c>
      <c r="E91" s="12">
        <v>68.8428535160197</v>
      </c>
      <c r="F91" s="12">
        <v>34103.1224799026</v>
      </c>
      <c r="G91" s="13">
        <v>101637.919986759</v>
      </c>
      <c r="H91" s="12">
        <v>35870.8735702781</v>
      </c>
      <c r="I91" s="12">
        <v>36314.3170193147</v>
      </c>
      <c r="J91" s="12">
        <v>37051.0370564378</v>
      </c>
      <c r="K91" s="12">
        <v>35914.0231891834</v>
      </c>
      <c r="L91" s="12">
        <v>1961.57527929064</v>
      </c>
      <c r="M91" s="12">
        <v>36325.995907789</v>
      </c>
      <c r="N91" s="12">
        <v>35502.859702126</v>
      </c>
      <c r="O91" s="12">
        <v>22491.5318946206</v>
      </c>
      <c r="P91" s="12">
        <v>34243.2289381523</v>
      </c>
      <c r="Q91" s="7">
        <v>35786.9326931624</v>
      </c>
      <c r="R91" s="7">
        <v>1217.5</v>
      </c>
      <c r="S91" s="7">
        <v>36858.3164058949</v>
      </c>
      <c r="T91" s="7">
        <v>34438.3033678888</v>
      </c>
      <c r="U91" s="7">
        <v>34351.646643155</v>
      </c>
      <c r="V91" s="7">
        <v>35952.9336320419</v>
      </c>
      <c r="W91" s="7">
        <v>36204.7773801141</v>
      </c>
      <c r="X91" s="7">
        <v>0.0</v>
      </c>
      <c r="Y91" s="7">
        <v>32093.1898423647</v>
      </c>
      <c r="Z91" s="7">
        <v>24290.4708477835</v>
      </c>
    </row>
    <row r="92">
      <c r="A92" s="8">
        <v>42917.0</v>
      </c>
      <c r="B92" s="9">
        <f>IFERROR(__xludf.DUMMYFUNCTION("""COMPUTED_VALUE"""),2189.0)</f>
        <v>2189</v>
      </c>
      <c r="C92" s="12" t="s">
        <v>24</v>
      </c>
      <c r="D92" s="12">
        <v>17141.9626104842</v>
      </c>
      <c r="E92" s="12">
        <v>126.52105726198</v>
      </c>
      <c r="F92" s="12">
        <v>15866.1691893534</v>
      </c>
      <c r="G92" s="13">
        <v>2836.16467101974</v>
      </c>
      <c r="H92" s="12">
        <v>2890.99087837786</v>
      </c>
      <c r="I92" s="12">
        <v>674.415287816856</v>
      </c>
      <c r="J92" s="12">
        <v>2842.86388845657</v>
      </c>
      <c r="K92" s="12">
        <v>31140.149847446</v>
      </c>
      <c r="L92" s="12">
        <v>15137.4331790933</v>
      </c>
      <c r="M92" s="12">
        <v>4408.58292389779</v>
      </c>
      <c r="N92" s="12">
        <v>3174.72609781569</v>
      </c>
      <c r="O92" s="12">
        <v>17411.3782097405</v>
      </c>
      <c r="P92" s="12">
        <v>638.13225426828</v>
      </c>
      <c r="Q92" s="7">
        <v>2552.32048522438</v>
      </c>
      <c r="R92" s="7">
        <v>1105.5</v>
      </c>
      <c r="S92" s="7">
        <v>2862.44322510425</v>
      </c>
      <c r="T92" s="7">
        <v>2624.4795809481</v>
      </c>
      <c r="U92" s="7">
        <v>31275.9033106046</v>
      </c>
      <c r="V92" s="7">
        <v>740.5</v>
      </c>
      <c r="W92" s="7">
        <v>31610.5627169193</v>
      </c>
      <c r="X92" s="7">
        <v>0.0</v>
      </c>
      <c r="Y92" s="7">
        <v>1280.05101048429</v>
      </c>
      <c r="Z92" s="7">
        <v>2823.65918212879</v>
      </c>
    </row>
    <row r="93">
      <c r="A93" s="8">
        <v>42948.0</v>
      </c>
      <c r="B93" s="9">
        <f>IFERROR(__xludf.DUMMYFUNCTION("""COMPUTED_VALUE"""),1428.0)</f>
        <v>1428</v>
      </c>
      <c r="C93" s="12" t="s">
        <v>25</v>
      </c>
      <c r="D93" s="12">
        <v>2098.36626864056</v>
      </c>
      <c r="E93" s="12">
        <v>539.109220453159</v>
      </c>
      <c r="F93" s="12">
        <v>16084.8088709305</v>
      </c>
      <c r="G93" s="13">
        <v>15055.2149776786</v>
      </c>
      <c r="H93" s="12">
        <v>14922.7347946072</v>
      </c>
      <c r="I93" s="12">
        <v>955.550230839545</v>
      </c>
      <c r="J93" s="12">
        <v>15807.7808501323</v>
      </c>
      <c r="K93" s="12">
        <v>23534.4937148473</v>
      </c>
      <c r="L93" s="12">
        <v>14024.681967846</v>
      </c>
      <c r="M93" s="12">
        <v>12101.359849973</v>
      </c>
      <c r="N93" s="12">
        <v>21430.0474070176</v>
      </c>
      <c r="O93" s="12">
        <v>51261.5493764811</v>
      </c>
      <c r="P93" s="12">
        <v>2412.44283076286</v>
      </c>
      <c r="Q93" s="7">
        <v>18816.471341205</v>
      </c>
      <c r="R93" s="7">
        <v>30845.0</v>
      </c>
      <c r="S93" s="7">
        <v>10374.63991328</v>
      </c>
      <c r="T93" s="7">
        <v>13309.2572932711</v>
      </c>
      <c r="U93" s="7">
        <v>25148.4461252155</v>
      </c>
      <c r="V93" s="7">
        <v>24188.0142728695</v>
      </c>
      <c r="W93" s="7">
        <v>24178.5624685998</v>
      </c>
      <c r="X93" s="7">
        <v>0.0</v>
      </c>
      <c r="Y93" s="7">
        <v>2840.05101048429</v>
      </c>
      <c r="Z93" s="7">
        <v>9026.54643809562</v>
      </c>
    </row>
    <row r="94">
      <c r="A94" s="14">
        <v>42979.0</v>
      </c>
      <c r="B94" s="9">
        <f>IFERROR(__xludf.DUMMYFUNCTION("""COMPUTED_VALUE"""),386.0)</f>
        <v>386</v>
      </c>
      <c r="C94" s="12" t="s">
        <v>3</v>
      </c>
      <c r="D94" s="12">
        <v>475479.320090692</v>
      </c>
      <c r="E94" s="12">
        <v>160.854996600615</v>
      </c>
      <c r="F94" s="12">
        <v>36472.5346624834</v>
      </c>
      <c r="G94" s="13">
        <v>9938.01292152989</v>
      </c>
      <c r="H94" s="12">
        <v>8736.02755442733</v>
      </c>
      <c r="I94" s="12">
        <v>8586.96832498147</v>
      </c>
      <c r="J94" s="12">
        <v>8460.28807092021</v>
      </c>
      <c r="K94" s="12">
        <v>14300.0283788152</v>
      </c>
      <c r="L94" s="12">
        <v>12088.8916658121</v>
      </c>
      <c r="M94" s="12">
        <v>20825.7418179042</v>
      </c>
      <c r="N94" s="12">
        <v>15068.6159687663</v>
      </c>
      <c r="O94" s="12">
        <v>16276.1552605142</v>
      </c>
      <c r="P94" s="12">
        <v>2391.91597846656</v>
      </c>
      <c r="Q94" s="7">
        <v>8016.560310987</v>
      </c>
      <c r="R94" s="7">
        <v>3806.0</v>
      </c>
      <c r="S94" s="7">
        <v>8619.10664625343</v>
      </c>
      <c r="T94" s="7">
        <v>7291.02135052949</v>
      </c>
      <c r="U94" s="7">
        <v>12012.1406636542</v>
      </c>
      <c r="V94" s="7">
        <v>14376.8116713576</v>
      </c>
      <c r="W94" s="7">
        <v>13882.6920988095</v>
      </c>
      <c r="X94" s="7">
        <v>0.0</v>
      </c>
      <c r="Y94" s="7">
        <v>9811.50372316608</v>
      </c>
      <c r="Z94" s="7">
        <v>11243.3179219266</v>
      </c>
    </row>
    <row r="95">
      <c r="A95" s="14">
        <v>43009.0</v>
      </c>
      <c r="B95" s="9">
        <f>IFERROR(__xludf.DUMMYFUNCTION("""COMPUTED_VALUE"""),472.0)</f>
        <v>472</v>
      </c>
      <c r="C95" s="12" t="s">
        <v>4</v>
      </c>
      <c r="D95" s="12">
        <v>19193.3346196744</v>
      </c>
      <c r="E95" s="12">
        <v>1702.58856104035</v>
      </c>
      <c r="F95" s="12">
        <v>26137.8608829348</v>
      </c>
      <c r="G95" s="13">
        <v>2267.71772760803</v>
      </c>
      <c r="H95" s="12">
        <v>7025.02642703642</v>
      </c>
      <c r="I95" s="12">
        <v>5002.63073047453</v>
      </c>
      <c r="J95" s="12">
        <v>2479.93188081644</v>
      </c>
      <c r="K95" s="12">
        <v>2905.09512516388</v>
      </c>
      <c r="L95" s="12">
        <v>6459.78301053584</v>
      </c>
      <c r="M95" s="12">
        <v>9062.57520771379</v>
      </c>
      <c r="N95" s="12">
        <v>6908.21834654666</v>
      </c>
      <c r="O95" s="12">
        <v>8193.93309606869</v>
      </c>
      <c r="P95" s="12">
        <v>4485.67396841633</v>
      </c>
      <c r="Q95" s="7">
        <v>5593.8916465698</v>
      </c>
      <c r="R95" s="7">
        <v>12363.0</v>
      </c>
      <c r="S95" s="7">
        <v>4149.83214392046</v>
      </c>
      <c r="T95" s="7">
        <v>10353.8648057203</v>
      </c>
      <c r="U95" s="7">
        <v>8490.90929405633</v>
      </c>
      <c r="V95" s="7">
        <v>2875.64751966157</v>
      </c>
      <c r="W95" s="7">
        <v>9076.10164825428</v>
      </c>
      <c r="X95" s="7">
        <v>0.0</v>
      </c>
      <c r="Y95" s="7">
        <v>7074.08275587658</v>
      </c>
      <c r="Z95" s="7">
        <v>6079.86737633263</v>
      </c>
    </row>
    <row r="96">
      <c r="A96" s="14">
        <v>43040.0</v>
      </c>
      <c r="B96" s="9">
        <f>IFERROR(__xludf.DUMMYFUNCTION("""COMPUTED_VALUE"""),396.0)</f>
        <v>396</v>
      </c>
      <c r="C96" s="12" t="s">
        <v>5</v>
      </c>
      <c r="D96" s="12">
        <v>13574.4164664076</v>
      </c>
      <c r="E96" s="12">
        <v>1330.06552250732</v>
      </c>
      <c r="F96" s="12">
        <v>19377.663433924</v>
      </c>
      <c r="G96" s="13">
        <v>2214.03884965874</v>
      </c>
      <c r="H96" s="12">
        <v>4081.92643321506</v>
      </c>
      <c r="I96" s="12">
        <v>4672.67253830464</v>
      </c>
      <c r="J96" s="12">
        <v>3679.91791805967</v>
      </c>
      <c r="K96" s="12">
        <v>290960.06538093</v>
      </c>
      <c r="L96" s="12">
        <v>8928.68831649427</v>
      </c>
      <c r="M96" s="12">
        <v>6496.59537163433</v>
      </c>
      <c r="N96" s="12">
        <v>844.50970272527</v>
      </c>
      <c r="O96" s="12">
        <v>4503.0</v>
      </c>
      <c r="P96" s="12">
        <v>3488.3494020792</v>
      </c>
      <c r="Q96" s="7">
        <v>11060.0690587334</v>
      </c>
      <c r="R96" s="7">
        <v>13582.5</v>
      </c>
      <c r="S96" s="7">
        <v>4594.33352941176</v>
      </c>
      <c r="T96" s="7">
        <v>3878.19478993903</v>
      </c>
      <c r="U96" s="7">
        <v>288955.103441618</v>
      </c>
      <c r="V96" s="7">
        <v>291589.380163093</v>
      </c>
      <c r="W96" s="7">
        <v>290668.466190739</v>
      </c>
      <c r="X96" s="7">
        <v>0.0</v>
      </c>
      <c r="Y96" s="7">
        <v>5257.19369923109</v>
      </c>
      <c r="Z96" s="7">
        <v>3909.67970322883</v>
      </c>
    </row>
    <row r="97">
      <c r="A97" s="14">
        <v>43070.0</v>
      </c>
      <c r="B97" s="9">
        <f>IFERROR(__xludf.DUMMYFUNCTION("""COMPUTED_VALUE"""),302.0)</f>
        <v>302</v>
      </c>
      <c r="C97" s="12" t="s">
        <v>6</v>
      </c>
      <c r="D97" s="12">
        <v>15032.0426567467</v>
      </c>
      <c r="E97" s="12">
        <v>11437.3815744146</v>
      </c>
      <c r="F97" s="12">
        <v>22491.777301328</v>
      </c>
      <c r="G97" s="12">
        <v>8240.36922510842</v>
      </c>
      <c r="H97" s="12">
        <v>9521.22500339444</v>
      </c>
      <c r="I97" s="12">
        <v>2642.10096596943</v>
      </c>
      <c r="J97" s="12">
        <v>9382.91649462679</v>
      </c>
      <c r="K97" s="12">
        <v>20575.6349562034</v>
      </c>
      <c r="L97" s="12">
        <v>8063.9055735832</v>
      </c>
      <c r="M97" s="12">
        <v>3464.7630473275</v>
      </c>
      <c r="N97" s="12">
        <v>5332.95652242696</v>
      </c>
      <c r="O97" s="12">
        <v>2132.82673886498</v>
      </c>
      <c r="P97" s="12">
        <v>11759.0003649125</v>
      </c>
      <c r="Q97" s="7">
        <v>93287.2414588931</v>
      </c>
      <c r="R97" s="7">
        <v>3140.5</v>
      </c>
      <c r="S97" s="7">
        <v>4717.50387475071</v>
      </c>
      <c r="T97" s="7">
        <v>19000.1405059964</v>
      </c>
      <c r="U97" s="7">
        <v>20063.6421111142</v>
      </c>
      <c r="V97" s="7">
        <v>20635.9020788224</v>
      </c>
      <c r="W97" s="7">
        <v>20873.811980043</v>
      </c>
      <c r="X97" s="7">
        <v>15698.9039722813</v>
      </c>
      <c r="Y97" s="7">
        <v>1985.29963135178</v>
      </c>
      <c r="Z97" s="7">
        <v>1811.60595528787</v>
      </c>
    </row>
    <row r="98">
      <c r="A98" s="14">
        <v>43101.0</v>
      </c>
      <c r="B98" s="9">
        <f>IFERROR(__xludf.DUMMYFUNCTION("""COMPUTED_VALUE"""),382.0)</f>
        <v>382</v>
      </c>
      <c r="C98" s="12" t="s">
        <v>7</v>
      </c>
      <c r="D98" s="12">
        <v>8112.19406238906</v>
      </c>
      <c r="E98" s="12">
        <v>0.0</v>
      </c>
      <c r="F98" s="12">
        <v>15230.6887614399</v>
      </c>
      <c r="G98" s="12">
        <v>3722.89962166754</v>
      </c>
      <c r="H98" s="12">
        <v>6264.40220779489</v>
      </c>
      <c r="I98" s="12">
        <v>1820.11784754971</v>
      </c>
      <c r="J98" s="12">
        <v>6473.99655240947</v>
      </c>
      <c r="K98" s="12">
        <v>2031990.9222186</v>
      </c>
      <c r="L98" s="12">
        <v>18702.0007506116</v>
      </c>
      <c r="M98" s="12">
        <v>11254.8901736282</v>
      </c>
      <c r="N98" s="12">
        <v>4617.59485092519</v>
      </c>
      <c r="O98" s="12">
        <v>1517.41367235068</v>
      </c>
      <c r="P98" s="12">
        <v>6173.50705367837</v>
      </c>
      <c r="Q98" s="7">
        <v>6806.76153746451</v>
      </c>
      <c r="R98" s="7">
        <v>1588.5</v>
      </c>
      <c r="S98" s="7">
        <v>2966.49717515646</v>
      </c>
      <c r="T98" s="7">
        <v>2924.55478993903</v>
      </c>
      <c r="U98" s="7">
        <v>2026145.26969182</v>
      </c>
      <c r="V98" s="7">
        <v>2031876.54018736</v>
      </c>
      <c r="W98" s="7">
        <v>2031158.27145157</v>
      </c>
      <c r="X98" s="7">
        <v>13828.6798475711</v>
      </c>
      <c r="Y98" s="7">
        <v>1033.34638330269</v>
      </c>
      <c r="Z98" s="7">
        <v>1161.30577240241</v>
      </c>
    </row>
    <row r="99">
      <c r="A99" s="14">
        <v>43132.0</v>
      </c>
      <c r="B99" s="2">
        <f>IFERROR(__xludf.DUMMYFUNCTION("""COMPUTED_VALUE"""),1826.0)</f>
        <v>1826</v>
      </c>
      <c r="C99" s="12" t="s">
        <v>8</v>
      </c>
      <c r="D99" s="12">
        <v>3260.02368456775</v>
      </c>
      <c r="E99" s="12">
        <v>64122.5298741325</v>
      </c>
      <c r="F99" s="12">
        <v>14345.9526947193</v>
      </c>
      <c r="G99" s="12">
        <v>58683.615344302</v>
      </c>
      <c r="H99" s="12">
        <v>5535.65515344189</v>
      </c>
      <c r="I99" s="12">
        <v>2110.31911938703</v>
      </c>
      <c r="J99" s="12">
        <v>3918.65756564072</v>
      </c>
      <c r="K99" s="12">
        <v>72812.5526063796</v>
      </c>
      <c r="L99" s="12">
        <v>12806.9190812343</v>
      </c>
      <c r="M99" s="12">
        <v>263706.619022472</v>
      </c>
      <c r="N99" s="12">
        <v>5214.35849313159</v>
      </c>
      <c r="O99" s="12">
        <v>3196.4004013642</v>
      </c>
      <c r="P99" s="12">
        <v>3439.07031389533</v>
      </c>
      <c r="Q99" s="7">
        <v>3443.64785579249</v>
      </c>
      <c r="R99" s="7">
        <v>6024.0</v>
      </c>
      <c r="S99" s="7">
        <v>2628.02582265072</v>
      </c>
      <c r="T99" s="7">
        <v>8607.68692739086</v>
      </c>
      <c r="U99" s="7">
        <v>74274.9091262185</v>
      </c>
      <c r="V99" s="7">
        <v>72821.4194922511</v>
      </c>
      <c r="W99" s="7">
        <v>74569.7281727422</v>
      </c>
      <c r="X99" s="7">
        <v>14480.6085856244</v>
      </c>
      <c r="Y99" s="7">
        <v>1340.30000146736</v>
      </c>
      <c r="Z99" s="7">
        <v>2466.94540505935</v>
      </c>
    </row>
    <row r="100">
      <c r="A100" s="15">
        <v>43160.0</v>
      </c>
      <c r="B100" s="9">
        <f>IFERROR(__xludf.DUMMYFUNCTION("""COMPUTED_VALUE"""),1667.0)</f>
        <v>1667</v>
      </c>
      <c r="C100" s="12" t="s">
        <v>9</v>
      </c>
      <c r="D100" s="12">
        <v>26723.4525921869</v>
      </c>
      <c r="E100" s="12">
        <v>27589.9760728873</v>
      </c>
      <c r="F100" s="12">
        <v>24143.580605352</v>
      </c>
      <c r="G100" s="12">
        <v>14621.3373690891</v>
      </c>
      <c r="H100" s="12">
        <v>22130.2292836547</v>
      </c>
      <c r="I100" s="12">
        <v>1898.24775337106</v>
      </c>
      <c r="J100" s="12">
        <v>18124.5689870635</v>
      </c>
      <c r="K100" s="12">
        <v>19905.058052495</v>
      </c>
      <c r="L100" s="12">
        <v>26968.3929232147</v>
      </c>
      <c r="M100" s="12">
        <v>12589.8742453663</v>
      </c>
      <c r="N100" s="12">
        <v>6488.74876352715</v>
      </c>
      <c r="O100" s="12">
        <v>3393.81591821528</v>
      </c>
      <c r="P100" s="12">
        <v>24676.4048489957</v>
      </c>
      <c r="Q100" s="7">
        <v>22017.8910796667</v>
      </c>
      <c r="R100" s="7">
        <v>13692.3373728064</v>
      </c>
      <c r="S100" s="7">
        <v>25350.2053621401</v>
      </c>
      <c r="T100" s="7">
        <v>26545.4802738947</v>
      </c>
      <c r="U100" s="7">
        <v>20910.6477611615</v>
      </c>
      <c r="V100" s="7">
        <v>20012.6368766508</v>
      </c>
      <c r="W100" s="7">
        <v>21213.3151754128</v>
      </c>
      <c r="X100" s="7">
        <v>15550.1656163563</v>
      </c>
      <c r="Y100" s="7">
        <v>2676.58330371317</v>
      </c>
      <c r="Z100" s="7">
        <v>8077.74830240615</v>
      </c>
    </row>
    <row r="101">
      <c r="A101" s="15">
        <v>43191.0</v>
      </c>
      <c r="B101" s="9">
        <f>IFERROR(__xludf.DUMMYFUNCTION("""COMPUTED_VALUE"""),189.0)</f>
        <v>189</v>
      </c>
      <c r="C101" s="12" t="s">
        <v>10</v>
      </c>
      <c r="D101" s="12">
        <v>407859.869259439</v>
      </c>
      <c r="E101" s="12">
        <v>16485.1039380571</v>
      </c>
      <c r="F101" s="12">
        <v>20798.9749179274</v>
      </c>
      <c r="G101" s="12">
        <v>21849.9683284774</v>
      </c>
      <c r="H101" s="12">
        <v>11660.7163315963</v>
      </c>
      <c r="I101" s="12">
        <v>2909.03924657076</v>
      </c>
      <c r="J101" s="12">
        <v>35488.7096870515</v>
      </c>
      <c r="K101" s="12">
        <v>58811.1275152689</v>
      </c>
      <c r="L101" s="12">
        <v>37398.3039438003</v>
      </c>
      <c r="M101" s="12">
        <v>9582.39374152246</v>
      </c>
      <c r="N101" s="12">
        <v>1466.2789334945</v>
      </c>
      <c r="O101" s="12">
        <v>35346.2751315818</v>
      </c>
      <c r="P101" s="12">
        <v>14962.3499474107</v>
      </c>
      <c r="Q101" s="16">
        <v>10649.6423370306</v>
      </c>
      <c r="R101" s="16">
        <v>15045.9242598027</v>
      </c>
      <c r="S101" s="16">
        <v>15962.3681005524</v>
      </c>
      <c r="T101" s="16">
        <v>14739.0079372846</v>
      </c>
      <c r="U101" s="16">
        <v>58732.1348066196</v>
      </c>
      <c r="V101" s="16">
        <v>58954.7690059317</v>
      </c>
      <c r="W101" s="16">
        <v>59094.3516121104</v>
      </c>
      <c r="X101" s="16">
        <v>14753.2245556079</v>
      </c>
      <c r="Y101" s="16">
        <v>2631.89536328382</v>
      </c>
      <c r="Z101" s="16">
        <v>7536.70022479773</v>
      </c>
    </row>
    <row r="102">
      <c r="A102" s="15">
        <v>43221.0</v>
      </c>
      <c r="B102" s="9">
        <f>IFERROR(__xludf.DUMMYFUNCTION("""COMPUTED_VALUE"""),3458.0)</f>
        <v>3458</v>
      </c>
      <c r="C102" s="12" t="s">
        <v>11</v>
      </c>
      <c r="D102" s="12">
        <v>232632.793582069</v>
      </c>
      <c r="E102" s="12">
        <v>7320.17051798185</v>
      </c>
      <c r="F102" s="12">
        <v>1688567.53038317</v>
      </c>
      <c r="G102" s="12">
        <v>171847.799476082</v>
      </c>
      <c r="H102" s="12">
        <v>239917.867722277</v>
      </c>
      <c r="I102" s="12">
        <v>2932.39804778131</v>
      </c>
      <c r="J102" s="12">
        <v>320299.764508955</v>
      </c>
      <c r="K102" s="12">
        <v>901346.79290548</v>
      </c>
      <c r="L102" s="12">
        <v>16706.4715401205</v>
      </c>
      <c r="M102" s="12">
        <v>2856.29500916486</v>
      </c>
      <c r="N102" s="12">
        <v>8184.24588648986</v>
      </c>
      <c r="O102" s="12">
        <v>-306.300403304452</v>
      </c>
      <c r="P102" s="12">
        <v>415974.829175913</v>
      </c>
      <c r="Q102" s="16">
        <v>224678.810362262</v>
      </c>
      <c r="R102" s="16">
        <v>2265.44389039963</v>
      </c>
      <c r="S102" s="16">
        <v>40636.9344682322</v>
      </c>
      <c r="T102" s="16">
        <v>318471.367486666</v>
      </c>
      <c r="U102" s="16">
        <v>898002.469961542</v>
      </c>
      <c r="V102" s="16">
        <v>900782.373657179</v>
      </c>
      <c r="W102" s="16">
        <v>900316.541041941</v>
      </c>
      <c r="X102" s="16">
        <v>13518.573314585</v>
      </c>
      <c r="Y102" s="16">
        <v>1464.6697607455</v>
      </c>
      <c r="Z102" s="16">
        <v>8894.61184196231</v>
      </c>
    </row>
    <row r="103">
      <c r="A103" s="15">
        <v>43252.0</v>
      </c>
      <c r="B103" s="9">
        <f>IFERROR(__xludf.DUMMYFUNCTION("""COMPUTED_VALUE"""),616.0)</f>
        <v>616</v>
      </c>
      <c r="C103" s="7" t="s">
        <v>12</v>
      </c>
      <c r="D103" s="7">
        <v>155831.497198963</v>
      </c>
      <c r="E103" s="7">
        <v>170639.992415781</v>
      </c>
      <c r="F103" s="7">
        <v>17361.4007430737</v>
      </c>
      <c r="G103" s="7">
        <v>131762.753606688</v>
      </c>
      <c r="H103" s="7">
        <v>6261.44800825103</v>
      </c>
      <c r="I103" s="7">
        <v>19756.2921292279</v>
      </c>
      <c r="J103" s="7">
        <v>181167.620336963</v>
      </c>
      <c r="K103" s="7">
        <v>1151931.07178362</v>
      </c>
      <c r="L103" s="7">
        <v>122041.654586564</v>
      </c>
      <c r="M103" s="7">
        <v>21388.8335041139</v>
      </c>
      <c r="N103" s="7">
        <v>124328.622400715</v>
      </c>
      <c r="O103" s="7">
        <v>-22838.7541447143</v>
      </c>
      <c r="P103" s="7">
        <v>133449.639417587</v>
      </c>
      <c r="Q103" s="7">
        <v>95118.5732490704</v>
      </c>
      <c r="R103" s="7">
        <v>16614.2495457514</v>
      </c>
      <c r="S103" s="7">
        <v>261507.624235284</v>
      </c>
      <c r="T103" s="7">
        <v>120317.159485274</v>
      </c>
      <c r="U103" s="7">
        <v>1147453.84412659</v>
      </c>
      <c r="V103" s="7">
        <v>1151251.74108011</v>
      </c>
      <c r="W103" s="7">
        <v>1150273.63369624</v>
      </c>
      <c r="X103" s="7">
        <v>13656.7385754242</v>
      </c>
      <c r="Y103" s="7">
        <v>8494.77737305983</v>
      </c>
      <c r="Z103" s="7">
        <v>7466.93579136365</v>
      </c>
    </row>
    <row r="104">
      <c r="A104" s="15">
        <v>43282.0</v>
      </c>
      <c r="B104" s="9">
        <f>IFERROR(__xludf.DUMMYFUNCTION("""COMPUTED_VALUE"""),3239.0)</f>
        <v>3239</v>
      </c>
      <c r="C104" s="7" t="s">
        <v>13</v>
      </c>
      <c r="D104" s="7">
        <v>53127.8864860246</v>
      </c>
      <c r="E104" s="7">
        <v>13926.4306548052</v>
      </c>
      <c r="F104" s="7">
        <v>22157.498155465</v>
      </c>
      <c r="G104" s="7">
        <v>23448.2206575732</v>
      </c>
      <c r="H104" s="7">
        <v>22201.0475288402</v>
      </c>
      <c r="I104" s="7">
        <v>430124.724021773</v>
      </c>
      <c r="J104" s="7">
        <v>35137.9555297133</v>
      </c>
      <c r="K104" s="7">
        <v>330212.237557191</v>
      </c>
      <c r="L104" s="7">
        <v>42662.6879357579</v>
      </c>
      <c r="M104" s="7">
        <v>8630.4352824261</v>
      </c>
      <c r="N104" s="7">
        <v>4439.66354887912</v>
      </c>
      <c r="O104" s="7">
        <v>4274.18425789542</v>
      </c>
      <c r="P104" s="7">
        <v>89720.3186388482</v>
      </c>
      <c r="Q104" s="7">
        <v>32673.9486687526</v>
      </c>
      <c r="R104" s="7">
        <v>4931.73421772762</v>
      </c>
      <c r="S104" s="7">
        <v>14066.1925141555</v>
      </c>
      <c r="T104" s="7">
        <v>27704.8488901187</v>
      </c>
      <c r="U104" s="7">
        <v>330352.65234912</v>
      </c>
      <c r="V104" s="7">
        <v>330139.831695331</v>
      </c>
      <c r="W104" s="7">
        <v>331280.587375451</v>
      </c>
      <c r="X104" s="7">
        <v>13022.5038658243</v>
      </c>
      <c r="Y104" s="7">
        <v>2300.4209672895</v>
      </c>
      <c r="Z104" s="7">
        <v>3836.95859953466</v>
      </c>
    </row>
    <row r="105">
      <c r="A105" s="17">
        <v>43313.0</v>
      </c>
      <c r="B105" s="9"/>
      <c r="C105" s="7" t="s">
        <v>14</v>
      </c>
      <c r="D105" s="7">
        <v>29737.4732134409</v>
      </c>
      <c r="E105" s="7">
        <v>47530.0637290777</v>
      </c>
      <c r="F105" s="7">
        <v>19013.4101208796</v>
      </c>
      <c r="G105" s="7">
        <v>27299.2302326182</v>
      </c>
      <c r="H105" s="7">
        <v>24904.4969026614</v>
      </c>
      <c r="I105" s="7">
        <v>2698.52038985581</v>
      </c>
      <c r="J105" s="7">
        <v>-1815.75144338343</v>
      </c>
      <c r="K105" s="7">
        <v>93171.4517201083</v>
      </c>
      <c r="L105" s="7">
        <v>27586.0108618614</v>
      </c>
      <c r="M105" s="7">
        <v>22543.5007889973</v>
      </c>
      <c r="N105" s="7">
        <v>17507.091776554</v>
      </c>
      <c r="O105" s="7">
        <v>3140.14227404353</v>
      </c>
      <c r="P105" s="7">
        <v>29803.6709234296</v>
      </c>
      <c r="Q105" s="7">
        <v>27162.4150066115</v>
      </c>
      <c r="R105" s="7">
        <v>14331.9640345092</v>
      </c>
      <c r="S105" s="7">
        <v>44965.3070862193</v>
      </c>
      <c r="T105" s="7">
        <v>23221.1809092823</v>
      </c>
      <c r="U105" s="7">
        <v>92743.4982811062</v>
      </c>
      <c r="V105" s="7">
        <v>93493.609512589</v>
      </c>
      <c r="W105" s="7">
        <v>93197.5799932929</v>
      </c>
      <c r="X105" s="7">
        <v>16638.6756701377</v>
      </c>
      <c r="Y105" s="7">
        <v>4610.16104101915</v>
      </c>
      <c r="Z105" s="7">
        <v>4907.9475278337</v>
      </c>
    </row>
    <row r="106">
      <c r="A106" s="15">
        <v>43344.0</v>
      </c>
      <c r="B106" s="9"/>
    </row>
    <row r="107">
      <c r="A107" s="15">
        <v>43374.0</v>
      </c>
      <c r="B107" s="9"/>
    </row>
    <row r="108">
      <c r="A108" s="15">
        <v>43405.0</v>
      </c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  <row r="1001">
      <c r="B1001" s="1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0" t="s">
        <v>0</v>
      </c>
      <c r="B1" s="3" t="s">
        <v>1</v>
      </c>
      <c r="C1" s="3" t="s">
        <v>175</v>
      </c>
      <c r="D1" s="3" t="s">
        <v>176</v>
      </c>
      <c r="E1" s="3" t="s">
        <v>177</v>
      </c>
      <c r="F1" s="3" t="s">
        <v>178</v>
      </c>
      <c r="G1" s="3" t="s">
        <v>179</v>
      </c>
      <c r="H1" s="3" t="s">
        <v>180</v>
      </c>
      <c r="I1" s="3" t="s">
        <v>181</v>
      </c>
      <c r="J1" s="3" t="s">
        <v>182</v>
      </c>
      <c r="K1" s="6" t="s">
        <v>183</v>
      </c>
      <c r="L1" s="6" t="s">
        <v>184</v>
      </c>
      <c r="M1" s="6" t="s">
        <v>185</v>
      </c>
      <c r="N1" s="6" t="s">
        <v>186</v>
      </c>
      <c r="O1" s="6" t="s">
        <v>187</v>
      </c>
      <c r="P1" s="6" t="s">
        <v>188</v>
      </c>
      <c r="Q1" s="6" t="s">
        <v>189</v>
      </c>
      <c r="R1" s="6" t="s">
        <v>190</v>
      </c>
      <c r="S1" s="6" t="s">
        <v>191</v>
      </c>
      <c r="T1" s="6" t="s">
        <v>192</v>
      </c>
      <c r="U1" s="7" t="s">
        <v>193</v>
      </c>
      <c r="V1" s="7" t="s">
        <v>194</v>
      </c>
      <c r="W1" s="7" t="s">
        <v>195</v>
      </c>
    </row>
    <row r="2">
      <c r="A2" s="8">
        <v>40179.0</v>
      </c>
      <c r="B2" s="34">
        <f>IFERROR(__xludf.DUMMYFUNCTION("IMPORTRANGE(""https://docs.google.com/spreadsheets/d/1oPTPmoJ9phtMOkp-nMB7WHnPESomLzqUj9t0gcE9bYA"",""Current Region!K2:K150"")"),1296.0)</f>
        <v>1296</v>
      </c>
      <c r="C2" s="10" t="s">
        <v>26</v>
      </c>
      <c r="D2" s="10" t="s">
        <v>26</v>
      </c>
      <c r="E2" s="10" t="s">
        <v>26</v>
      </c>
      <c r="F2" s="10" t="s">
        <v>26</v>
      </c>
      <c r="G2" s="10" t="s">
        <v>26</v>
      </c>
      <c r="H2" s="10" t="s">
        <v>26</v>
      </c>
      <c r="I2" s="10" t="s">
        <v>26</v>
      </c>
      <c r="J2" s="10" t="s">
        <v>26</v>
      </c>
      <c r="K2" s="11" t="s">
        <v>26</v>
      </c>
      <c r="L2" s="10" t="s">
        <v>26</v>
      </c>
      <c r="M2" s="10" t="s">
        <v>26</v>
      </c>
      <c r="N2" s="10" t="s">
        <v>26</v>
      </c>
      <c r="O2" s="10" t="s">
        <v>26</v>
      </c>
      <c r="P2" s="10" t="s">
        <v>26</v>
      </c>
      <c r="Q2" s="10" t="s">
        <v>26</v>
      </c>
      <c r="R2" s="10" t="s">
        <v>26</v>
      </c>
      <c r="S2" s="10" t="s">
        <v>26</v>
      </c>
      <c r="T2" s="10" t="s">
        <v>26</v>
      </c>
      <c r="U2" s="7" t="s">
        <v>26</v>
      </c>
      <c r="V2" s="7" t="s">
        <v>26</v>
      </c>
      <c r="W2" s="7" t="s">
        <v>26</v>
      </c>
    </row>
    <row r="3">
      <c r="A3" s="8">
        <v>40210.0</v>
      </c>
      <c r="B3" s="34">
        <f>IFERROR(__xludf.DUMMYFUNCTION("""COMPUTED_VALUE"""),400.0)</f>
        <v>400</v>
      </c>
      <c r="C3" s="10" t="s">
        <v>26</v>
      </c>
      <c r="D3" s="10" t="s">
        <v>26</v>
      </c>
      <c r="E3" s="10" t="s">
        <v>26</v>
      </c>
      <c r="F3" s="10" t="s">
        <v>26</v>
      </c>
      <c r="G3" s="10" t="s">
        <v>26</v>
      </c>
      <c r="H3" s="10" t="s">
        <v>26</v>
      </c>
      <c r="I3" s="10" t="s">
        <v>26</v>
      </c>
      <c r="J3" s="10" t="s">
        <v>26</v>
      </c>
      <c r="K3" s="11" t="s">
        <v>26</v>
      </c>
      <c r="L3" s="10" t="s">
        <v>26</v>
      </c>
      <c r="M3" s="10" t="s">
        <v>26</v>
      </c>
      <c r="N3" s="10" t="s">
        <v>26</v>
      </c>
      <c r="O3" s="10" t="s">
        <v>26</v>
      </c>
      <c r="P3" s="10" t="s">
        <v>26</v>
      </c>
      <c r="Q3" s="10" t="s">
        <v>26</v>
      </c>
      <c r="R3" s="10" t="s">
        <v>26</v>
      </c>
      <c r="S3" s="10" t="s">
        <v>26</v>
      </c>
      <c r="T3" s="10" t="s">
        <v>26</v>
      </c>
      <c r="U3" s="7" t="s">
        <v>26</v>
      </c>
      <c r="V3" s="7" t="s">
        <v>26</v>
      </c>
      <c r="W3" s="7" t="s">
        <v>26</v>
      </c>
    </row>
    <row r="4">
      <c r="A4" s="8">
        <v>40238.0</v>
      </c>
      <c r="B4" s="34">
        <f>IFERROR(__xludf.DUMMYFUNCTION("""COMPUTED_VALUE"""),1587.0)</f>
        <v>1587</v>
      </c>
      <c r="C4" s="10" t="s">
        <v>26</v>
      </c>
      <c r="D4" s="10" t="s">
        <v>26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26</v>
      </c>
      <c r="J4" s="10" t="s">
        <v>26</v>
      </c>
      <c r="K4" s="11" t="s">
        <v>26</v>
      </c>
      <c r="L4" s="10" t="s">
        <v>26</v>
      </c>
      <c r="M4" s="10" t="s">
        <v>26</v>
      </c>
      <c r="N4" s="10" t="s">
        <v>26</v>
      </c>
      <c r="O4" s="10" t="s">
        <v>26</v>
      </c>
      <c r="P4" s="10" t="s">
        <v>26</v>
      </c>
      <c r="Q4" s="10" t="s">
        <v>26</v>
      </c>
      <c r="R4" s="10" t="s">
        <v>26</v>
      </c>
      <c r="S4" s="10" t="s">
        <v>26</v>
      </c>
      <c r="T4" s="10" t="s">
        <v>26</v>
      </c>
      <c r="U4" s="7" t="s">
        <v>26</v>
      </c>
      <c r="V4" s="7" t="s">
        <v>26</v>
      </c>
      <c r="W4" s="7" t="s">
        <v>26</v>
      </c>
    </row>
    <row r="5">
      <c r="A5" s="8">
        <v>40269.0</v>
      </c>
      <c r="B5" s="34">
        <f>IFERROR(__xludf.DUMMYFUNCTION("""COMPUTED_VALUE"""),1235.0)</f>
        <v>1235</v>
      </c>
      <c r="C5" s="10" t="s">
        <v>26</v>
      </c>
      <c r="D5" s="10" t="s">
        <v>26</v>
      </c>
      <c r="E5" s="10" t="s">
        <v>26</v>
      </c>
      <c r="F5" s="10" t="s">
        <v>26</v>
      </c>
      <c r="G5" s="10" t="s">
        <v>26</v>
      </c>
      <c r="H5" s="10" t="s">
        <v>26</v>
      </c>
      <c r="I5" s="10" t="s">
        <v>26</v>
      </c>
      <c r="J5" s="10" t="s">
        <v>26</v>
      </c>
      <c r="K5" s="11" t="s">
        <v>26</v>
      </c>
      <c r="L5" s="10" t="s">
        <v>26</v>
      </c>
      <c r="M5" s="10" t="s">
        <v>26</v>
      </c>
      <c r="N5" s="10" t="s">
        <v>26</v>
      </c>
      <c r="O5" s="10" t="s">
        <v>26</v>
      </c>
      <c r="P5" s="10" t="s">
        <v>26</v>
      </c>
      <c r="Q5" s="10" t="s">
        <v>26</v>
      </c>
      <c r="R5" s="10" t="s">
        <v>26</v>
      </c>
      <c r="S5" s="10" t="s">
        <v>26</v>
      </c>
      <c r="T5" s="10" t="s">
        <v>26</v>
      </c>
      <c r="U5" s="7" t="s">
        <v>26</v>
      </c>
      <c r="V5" s="7" t="s">
        <v>26</v>
      </c>
      <c r="W5" s="7" t="s">
        <v>26</v>
      </c>
    </row>
    <row r="6">
      <c r="A6" s="8">
        <v>40299.0</v>
      </c>
      <c r="B6" s="34">
        <f>IFERROR(__xludf.DUMMYFUNCTION("""COMPUTED_VALUE"""),1406.0)</f>
        <v>1406</v>
      </c>
      <c r="C6" s="10" t="s">
        <v>26</v>
      </c>
      <c r="D6" s="10" t="s">
        <v>26</v>
      </c>
      <c r="E6" s="10" t="s">
        <v>26</v>
      </c>
      <c r="F6" s="10" t="s">
        <v>26</v>
      </c>
      <c r="G6" s="10" t="s">
        <v>26</v>
      </c>
      <c r="H6" s="10" t="s">
        <v>26</v>
      </c>
      <c r="I6" s="10" t="s">
        <v>26</v>
      </c>
      <c r="J6" s="10" t="s">
        <v>26</v>
      </c>
      <c r="K6" s="11" t="s">
        <v>26</v>
      </c>
      <c r="L6" s="10" t="s">
        <v>26</v>
      </c>
      <c r="M6" s="10" t="s">
        <v>26</v>
      </c>
      <c r="N6" s="10" t="s">
        <v>26</v>
      </c>
      <c r="O6" s="10" t="s">
        <v>26</v>
      </c>
      <c r="P6" s="10" t="s">
        <v>26</v>
      </c>
      <c r="Q6" s="10" t="s">
        <v>26</v>
      </c>
      <c r="R6" s="10" t="s">
        <v>26</v>
      </c>
      <c r="S6" s="10" t="s">
        <v>26</v>
      </c>
      <c r="T6" s="10" t="s">
        <v>26</v>
      </c>
      <c r="U6" s="7" t="s">
        <v>26</v>
      </c>
      <c r="V6" s="7" t="s">
        <v>26</v>
      </c>
      <c r="W6" s="7" t="s">
        <v>26</v>
      </c>
    </row>
    <row r="7">
      <c r="A7" s="8">
        <v>40330.0</v>
      </c>
      <c r="B7" s="34">
        <f>IFERROR(__xludf.DUMMYFUNCTION("""COMPUTED_VALUE"""),474.0)</f>
        <v>474</v>
      </c>
      <c r="C7" s="10" t="s">
        <v>26</v>
      </c>
      <c r="D7" s="10" t="s">
        <v>26</v>
      </c>
      <c r="E7" s="10" t="s">
        <v>26</v>
      </c>
      <c r="F7" s="10" t="s">
        <v>26</v>
      </c>
      <c r="G7" s="10" t="s">
        <v>26</v>
      </c>
      <c r="H7" s="10" t="s">
        <v>26</v>
      </c>
      <c r="I7" s="10" t="s">
        <v>26</v>
      </c>
      <c r="J7" s="10" t="s">
        <v>26</v>
      </c>
      <c r="K7" s="11" t="s">
        <v>26</v>
      </c>
      <c r="L7" s="10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  <c r="R7" s="10" t="s">
        <v>26</v>
      </c>
      <c r="S7" s="10" t="s">
        <v>26</v>
      </c>
      <c r="T7" s="10" t="s">
        <v>26</v>
      </c>
      <c r="U7" s="7" t="s">
        <v>26</v>
      </c>
      <c r="V7" s="7" t="s">
        <v>26</v>
      </c>
      <c r="W7" s="7" t="s">
        <v>26</v>
      </c>
    </row>
    <row r="8">
      <c r="A8" s="8">
        <v>40360.0</v>
      </c>
      <c r="B8" s="34">
        <f>IFERROR(__xludf.DUMMYFUNCTION("""COMPUTED_VALUE"""),353.0)</f>
        <v>353</v>
      </c>
      <c r="C8" s="10" t="s">
        <v>26</v>
      </c>
      <c r="D8" s="10" t="s">
        <v>26</v>
      </c>
      <c r="E8" s="10" t="s">
        <v>26</v>
      </c>
      <c r="F8" s="10" t="s">
        <v>26</v>
      </c>
      <c r="G8" s="10" t="s">
        <v>26</v>
      </c>
      <c r="H8" s="10" t="s">
        <v>26</v>
      </c>
      <c r="I8" s="10" t="s">
        <v>26</v>
      </c>
      <c r="J8" s="10" t="s">
        <v>26</v>
      </c>
      <c r="K8" s="11" t="s">
        <v>26</v>
      </c>
      <c r="L8" s="10" t="s">
        <v>26</v>
      </c>
      <c r="M8" s="10" t="s">
        <v>26</v>
      </c>
      <c r="N8" s="10" t="s">
        <v>26</v>
      </c>
      <c r="O8" s="10" t="s">
        <v>26</v>
      </c>
      <c r="P8" s="10" t="s">
        <v>26</v>
      </c>
      <c r="Q8" s="10" t="s">
        <v>26</v>
      </c>
      <c r="R8" s="10" t="s">
        <v>26</v>
      </c>
      <c r="S8" s="10" t="s">
        <v>26</v>
      </c>
      <c r="T8" s="10" t="s">
        <v>26</v>
      </c>
      <c r="U8" s="7" t="s">
        <v>26</v>
      </c>
      <c r="V8" s="7" t="s">
        <v>26</v>
      </c>
      <c r="W8" s="7" t="s">
        <v>26</v>
      </c>
    </row>
    <row r="9">
      <c r="A9" s="8">
        <v>40391.0</v>
      </c>
      <c r="B9" s="34">
        <f>IFERROR(__xludf.DUMMYFUNCTION("""COMPUTED_VALUE"""),1689.0)</f>
        <v>1689</v>
      </c>
      <c r="C9" s="10" t="s">
        <v>26</v>
      </c>
      <c r="D9" s="10" t="s">
        <v>26</v>
      </c>
      <c r="E9" s="10" t="s">
        <v>26</v>
      </c>
      <c r="F9" s="10" t="s">
        <v>26</v>
      </c>
      <c r="G9" s="10" t="s">
        <v>26</v>
      </c>
      <c r="H9" s="10" t="s">
        <v>26</v>
      </c>
      <c r="I9" s="10" t="s">
        <v>26</v>
      </c>
      <c r="J9" s="10" t="s">
        <v>26</v>
      </c>
      <c r="K9" s="11" t="s">
        <v>26</v>
      </c>
      <c r="L9" s="10" t="s">
        <v>26</v>
      </c>
      <c r="M9" s="10" t="s">
        <v>26</v>
      </c>
      <c r="N9" s="10" t="s">
        <v>26</v>
      </c>
      <c r="O9" s="10" t="s">
        <v>26</v>
      </c>
      <c r="P9" s="10" t="s">
        <v>26</v>
      </c>
      <c r="Q9" s="10" t="s">
        <v>26</v>
      </c>
      <c r="R9" s="10" t="s">
        <v>26</v>
      </c>
      <c r="S9" s="10" t="s">
        <v>26</v>
      </c>
      <c r="T9" s="10" t="s">
        <v>26</v>
      </c>
      <c r="U9" s="7" t="s">
        <v>26</v>
      </c>
      <c r="V9" s="7" t="s">
        <v>26</v>
      </c>
      <c r="W9" s="7" t="s">
        <v>26</v>
      </c>
    </row>
    <row r="10">
      <c r="A10" s="8">
        <v>40422.0</v>
      </c>
      <c r="B10" s="34">
        <f>IFERROR(__xludf.DUMMYFUNCTION("""COMPUTED_VALUE"""),750.0)</f>
        <v>750</v>
      </c>
      <c r="C10" s="10" t="s">
        <v>26</v>
      </c>
      <c r="D10" s="10" t="s">
        <v>26</v>
      </c>
      <c r="E10" s="10" t="s">
        <v>26</v>
      </c>
      <c r="F10" s="10" t="s">
        <v>26</v>
      </c>
      <c r="G10" s="10" t="s">
        <v>26</v>
      </c>
      <c r="H10" s="10" t="s">
        <v>26</v>
      </c>
      <c r="I10" s="10" t="s">
        <v>26</v>
      </c>
      <c r="J10" s="10" t="s">
        <v>26</v>
      </c>
      <c r="K10" s="11" t="s">
        <v>26</v>
      </c>
      <c r="L10" s="10" t="s">
        <v>26</v>
      </c>
      <c r="M10" s="10" t="s">
        <v>26</v>
      </c>
      <c r="N10" s="10" t="s">
        <v>26</v>
      </c>
      <c r="O10" s="10" t="s">
        <v>26</v>
      </c>
      <c r="P10" s="10" t="s">
        <v>26</v>
      </c>
      <c r="Q10" s="10" t="s">
        <v>26</v>
      </c>
      <c r="R10" s="10" t="s">
        <v>26</v>
      </c>
      <c r="S10" s="10" t="s">
        <v>26</v>
      </c>
      <c r="T10" s="10" t="s">
        <v>26</v>
      </c>
      <c r="U10" s="7" t="s">
        <v>26</v>
      </c>
      <c r="V10" s="7" t="s">
        <v>26</v>
      </c>
      <c r="W10" s="7" t="s">
        <v>26</v>
      </c>
    </row>
    <row r="11">
      <c r="A11" s="8">
        <v>40452.0</v>
      </c>
      <c r="B11" s="34">
        <f>IFERROR(__xludf.DUMMYFUNCTION("""COMPUTED_VALUE"""),941.0)</f>
        <v>941</v>
      </c>
      <c r="C11" s="10" t="s">
        <v>26</v>
      </c>
      <c r="D11" s="10" t="s">
        <v>26</v>
      </c>
      <c r="E11" s="10" t="s">
        <v>26</v>
      </c>
      <c r="F11" s="10" t="s">
        <v>26</v>
      </c>
      <c r="G11" s="10" t="s">
        <v>26</v>
      </c>
      <c r="H11" s="10" t="s">
        <v>26</v>
      </c>
      <c r="I11" s="10" t="s">
        <v>26</v>
      </c>
      <c r="J11" s="10" t="s">
        <v>26</v>
      </c>
      <c r="K11" s="11" t="s">
        <v>26</v>
      </c>
      <c r="L11" s="10" t="s">
        <v>26</v>
      </c>
      <c r="M11" s="10" t="s">
        <v>26</v>
      </c>
      <c r="N11" s="10" t="s">
        <v>26</v>
      </c>
      <c r="O11" s="10" t="s">
        <v>26</v>
      </c>
      <c r="P11" s="10" t="s">
        <v>26</v>
      </c>
      <c r="Q11" s="10" t="s">
        <v>26</v>
      </c>
      <c r="R11" s="10" t="s">
        <v>26</v>
      </c>
      <c r="S11" s="10" t="s">
        <v>26</v>
      </c>
      <c r="T11" s="10" t="s">
        <v>26</v>
      </c>
      <c r="U11" s="7" t="s">
        <v>26</v>
      </c>
      <c r="V11" s="7" t="s">
        <v>26</v>
      </c>
      <c r="W11" s="7" t="s">
        <v>26</v>
      </c>
    </row>
    <row r="12">
      <c r="A12" s="8">
        <v>40483.0</v>
      </c>
      <c r="B12" s="34">
        <f>IFERROR(__xludf.DUMMYFUNCTION("""COMPUTED_VALUE"""),781.0)</f>
        <v>781</v>
      </c>
      <c r="C12" s="10" t="s">
        <v>26</v>
      </c>
      <c r="D12" s="10" t="s">
        <v>26</v>
      </c>
      <c r="E12" s="10" t="s">
        <v>26</v>
      </c>
      <c r="F12" s="10" t="s">
        <v>26</v>
      </c>
      <c r="G12" s="10" t="s">
        <v>26</v>
      </c>
      <c r="H12" s="10" t="s">
        <v>26</v>
      </c>
      <c r="I12" s="10" t="s">
        <v>26</v>
      </c>
      <c r="J12" s="10" t="s">
        <v>26</v>
      </c>
      <c r="K12" s="11" t="s">
        <v>26</v>
      </c>
      <c r="L12" s="10" t="s">
        <v>26</v>
      </c>
      <c r="M12" s="10" t="s">
        <v>26</v>
      </c>
      <c r="N12" s="10" t="s">
        <v>26</v>
      </c>
      <c r="O12" s="10" t="s">
        <v>26</v>
      </c>
      <c r="P12" s="10" t="s">
        <v>26</v>
      </c>
      <c r="Q12" s="10" t="s">
        <v>26</v>
      </c>
      <c r="R12" s="10" t="s">
        <v>26</v>
      </c>
      <c r="S12" s="10" t="s">
        <v>26</v>
      </c>
      <c r="T12" s="10" t="s">
        <v>26</v>
      </c>
      <c r="U12" s="7" t="s">
        <v>26</v>
      </c>
      <c r="V12" s="7" t="s">
        <v>26</v>
      </c>
      <c r="W12" s="7" t="s">
        <v>26</v>
      </c>
    </row>
    <row r="13">
      <c r="A13" s="8">
        <v>40513.0</v>
      </c>
      <c r="B13" s="34">
        <f>IFERROR(__xludf.DUMMYFUNCTION("""COMPUTED_VALUE"""),1123.0)</f>
        <v>1123</v>
      </c>
      <c r="C13" s="10" t="s">
        <v>26</v>
      </c>
      <c r="D13" s="10" t="s">
        <v>26</v>
      </c>
      <c r="E13" s="10" t="s">
        <v>26</v>
      </c>
      <c r="F13" s="10" t="s">
        <v>26</v>
      </c>
      <c r="G13" s="10" t="s">
        <v>26</v>
      </c>
      <c r="H13" s="10" t="s">
        <v>26</v>
      </c>
      <c r="I13" s="10" t="s">
        <v>26</v>
      </c>
      <c r="J13" s="10" t="s">
        <v>26</v>
      </c>
      <c r="K13" s="11" t="s">
        <v>26</v>
      </c>
      <c r="L13" s="10" t="s">
        <v>26</v>
      </c>
      <c r="M13" s="10" t="s">
        <v>26</v>
      </c>
      <c r="N13" s="10" t="s">
        <v>26</v>
      </c>
      <c r="O13" s="10" t="s">
        <v>26</v>
      </c>
      <c r="P13" s="10" t="s">
        <v>26</v>
      </c>
      <c r="Q13" s="10" t="s">
        <v>26</v>
      </c>
      <c r="R13" s="10" t="s">
        <v>26</v>
      </c>
      <c r="S13" s="10" t="s">
        <v>26</v>
      </c>
      <c r="T13" s="10" t="s">
        <v>26</v>
      </c>
      <c r="U13" s="7" t="s">
        <v>26</v>
      </c>
      <c r="V13" s="7" t="s">
        <v>26</v>
      </c>
      <c r="W13" s="7" t="s">
        <v>26</v>
      </c>
    </row>
    <row r="14">
      <c r="A14" s="8">
        <v>40544.0</v>
      </c>
      <c r="B14" s="34">
        <f>IFERROR(__xludf.DUMMYFUNCTION("""COMPUTED_VALUE"""),3571.0)</f>
        <v>3571</v>
      </c>
      <c r="C14" s="10" t="s">
        <v>26</v>
      </c>
      <c r="D14" s="10" t="s">
        <v>26</v>
      </c>
      <c r="E14" s="10" t="s">
        <v>26</v>
      </c>
      <c r="F14" s="10" t="s">
        <v>26</v>
      </c>
      <c r="G14" s="10" t="s">
        <v>26</v>
      </c>
      <c r="H14" s="10" t="s">
        <v>26</v>
      </c>
      <c r="I14" s="10" t="s">
        <v>26</v>
      </c>
      <c r="J14" s="10" t="s">
        <v>26</v>
      </c>
      <c r="K14" s="11" t="s">
        <v>26</v>
      </c>
      <c r="L14" s="10" t="s">
        <v>26</v>
      </c>
      <c r="M14" s="10" t="s">
        <v>26</v>
      </c>
      <c r="N14" s="10" t="s">
        <v>26</v>
      </c>
      <c r="O14" s="10" t="s">
        <v>26</v>
      </c>
      <c r="P14" s="10" t="s">
        <v>26</v>
      </c>
      <c r="Q14" s="10" t="s">
        <v>26</v>
      </c>
      <c r="R14" s="10" t="s">
        <v>26</v>
      </c>
      <c r="S14" s="10" t="s">
        <v>26</v>
      </c>
      <c r="T14" s="10" t="s">
        <v>26</v>
      </c>
      <c r="U14" s="7" t="s">
        <v>26</v>
      </c>
      <c r="V14" s="7" t="s">
        <v>26</v>
      </c>
      <c r="W14" s="7" t="s">
        <v>26</v>
      </c>
    </row>
    <row r="15">
      <c r="A15" s="8">
        <v>40575.0</v>
      </c>
      <c r="B15" s="34">
        <f>IFERROR(__xludf.DUMMYFUNCTION("""COMPUTED_VALUE"""),3009.0)</f>
        <v>3009</v>
      </c>
      <c r="C15" s="10" t="s">
        <v>26</v>
      </c>
      <c r="D15" s="10" t="s">
        <v>26</v>
      </c>
      <c r="E15" s="10" t="s">
        <v>26</v>
      </c>
      <c r="F15" s="10" t="s">
        <v>26</v>
      </c>
      <c r="G15" s="10" t="s">
        <v>26</v>
      </c>
      <c r="H15" s="10" t="s">
        <v>26</v>
      </c>
      <c r="I15" s="10" t="s">
        <v>26</v>
      </c>
      <c r="J15" s="10" t="s">
        <v>26</v>
      </c>
      <c r="K15" s="11" t="s">
        <v>26</v>
      </c>
      <c r="L15" s="10" t="s">
        <v>26</v>
      </c>
      <c r="M15" s="10" t="s">
        <v>26</v>
      </c>
      <c r="N15" s="10" t="s">
        <v>26</v>
      </c>
      <c r="O15" s="10" t="s">
        <v>26</v>
      </c>
      <c r="P15" s="10" t="s">
        <v>26</v>
      </c>
      <c r="Q15" s="10" t="s">
        <v>26</v>
      </c>
      <c r="R15" s="10" t="s">
        <v>26</v>
      </c>
      <c r="S15" s="10" t="s">
        <v>26</v>
      </c>
      <c r="T15" s="10" t="s">
        <v>26</v>
      </c>
      <c r="U15" s="7" t="s">
        <v>26</v>
      </c>
      <c r="V15" s="7" t="s">
        <v>26</v>
      </c>
      <c r="W15" s="7" t="s">
        <v>26</v>
      </c>
    </row>
    <row r="16">
      <c r="A16" s="8">
        <v>40603.0</v>
      </c>
      <c r="B16" s="34">
        <f>IFERROR(__xludf.DUMMYFUNCTION("""COMPUTED_VALUE"""),4226.0)</f>
        <v>4226</v>
      </c>
      <c r="C16" s="10" t="s">
        <v>26</v>
      </c>
      <c r="D16" s="10" t="s">
        <v>26</v>
      </c>
      <c r="E16" s="10" t="s">
        <v>26</v>
      </c>
      <c r="F16" s="10" t="s">
        <v>26</v>
      </c>
      <c r="G16" s="10" t="s">
        <v>26</v>
      </c>
      <c r="H16" s="10" t="s">
        <v>26</v>
      </c>
      <c r="I16" s="10" t="s">
        <v>26</v>
      </c>
      <c r="J16" s="10" t="s">
        <v>26</v>
      </c>
      <c r="K16" s="11" t="s">
        <v>26</v>
      </c>
      <c r="L16" s="10" t="s">
        <v>26</v>
      </c>
      <c r="M16" s="10" t="s">
        <v>26</v>
      </c>
      <c r="N16" s="10" t="s">
        <v>26</v>
      </c>
      <c r="O16" s="10" t="s">
        <v>26</v>
      </c>
      <c r="P16" s="10" t="s">
        <v>26</v>
      </c>
      <c r="Q16" s="10" t="s">
        <v>26</v>
      </c>
      <c r="R16" s="10" t="s">
        <v>26</v>
      </c>
      <c r="S16" s="10" t="s">
        <v>26</v>
      </c>
      <c r="T16" s="10" t="s">
        <v>26</v>
      </c>
      <c r="U16" s="7" t="s">
        <v>26</v>
      </c>
      <c r="V16" s="7" t="s">
        <v>26</v>
      </c>
      <c r="W16" s="7" t="s">
        <v>26</v>
      </c>
    </row>
    <row r="17">
      <c r="A17" s="8">
        <v>40634.0</v>
      </c>
      <c r="B17" s="34">
        <f>IFERROR(__xludf.DUMMYFUNCTION("""COMPUTED_VALUE"""),2861.0)</f>
        <v>2861</v>
      </c>
      <c r="C17" s="10" t="s">
        <v>26</v>
      </c>
      <c r="D17" s="10" t="s">
        <v>26</v>
      </c>
      <c r="E17" s="10" t="s">
        <v>26</v>
      </c>
      <c r="F17" s="10" t="s">
        <v>26</v>
      </c>
      <c r="G17" s="10" t="s">
        <v>26</v>
      </c>
      <c r="H17" s="10" t="s">
        <v>26</v>
      </c>
      <c r="I17" s="10" t="s">
        <v>26</v>
      </c>
      <c r="J17" s="10" t="s">
        <v>26</v>
      </c>
      <c r="K17" s="11" t="s">
        <v>26</v>
      </c>
      <c r="L17" s="10" t="s">
        <v>26</v>
      </c>
      <c r="M17" s="10" t="s">
        <v>26</v>
      </c>
      <c r="N17" s="10" t="s">
        <v>26</v>
      </c>
      <c r="O17" s="10" t="s">
        <v>26</v>
      </c>
      <c r="P17" s="10" t="s">
        <v>26</v>
      </c>
      <c r="Q17" s="10" t="s">
        <v>26</v>
      </c>
      <c r="R17" s="10" t="s">
        <v>26</v>
      </c>
      <c r="S17" s="10" t="s">
        <v>26</v>
      </c>
      <c r="T17" s="10" t="s">
        <v>26</v>
      </c>
      <c r="U17" s="7" t="s">
        <v>26</v>
      </c>
      <c r="V17" s="7" t="s">
        <v>26</v>
      </c>
      <c r="W17" s="7" t="s">
        <v>26</v>
      </c>
    </row>
    <row r="18">
      <c r="A18" s="8">
        <v>40664.0</v>
      </c>
      <c r="B18" s="34">
        <f>IFERROR(__xludf.DUMMYFUNCTION("""COMPUTED_VALUE"""),1396.0)</f>
        <v>1396</v>
      </c>
      <c r="C18" s="10" t="s">
        <v>26</v>
      </c>
      <c r="D18" s="10" t="s">
        <v>26</v>
      </c>
      <c r="E18" s="10" t="s">
        <v>26</v>
      </c>
      <c r="F18" s="10" t="s">
        <v>26</v>
      </c>
      <c r="G18" s="10" t="s">
        <v>26</v>
      </c>
      <c r="H18" s="10" t="s">
        <v>26</v>
      </c>
      <c r="I18" s="10" t="s">
        <v>26</v>
      </c>
      <c r="J18" s="10" t="s">
        <v>26</v>
      </c>
      <c r="K18" s="11" t="s">
        <v>26</v>
      </c>
      <c r="L18" s="10" t="s">
        <v>26</v>
      </c>
      <c r="M18" s="10" t="s">
        <v>26</v>
      </c>
      <c r="N18" s="10" t="s">
        <v>26</v>
      </c>
      <c r="O18" s="10" t="s">
        <v>26</v>
      </c>
      <c r="P18" s="10" t="s">
        <v>26</v>
      </c>
      <c r="Q18" s="10" t="s">
        <v>26</v>
      </c>
      <c r="R18" s="10" t="s">
        <v>26</v>
      </c>
      <c r="S18" s="10" t="s">
        <v>26</v>
      </c>
      <c r="T18" s="10" t="s">
        <v>26</v>
      </c>
      <c r="U18" s="7" t="s">
        <v>26</v>
      </c>
      <c r="V18" s="7" t="s">
        <v>26</v>
      </c>
      <c r="W18" s="7" t="s">
        <v>26</v>
      </c>
    </row>
    <row r="19">
      <c r="A19" s="8">
        <v>40695.0</v>
      </c>
      <c r="B19" s="34">
        <f>IFERROR(__xludf.DUMMYFUNCTION("""COMPUTED_VALUE"""),2110.0)</f>
        <v>2110</v>
      </c>
      <c r="C19" s="10" t="s">
        <v>26</v>
      </c>
      <c r="D19" s="10" t="s">
        <v>26</v>
      </c>
      <c r="E19" s="10" t="s">
        <v>26</v>
      </c>
      <c r="F19" s="10" t="s">
        <v>26</v>
      </c>
      <c r="G19" s="10" t="s">
        <v>26</v>
      </c>
      <c r="H19" s="10" t="s">
        <v>26</v>
      </c>
      <c r="I19" s="10" t="s">
        <v>26</v>
      </c>
      <c r="J19" s="10" t="s">
        <v>26</v>
      </c>
      <c r="K19" s="11" t="s">
        <v>26</v>
      </c>
      <c r="L19" s="10" t="s">
        <v>26</v>
      </c>
      <c r="M19" s="10" t="s">
        <v>26</v>
      </c>
      <c r="N19" s="10" t="s">
        <v>26</v>
      </c>
      <c r="O19" s="10" t="s">
        <v>26</v>
      </c>
      <c r="P19" s="10" t="s">
        <v>26</v>
      </c>
      <c r="Q19" s="10" t="s">
        <v>26</v>
      </c>
      <c r="R19" s="10" t="s">
        <v>26</v>
      </c>
      <c r="S19" s="10" t="s">
        <v>26</v>
      </c>
      <c r="T19" s="10" t="s">
        <v>26</v>
      </c>
      <c r="U19" s="7" t="s">
        <v>26</v>
      </c>
      <c r="V19" s="7" t="s">
        <v>26</v>
      </c>
      <c r="W19" s="7" t="s">
        <v>26</v>
      </c>
    </row>
    <row r="20">
      <c r="A20" s="8">
        <v>40725.0</v>
      </c>
      <c r="B20" s="34">
        <f>IFERROR(__xludf.DUMMYFUNCTION("""COMPUTED_VALUE"""),2833.0)</f>
        <v>2833</v>
      </c>
      <c r="C20" s="10" t="s">
        <v>26</v>
      </c>
      <c r="D20" s="10" t="s">
        <v>26</v>
      </c>
      <c r="E20" s="10" t="s">
        <v>26</v>
      </c>
      <c r="F20" s="10" t="s">
        <v>26</v>
      </c>
      <c r="G20" s="10" t="s">
        <v>26</v>
      </c>
      <c r="H20" s="10" t="s">
        <v>26</v>
      </c>
      <c r="I20" s="10" t="s">
        <v>26</v>
      </c>
      <c r="J20" s="10" t="s">
        <v>26</v>
      </c>
      <c r="K20" s="11" t="s">
        <v>26</v>
      </c>
      <c r="L20" s="10" t="s">
        <v>26</v>
      </c>
      <c r="M20" s="10" t="s">
        <v>26</v>
      </c>
      <c r="N20" s="10" t="s">
        <v>26</v>
      </c>
      <c r="O20" s="10" t="s">
        <v>26</v>
      </c>
      <c r="P20" s="10" t="s">
        <v>26</v>
      </c>
      <c r="Q20" s="10" t="s">
        <v>26</v>
      </c>
      <c r="R20" s="10" t="s">
        <v>26</v>
      </c>
      <c r="S20" s="10" t="s">
        <v>26</v>
      </c>
      <c r="T20" s="10" t="s">
        <v>26</v>
      </c>
      <c r="U20" s="7" t="s">
        <v>26</v>
      </c>
      <c r="V20" s="7" t="s">
        <v>26</v>
      </c>
      <c r="W20" s="7" t="s">
        <v>26</v>
      </c>
    </row>
    <row r="21">
      <c r="A21" s="8">
        <v>40756.0</v>
      </c>
      <c r="B21" s="34">
        <f>IFERROR(__xludf.DUMMYFUNCTION("""COMPUTED_VALUE"""),1076.0)</f>
        <v>1076</v>
      </c>
      <c r="C21" s="12">
        <v>2488.55213675214</v>
      </c>
      <c r="D21" s="12">
        <v>1473.33140610847</v>
      </c>
      <c r="E21" s="12">
        <v>758.721640043818</v>
      </c>
      <c r="F21" s="12">
        <v>-4474.02221507726</v>
      </c>
      <c r="G21" s="12">
        <v>1369.47305077712</v>
      </c>
      <c r="H21" s="12">
        <v>1277.42463325978</v>
      </c>
      <c r="I21" s="12">
        <v>2102.00721578111</v>
      </c>
      <c r="J21" s="12">
        <v>1986.25459433583</v>
      </c>
      <c r="K21" s="13">
        <v>2198.21393754256</v>
      </c>
      <c r="L21" s="12">
        <v>1827.68928596769</v>
      </c>
      <c r="M21" s="12">
        <v>791.015446145272</v>
      </c>
      <c r="N21" s="12">
        <v>-179.511816521346</v>
      </c>
      <c r="O21" s="12">
        <v>168.0</v>
      </c>
      <c r="P21" s="12">
        <v>2849.85679718818</v>
      </c>
      <c r="Q21" s="12">
        <v>2757.74</v>
      </c>
      <c r="R21" s="12">
        <v>1641.65912073182</v>
      </c>
      <c r="S21" s="12">
        <v>2151.7094017094</v>
      </c>
      <c r="T21" s="12">
        <v>1284.77563797931</v>
      </c>
      <c r="U21" s="7">
        <v>1131.61472595987</v>
      </c>
      <c r="V21" s="7">
        <v>1163.10948446733</v>
      </c>
      <c r="W21" s="7">
        <v>1279.0</v>
      </c>
    </row>
    <row r="22">
      <c r="A22" s="8">
        <v>40787.0</v>
      </c>
      <c r="B22" s="34">
        <f>IFERROR(__xludf.DUMMYFUNCTION("""COMPUTED_VALUE"""),4293.0)</f>
        <v>4293</v>
      </c>
      <c r="C22" s="12">
        <v>1755.78187250996</v>
      </c>
      <c r="D22" s="12">
        <v>1138.5094902036</v>
      </c>
      <c r="E22" s="12">
        <v>924.524107679333</v>
      </c>
      <c r="F22" s="12">
        <v>-3352.40950210055</v>
      </c>
      <c r="G22" s="12">
        <v>4606.96886022205</v>
      </c>
      <c r="H22" s="12">
        <v>3050.99811233502</v>
      </c>
      <c r="I22" s="12">
        <v>329.333333333333</v>
      </c>
      <c r="J22" s="12">
        <v>2816.19112553197</v>
      </c>
      <c r="K22" s="13">
        <v>2385.21393754256</v>
      </c>
      <c r="L22" s="12">
        <v>1647.00011199539</v>
      </c>
      <c r="M22" s="12">
        <v>4361.83383711242</v>
      </c>
      <c r="N22" s="12">
        <v>5071.35819340374</v>
      </c>
      <c r="O22" s="12">
        <v>131.0</v>
      </c>
      <c r="P22" s="12">
        <v>2980.80857706185</v>
      </c>
      <c r="Q22" s="12">
        <v>4075.46</v>
      </c>
      <c r="R22" s="12">
        <v>3957.64432469215</v>
      </c>
      <c r="S22" s="12">
        <v>5306.37450199203</v>
      </c>
      <c r="T22" s="12">
        <v>2371.08703970363</v>
      </c>
      <c r="U22" s="7">
        <v>1660.24374879571</v>
      </c>
      <c r="V22" s="7">
        <v>1410.26948446733</v>
      </c>
      <c r="W22" s="7">
        <v>4090.5</v>
      </c>
    </row>
    <row r="23">
      <c r="A23" s="8">
        <v>40817.0</v>
      </c>
      <c r="B23" s="34">
        <f>IFERROR(__xludf.DUMMYFUNCTION("""COMPUTED_VALUE"""),1667.0)</f>
        <v>1667</v>
      </c>
      <c r="C23" s="12">
        <v>1471.55781662282</v>
      </c>
      <c r="D23" s="12">
        <v>684.318889461135</v>
      </c>
      <c r="E23" s="12">
        <v>905.422219378537</v>
      </c>
      <c r="F23" s="12">
        <v>-3339.27057065646</v>
      </c>
      <c r="G23" s="12">
        <v>2003.93711021189</v>
      </c>
      <c r="H23" s="12">
        <v>2672.77567741678</v>
      </c>
      <c r="I23" s="12">
        <v>303.403167474193</v>
      </c>
      <c r="J23" s="12">
        <v>1746.46705917668</v>
      </c>
      <c r="K23" s="13">
        <v>2711.21393754256</v>
      </c>
      <c r="L23" s="12">
        <v>1647.00011199539</v>
      </c>
      <c r="M23" s="12">
        <v>3262.75657009675</v>
      </c>
      <c r="N23" s="12">
        <v>1133.77997987545</v>
      </c>
      <c r="O23" s="12">
        <v>203.379858667755</v>
      </c>
      <c r="P23" s="12">
        <v>3289.6436124469</v>
      </c>
      <c r="Q23" s="12">
        <v>1880.36666666667</v>
      </c>
      <c r="R23" s="12">
        <v>2434.71476838624</v>
      </c>
      <c r="S23" s="12">
        <v>1917.39811912226</v>
      </c>
      <c r="T23" s="12">
        <v>3147.62462804675</v>
      </c>
      <c r="U23" s="7">
        <v>3043.95573332609</v>
      </c>
      <c r="V23" s="7">
        <v>2162.00948446733</v>
      </c>
      <c r="W23" s="7">
        <v>1506.0</v>
      </c>
    </row>
    <row r="24">
      <c r="A24" s="8">
        <v>40848.0</v>
      </c>
      <c r="B24" s="34">
        <f>IFERROR(__xludf.DUMMYFUNCTION("""COMPUTED_VALUE"""),601.0)</f>
        <v>601</v>
      </c>
      <c r="C24" s="12">
        <v>884.585958005249</v>
      </c>
      <c r="D24" s="12">
        <v>673.876003261446</v>
      </c>
      <c r="E24" s="12">
        <v>1669.54379419149</v>
      </c>
      <c r="F24" s="12">
        <v>-3187.19143806844</v>
      </c>
      <c r="G24" s="12">
        <v>1302.4838502236</v>
      </c>
      <c r="H24" s="12">
        <v>2163.24481237547</v>
      </c>
      <c r="I24" s="12">
        <v>188.666666666667</v>
      </c>
      <c r="J24" s="12">
        <v>1421.44704862377</v>
      </c>
      <c r="K24" s="13">
        <v>3202.21393754256</v>
      </c>
      <c r="L24" s="12">
        <v>1230.14111916274</v>
      </c>
      <c r="M24" s="12">
        <v>849.727642597984</v>
      </c>
      <c r="N24" s="12">
        <v>995.264059842033</v>
      </c>
      <c r="O24" s="12">
        <v>941.802349907366</v>
      </c>
      <c r="P24" s="12">
        <v>398.082746288788</v>
      </c>
      <c r="Q24" s="12">
        <v>1768.83659444095</v>
      </c>
      <c r="R24" s="12">
        <v>731.164004755364</v>
      </c>
      <c r="S24" s="12">
        <v>1750.55213552851</v>
      </c>
      <c r="T24" s="12">
        <v>789.858922447249</v>
      </c>
      <c r="U24" s="7">
        <v>1754.98071947107</v>
      </c>
      <c r="V24" s="7">
        <v>2370.62948446733</v>
      </c>
      <c r="W24" s="7">
        <v>2352.2</v>
      </c>
    </row>
    <row r="25">
      <c r="A25" s="8">
        <v>40878.0</v>
      </c>
      <c r="B25" s="34">
        <f>IFERROR(__xludf.DUMMYFUNCTION("""COMPUTED_VALUE"""),1075.0)</f>
        <v>1075</v>
      </c>
      <c r="C25" s="12">
        <v>869.168343828715</v>
      </c>
      <c r="D25" s="12">
        <v>866.99444901168</v>
      </c>
      <c r="E25" s="12">
        <v>3170.44570564972</v>
      </c>
      <c r="F25" s="12">
        <v>-3370.0973848107</v>
      </c>
      <c r="G25" s="12">
        <v>1203.21030938218</v>
      </c>
      <c r="H25" s="12">
        <v>1542.74413289487</v>
      </c>
      <c r="I25" s="12">
        <v>232.666666666667</v>
      </c>
      <c r="J25" s="12">
        <v>1314.58726896383</v>
      </c>
      <c r="K25" s="13">
        <v>3202.21393754256</v>
      </c>
      <c r="L25" s="12">
        <v>2328.85812203401</v>
      </c>
      <c r="M25" s="12">
        <v>3893.08603753552</v>
      </c>
      <c r="N25" s="12">
        <v>-489.793223357009</v>
      </c>
      <c r="O25" s="12">
        <v>769.184576590621</v>
      </c>
      <c r="P25" s="12">
        <v>3878.62405193319</v>
      </c>
      <c r="Q25" s="12">
        <v>634.35</v>
      </c>
      <c r="R25" s="12">
        <v>1533.97738762929</v>
      </c>
      <c r="S25" s="12">
        <v>2448.4976339374</v>
      </c>
      <c r="T25" s="12">
        <v>4856.77561138529</v>
      </c>
      <c r="U25" s="7">
        <v>2859.42807210533</v>
      </c>
      <c r="V25" s="7">
        <v>1794.14948446733</v>
      </c>
      <c r="W25" s="7">
        <v>1896.5</v>
      </c>
    </row>
    <row r="26">
      <c r="A26" s="8">
        <v>40909.0</v>
      </c>
      <c r="B26" s="34">
        <f>IFERROR(__xludf.DUMMYFUNCTION("""COMPUTED_VALUE"""),5110.0)</f>
        <v>5110</v>
      </c>
      <c r="C26" s="12">
        <v>3965.73150442478</v>
      </c>
      <c r="D26" s="12">
        <v>1329.87912726011</v>
      </c>
      <c r="E26" s="12">
        <v>3904.0957315165</v>
      </c>
      <c r="F26" s="12">
        <v>-4249.5098929186</v>
      </c>
      <c r="G26" s="12">
        <v>3299.55461372396</v>
      </c>
      <c r="H26" s="12">
        <v>2047.64903125672</v>
      </c>
      <c r="I26" s="12">
        <v>173.666666666667</v>
      </c>
      <c r="J26" s="12">
        <v>1777.52161464269</v>
      </c>
      <c r="K26" s="13">
        <v>2771.47893754256</v>
      </c>
      <c r="L26" s="12">
        <v>3624.95620762342</v>
      </c>
      <c r="M26" s="12">
        <v>4689.95455358461</v>
      </c>
      <c r="N26" s="12">
        <v>4433.67779780256</v>
      </c>
      <c r="O26" s="12">
        <v>1661.46572481137</v>
      </c>
      <c r="P26" s="12">
        <v>4807.30887920319</v>
      </c>
      <c r="Q26" s="12">
        <v>3406.20227857504</v>
      </c>
      <c r="R26" s="12">
        <v>2417.95019607967</v>
      </c>
      <c r="S26" s="12">
        <v>3455.17750737463</v>
      </c>
      <c r="T26" s="12">
        <v>4435.42882605755</v>
      </c>
      <c r="U26" s="7">
        <v>4389.19445385522</v>
      </c>
      <c r="V26" s="7">
        <v>3994.56901201099</v>
      </c>
      <c r="W26" s="7">
        <v>3853.925</v>
      </c>
    </row>
    <row r="27">
      <c r="A27" s="8">
        <v>40940.0</v>
      </c>
      <c r="B27" s="34">
        <f>IFERROR(__xludf.DUMMYFUNCTION("""COMPUTED_VALUE"""),5317.0)</f>
        <v>5317</v>
      </c>
      <c r="C27" s="12">
        <v>3934.8475</v>
      </c>
      <c r="D27" s="12">
        <v>4309.34584693191</v>
      </c>
      <c r="E27" s="12">
        <v>4851.95928654001</v>
      </c>
      <c r="F27" s="12">
        <v>-1416.04206314305</v>
      </c>
      <c r="G27" s="12">
        <v>5118.05870385157</v>
      </c>
      <c r="H27" s="12">
        <v>4036.01500970392</v>
      </c>
      <c r="I27" s="12">
        <v>4204.61775328187</v>
      </c>
      <c r="J27" s="12">
        <v>3824.60429006884</v>
      </c>
      <c r="K27" s="13">
        <v>5933.83893754256</v>
      </c>
      <c r="L27" s="12">
        <v>4731.96242640431</v>
      </c>
      <c r="M27" s="12">
        <v>2869.40488675773</v>
      </c>
      <c r="N27" s="12">
        <v>1429.6140802791</v>
      </c>
      <c r="O27" s="12">
        <v>2939.65366219216</v>
      </c>
      <c r="P27" s="12">
        <v>3460.8419329214</v>
      </c>
      <c r="Q27" s="12">
        <v>5038.30390699499</v>
      </c>
      <c r="R27" s="12">
        <v>3274.90516192382</v>
      </c>
      <c r="S27" s="12">
        <v>4791.89583333333</v>
      </c>
      <c r="T27" s="12">
        <v>4657.66632750671</v>
      </c>
      <c r="U27" s="7">
        <v>5723.64557753519</v>
      </c>
      <c r="V27" s="7">
        <v>4264.02014293623</v>
      </c>
      <c r="W27" s="7">
        <v>3349.525</v>
      </c>
    </row>
    <row r="28">
      <c r="A28" s="8">
        <v>40969.0</v>
      </c>
      <c r="B28" s="34">
        <f>IFERROR(__xludf.DUMMYFUNCTION("""COMPUTED_VALUE"""),5804.0)</f>
        <v>5804</v>
      </c>
      <c r="C28" s="12">
        <v>4985.88130434783</v>
      </c>
      <c r="D28" s="12">
        <v>5095.36050084234</v>
      </c>
      <c r="E28" s="12">
        <v>4113.74032504616</v>
      </c>
      <c r="F28" s="12">
        <v>-2169.57510839886</v>
      </c>
      <c r="G28" s="12">
        <v>4845.51179433988</v>
      </c>
      <c r="H28" s="12">
        <v>3821.15108309291</v>
      </c>
      <c r="I28" s="12">
        <v>305.0</v>
      </c>
      <c r="J28" s="12">
        <v>5065.90746840244</v>
      </c>
      <c r="K28" s="13">
        <v>2825.31393754256</v>
      </c>
      <c r="L28" s="12">
        <v>6625.16308483282</v>
      </c>
      <c r="M28" s="12">
        <v>4989.44032368701</v>
      </c>
      <c r="N28" s="12">
        <v>3329.31448908273</v>
      </c>
      <c r="O28" s="12">
        <v>3200.31862383448</v>
      </c>
      <c r="P28" s="12">
        <v>5498.53640469776</v>
      </c>
      <c r="Q28" s="12">
        <v>5433.51546049582</v>
      </c>
      <c r="R28" s="12">
        <v>5097.37560161276</v>
      </c>
      <c r="S28" s="12">
        <v>2973.55543478261</v>
      </c>
      <c r="T28" s="12">
        <v>7385.04837635103</v>
      </c>
      <c r="U28" s="7">
        <v>3605.65762121088</v>
      </c>
      <c r="V28" s="7">
        <v>4644.9153327915</v>
      </c>
      <c r="W28" s="7">
        <v>2956.675</v>
      </c>
    </row>
    <row r="29">
      <c r="A29" s="8">
        <v>41000.0</v>
      </c>
      <c r="B29" s="34">
        <f>IFERROR(__xludf.DUMMYFUNCTION("""COMPUTED_VALUE"""),5314.0)</f>
        <v>5314</v>
      </c>
      <c r="C29" s="12">
        <v>5365.92555555556</v>
      </c>
      <c r="D29" s="12">
        <v>4798.13034727456</v>
      </c>
      <c r="E29" s="12">
        <v>4969.98097918015</v>
      </c>
      <c r="F29" s="12">
        <v>-3251.346535375</v>
      </c>
      <c r="G29" s="12">
        <v>5739.13800321093</v>
      </c>
      <c r="H29" s="12">
        <v>6188.88593419124</v>
      </c>
      <c r="I29" s="12">
        <v>1050.0</v>
      </c>
      <c r="J29" s="12">
        <v>5410.58879162948</v>
      </c>
      <c r="K29" s="13">
        <v>3756.51393754256</v>
      </c>
      <c r="L29" s="12">
        <v>5105.2965817195</v>
      </c>
      <c r="M29" s="12">
        <v>6192.30246260015</v>
      </c>
      <c r="N29" s="12">
        <v>4551.15453659289</v>
      </c>
      <c r="O29" s="12">
        <v>855.467629137212</v>
      </c>
      <c r="P29" s="12">
        <v>4878.37922248474</v>
      </c>
      <c r="Q29" s="12">
        <v>5263.41333333333</v>
      </c>
      <c r="R29" s="12">
        <v>5278.58434615518</v>
      </c>
      <c r="S29" s="12">
        <v>2124.7037037037</v>
      </c>
      <c r="T29" s="12">
        <v>4974.79232817512</v>
      </c>
      <c r="U29" s="7">
        <v>3017.58107443929</v>
      </c>
      <c r="V29" s="7">
        <v>4937.6453327915</v>
      </c>
      <c r="W29" s="7">
        <v>4532.5</v>
      </c>
    </row>
    <row r="30">
      <c r="A30" s="8">
        <v>41030.0</v>
      </c>
      <c r="B30" s="34">
        <f>IFERROR(__xludf.DUMMYFUNCTION("""COMPUTED_VALUE"""),4522.0)</f>
        <v>4522</v>
      </c>
      <c r="C30" s="12">
        <v>5028.18379310345</v>
      </c>
      <c r="D30" s="12">
        <v>4740.56895105507</v>
      </c>
      <c r="E30" s="12">
        <v>5495.02265572381</v>
      </c>
      <c r="F30" s="12">
        <v>-2466.51135814132</v>
      </c>
      <c r="G30" s="12">
        <v>5220.06486039126</v>
      </c>
      <c r="H30" s="12">
        <v>3351.30610325296</v>
      </c>
      <c r="I30" s="12">
        <v>1160.0</v>
      </c>
      <c r="J30" s="12">
        <v>5270.17993646454</v>
      </c>
      <c r="K30" s="13">
        <v>2892.21393754256</v>
      </c>
      <c r="L30" s="12">
        <v>4659.41981996134</v>
      </c>
      <c r="M30" s="12">
        <v>4078.52079649876</v>
      </c>
      <c r="N30" s="12">
        <v>3872.49425002699</v>
      </c>
      <c r="O30" s="12">
        <v>1245.94101128661</v>
      </c>
      <c r="P30" s="12">
        <v>4092.97357303734</v>
      </c>
      <c r="Q30" s="12">
        <v>3413.53563623525</v>
      </c>
      <c r="R30" s="12">
        <v>5463.6</v>
      </c>
      <c r="S30" s="12">
        <v>3246.125</v>
      </c>
      <c r="T30" s="12">
        <v>4236.32529673125</v>
      </c>
      <c r="U30" s="7">
        <v>3414.6478177631</v>
      </c>
      <c r="V30" s="7">
        <v>4632.44533279149</v>
      </c>
      <c r="W30" s="7">
        <v>3826.75</v>
      </c>
    </row>
    <row r="31">
      <c r="A31" s="8">
        <v>41061.0</v>
      </c>
      <c r="B31" s="34">
        <f>IFERROR(__xludf.DUMMYFUNCTION("""COMPUTED_VALUE"""),3529.0)</f>
        <v>3529</v>
      </c>
      <c r="C31" s="12">
        <v>2073.34139534884</v>
      </c>
      <c r="D31" s="12">
        <v>2765.58302561923</v>
      </c>
      <c r="E31" s="12">
        <v>3385.74914998063</v>
      </c>
      <c r="F31" s="12">
        <v>-2814.36566185499</v>
      </c>
      <c r="G31" s="12">
        <v>2755.96552177054</v>
      </c>
      <c r="H31" s="12">
        <v>2934.25401411128</v>
      </c>
      <c r="I31" s="12">
        <v>882.0</v>
      </c>
      <c r="J31" s="12">
        <v>2000.5021334626</v>
      </c>
      <c r="K31" s="13">
        <v>3127.21393754256</v>
      </c>
      <c r="L31" s="12">
        <v>3469.70582182666</v>
      </c>
      <c r="M31" s="12">
        <v>3311.51709788274</v>
      </c>
      <c r="N31" s="12">
        <v>3335.43672743099</v>
      </c>
      <c r="O31" s="12">
        <v>936.389181390242</v>
      </c>
      <c r="P31" s="12">
        <v>3232.3321910741</v>
      </c>
      <c r="Q31" s="12">
        <v>3607.16434871729</v>
      </c>
      <c r="R31" s="12">
        <v>3556.70236712147</v>
      </c>
      <c r="S31" s="12">
        <v>3285.67618342479</v>
      </c>
      <c r="T31" s="12">
        <v>3484.72340238756</v>
      </c>
      <c r="U31" s="7">
        <v>3470.14873903689</v>
      </c>
      <c r="V31" s="7">
        <v>3769.45593694161</v>
      </c>
      <c r="W31" s="7">
        <v>4365.55</v>
      </c>
    </row>
    <row r="32">
      <c r="A32" s="8">
        <v>41091.0</v>
      </c>
      <c r="B32" s="34">
        <f>IFERROR(__xludf.DUMMYFUNCTION("""COMPUTED_VALUE"""),2998.0)</f>
        <v>2998</v>
      </c>
      <c r="C32" s="12">
        <v>3123.53465909091</v>
      </c>
      <c r="D32" s="12">
        <v>3926.76354117652</v>
      </c>
      <c r="E32" s="12">
        <v>2915.24262786434</v>
      </c>
      <c r="F32" s="12">
        <v>-3717.28788725007</v>
      </c>
      <c r="G32" s="12">
        <v>3511.30249508478</v>
      </c>
      <c r="H32" s="12">
        <v>3799.64573556236</v>
      </c>
      <c r="I32" s="12">
        <v>1438.0</v>
      </c>
      <c r="J32" s="12">
        <v>3131.83788246194</v>
      </c>
      <c r="K32" s="13">
        <v>3020.54193754256</v>
      </c>
      <c r="L32" s="12">
        <v>3508.1797696308</v>
      </c>
      <c r="M32" s="12">
        <v>2816.11966953281</v>
      </c>
      <c r="N32" s="12">
        <v>3091.59416030008</v>
      </c>
      <c r="O32" s="12">
        <v>676.166497953166</v>
      </c>
      <c r="P32" s="12">
        <v>2863.27334660702</v>
      </c>
      <c r="Q32" s="12">
        <v>3599.63015417408</v>
      </c>
      <c r="R32" s="12">
        <v>3210.0</v>
      </c>
      <c r="S32" s="12">
        <v>2894.61774642762</v>
      </c>
      <c r="T32" s="12">
        <v>4378.62501494462</v>
      </c>
      <c r="U32" s="7">
        <v>3494.85833590465</v>
      </c>
      <c r="V32" s="7">
        <v>3351.07293924724</v>
      </c>
      <c r="W32" s="7">
        <v>3627.625</v>
      </c>
    </row>
    <row r="33">
      <c r="A33" s="8">
        <v>41122.0</v>
      </c>
      <c r="B33" s="34">
        <f>IFERROR(__xludf.DUMMYFUNCTION("""COMPUTED_VALUE"""),828.0)</f>
        <v>828</v>
      </c>
      <c r="C33" s="12">
        <v>2668.95527918782</v>
      </c>
      <c r="D33" s="12">
        <v>2580.29337962961</v>
      </c>
      <c r="E33" s="12">
        <v>3144.1634629518</v>
      </c>
      <c r="F33" s="12">
        <v>-4269.81617729972</v>
      </c>
      <c r="G33" s="12">
        <v>3456.1102717643</v>
      </c>
      <c r="H33" s="12">
        <v>207.0</v>
      </c>
      <c r="I33" s="12">
        <v>1785.0</v>
      </c>
      <c r="J33" s="12">
        <v>2886.37756551784</v>
      </c>
      <c r="K33" s="13">
        <v>2455.21393754256</v>
      </c>
      <c r="L33" s="12">
        <v>2239.57430589373</v>
      </c>
      <c r="M33" s="12">
        <v>3143.41098514166</v>
      </c>
      <c r="N33" s="12">
        <v>2498.05931771038</v>
      </c>
      <c r="O33" s="12">
        <v>-1.47058823529414</v>
      </c>
      <c r="P33" s="12">
        <v>3374.95700966713</v>
      </c>
      <c r="Q33" s="12">
        <v>930.138888888889</v>
      </c>
      <c r="R33" s="12">
        <v>2265.1</v>
      </c>
      <c r="S33" s="12">
        <v>874.282088469906</v>
      </c>
      <c r="T33" s="12">
        <v>3597.30301088507</v>
      </c>
      <c r="U33" s="7">
        <v>3124.50824118181</v>
      </c>
      <c r="V33" s="7">
        <v>2276.24901201099</v>
      </c>
      <c r="W33" s="7">
        <v>2659.85</v>
      </c>
    </row>
    <row r="34">
      <c r="A34" s="8">
        <v>41153.0</v>
      </c>
      <c r="B34" s="34">
        <f>IFERROR(__xludf.DUMMYFUNCTION("""COMPUTED_VALUE"""),8284.0)</f>
        <v>8284</v>
      </c>
      <c r="C34" s="12">
        <v>8236.66837457388</v>
      </c>
      <c r="D34" s="12">
        <v>3399.4031770849</v>
      </c>
      <c r="E34" s="12">
        <v>3504.05771923748</v>
      </c>
      <c r="F34" s="12">
        <v>1488.0552563498</v>
      </c>
      <c r="G34" s="12">
        <v>4435.37264777302</v>
      </c>
      <c r="H34" s="12">
        <v>4460.12551885053</v>
      </c>
      <c r="I34" s="12">
        <v>8277.0</v>
      </c>
      <c r="J34" s="12">
        <v>2567.53492545592</v>
      </c>
      <c r="K34" s="13">
        <v>7365.21393754256</v>
      </c>
      <c r="L34" s="12">
        <v>688.526008184587</v>
      </c>
      <c r="M34" s="12">
        <v>7461.19920521329</v>
      </c>
      <c r="N34" s="12">
        <v>8164.13486925719</v>
      </c>
      <c r="O34" s="12">
        <v>2043.23529411765</v>
      </c>
      <c r="P34" s="12">
        <v>6676.32002367627</v>
      </c>
      <c r="Q34" s="12">
        <v>6636.90758142005</v>
      </c>
      <c r="R34" s="12">
        <v>4279.78747729502</v>
      </c>
      <c r="S34" s="12">
        <v>7905.29083087654</v>
      </c>
      <c r="T34" s="12">
        <v>8558.22346312237</v>
      </c>
      <c r="U34" s="7">
        <v>4319.78665022701</v>
      </c>
      <c r="V34" s="7">
        <v>7784.14988723408</v>
      </c>
      <c r="W34" s="7">
        <v>8377.2</v>
      </c>
    </row>
    <row r="35">
      <c r="A35" s="8">
        <v>41183.0</v>
      </c>
      <c r="B35" s="34">
        <f>IFERROR(__xludf.DUMMYFUNCTION("""COMPUTED_VALUE"""),2278.0)</f>
        <v>2278</v>
      </c>
      <c r="C35" s="12">
        <v>1892.28456747405</v>
      </c>
      <c r="D35" s="12">
        <v>2769.39950858775</v>
      </c>
      <c r="E35" s="12">
        <v>2540.82886710295</v>
      </c>
      <c r="F35" s="12">
        <v>-4140.08293774302</v>
      </c>
      <c r="G35" s="12">
        <v>4023.29645691007</v>
      </c>
      <c r="H35" s="12">
        <v>2245.5</v>
      </c>
      <c r="I35" s="12">
        <v>786.0</v>
      </c>
      <c r="J35" s="12">
        <v>2133.61988436261</v>
      </c>
      <c r="K35" s="13">
        <v>2304.21393754256</v>
      </c>
      <c r="L35" s="12">
        <v>2413.80060390347</v>
      </c>
      <c r="M35" s="12">
        <v>2764.2362489427</v>
      </c>
      <c r="N35" s="12">
        <v>2667.38131922395</v>
      </c>
      <c r="O35" s="12">
        <v>398.865771498846</v>
      </c>
      <c r="P35" s="12">
        <v>2906.12699256964</v>
      </c>
      <c r="Q35" s="12">
        <v>2990.45187560767</v>
      </c>
      <c r="R35" s="12">
        <v>6131.06833968526</v>
      </c>
      <c r="S35" s="12">
        <v>1314.84888504421</v>
      </c>
      <c r="T35" s="12">
        <v>3214.87965584984</v>
      </c>
      <c r="U35" s="7">
        <v>2742.77113016226</v>
      </c>
      <c r="V35" s="7">
        <v>2976.94901201099</v>
      </c>
      <c r="W35" s="7">
        <v>2470.0</v>
      </c>
    </row>
    <row r="36">
      <c r="A36" s="8">
        <v>41214.0</v>
      </c>
      <c r="B36" s="34">
        <f>IFERROR(__xludf.DUMMYFUNCTION("""COMPUTED_VALUE"""),2976.0)</f>
        <v>2976</v>
      </c>
      <c r="C36" s="12">
        <v>1988.7275</v>
      </c>
      <c r="D36" s="12">
        <v>3960.70656375035</v>
      </c>
      <c r="E36" s="12">
        <v>3354.62216068647</v>
      </c>
      <c r="F36" s="12">
        <v>-4056.73913920993</v>
      </c>
      <c r="G36" s="12">
        <v>2485.38439484927</v>
      </c>
      <c r="H36" s="12">
        <v>2698.69470986437</v>
      </c>
      <c r="I36" s="12">
        <v>1131.0</v>
      </c>
      <c r="J36" s="12">
        <v>2041.64556883569</v>
      </c>
      <c r="K36" s="13">
        <v>2320.21393754256</v>
      </c>
      <c r="L36" s="12">
        <v>1957.31135259873</v>
      </c>
      <c r="M36" s="12">
        <v>1355.41141738386</v>
      </c>
      <c r="N36" s="12">
        <v>1880.19277010824</v>
      </c>
      <c r="O36" s="12">
        <v>174.705882352941</v>
      </c>
      <c r="P36" s="12">
        <v>2267.18572453733</v>
      </c>
      <c r="Q36" s="12">
        <v>3441.3</v>
      </c>
      <c r="R36" s="12">
        <v>2792.17770200527</v>
      </c>
      <c r="S36" s="12">
        <v>2749.1</v>
      </c>
      <c r="T36" s="12">
        <v>2874.80374200381</v>
      </c>
      <c r="U36" s="7">
        <v>2299.86084228526</v>
      </c>
      <c r="V36" s="7">
        <v>2502.60368277654</v>
      </c>
      <c r="W36" s="7">
        <v>2449.6</v>
      </c>
    </row>
    <row r="37">
      <c r="A37" s="8">
        <v>41244.0</v>
      </c>
      <c r="B37" s="34">
        <f>IFERROR(__xludf.DUMMYFUNCTION("""COMPUTED_VALUE"""),1463.0)</f>
        <v>1463</v>
      </c>
      <c r="C37" s="12">
        <v>1841.22322580645</v>
      </c>
      <c r="D37" s="12">
        <v>3835.84544650197</v>
      </c>
      <c r="E37" s="12">
        <v>3151.86756438908</v>
      </c>
      <c r="F37" s="12">
        <v>-4036.16697501005</v>
      </c>
      <c r="G37" s="12">
        <v>3341.50523824513</v>
      </c>
      <c r="H37" s="12">
        <v>2171.94116479799</v>
      </c>
      <c r="I37" s="12">
        <v>507.0</v>
      </c>
      <c r="J37" s="12">
        <v>1615.41255840045</v>
      </c>
      <c r="K37" s="13">
        <v>2296.21393754256</v>
      </c>
      <c r="L37" s="12">
        <v>2296.25326363756</v>
      </c>
      <c r="M37" s="12">
        <v>1635.11125571786</v>
      </c>
      <c r="N37" s="12">
        <v>2285.03807729974</v>
      </c>
      <c r="O37" s="12">
        <v>-279.970588235294</v>
      </c>
      <c r="P37" s="12">
        <v>2133.33058774254</v>
      </c>
      <c r="Q37" s="12">
        <v>4638.63956047915</v>
      </c>
      <c r="R37" s="12">
        <v>2844.16121561829</v>
      </c>
      <c r="S37" s="12">
        <v>2280.89112903226</v>
      </c>
      <c r="T37" s="12">
        <v>2678.33196265048</v>
      </c>
      <c r="U37" s="7">
        <v>4228.05533897964</v>
      </c>
      <c r="V37" s="7">
        <v>2014.72368277654</v>
      </c>
      <c r="W37" s="7">
        <v>2274.7</v>
      </c>
    </row>
    <row r="38">
      <c r="A38" s="8">
        <v>41275.0</v>
      </c>
      <c r="B38" s="34">
        <f>IFERROR(__xludf.DUMMYFUNCTION("""COMPUTED_VALUE"""),5552.0)</f>
        <v>5552</v>
      </c>
      <c r="C38" s="12">
        <v>5303.92852459016</v>
      </c>
      <c r="D38" s="12">
        <v>8471.91893981989</v>
      </c>
      <c r="E38" s="12">
        <v>4440.62482942696</v>
      </c>
      <c r="F38" s="12">
        <v>-3702.92331736504</v>
      </c>
      <c r="G38" s="12">
        <v>3513.49016334515</v>
      </c>
      <c r="H38" s="12">
        <v>3980.87300736038</v>
      </c>
      <c r="I38" s="12">
        <v>2605.0</v>
      </c>
      <c r="J38" s="12">
        <v>3248.71684197643</v>
      </c>
      <c r="K38" s="13">
        <v>4777.70593754256</v>
      </c>
      <c r="L38" s="12">
        <v>4641.53136766685</v>
      </c>
      <c r="M38" s="12">
        <v>5507.47519046076</v>
      </c>
      <c r="N38" s="12">
        <v>4958.93725359694</v>
      </c>
      <c r="O38" s="12">
        <v>-293.764705882353</v>
      </c>
      <c r="P38" s="12">
        <v>3893.34519691377</v>
      </c>
      <c r="Q38" s="12">
        <v>6396.10681616259</v>
      </c>
      <c r="R38" s="12">
        <v>2758.0212785782</v>
      </c>
      <c r="S38" s="12">
        <v>3153.71314884179</v>
      </c>
      <c r="T38" s="12">
        <v>5548.26266949434</v>
      </c>
      <c r="U38" s="7">
        <v>6399.44314993605</v>
      </c>
      <c r="V38" s="7">
        <v>2572.92368277654</v>
      </c>
      <c r="W38" s="7">
        <v>8070.84525</v>
      </c>
    </row>
    <row r="39">
      <c r="A39" s="8">
        <v>41306.0</v>
      </c>
      <c r="B39" s="34">
        <f>IFERROR(__xludf.DUMMYFUNCTION("""COMPUTED_VALUE"""),3780.0)</f>
        <v>3780</v>
      </c>
      <c r="C39" s="12">
        <v>1641.24</v>
      </c>
      <c r="D39" s="12">
        <v>5043.44257111187</v>
      </c>
      <c r="E39" s="12">
        <v>3329.91140501001</v>
      </c>
      <c r="F39" s="12">
        <v>-3924.20515989062</v>
      </c>
      <c r="G39" s="12">
        <v>3958.74134371879</v>
      </c>
      <c r="H39" s="12">
        <v>3471.97738978338</v>
      </c>
      <c r="I39" s="12">
        <v>390.0</v>
      </c>
      <c r="J39" s="12">
        <v>1377.49442249295</v>
      </c>
      <c r="K39" s="13">
        <v>2364.66393754256</v>
      </c>
      <c r="L39" s="12">
        <v>2902.91631017904</v>
      </c>
      <c r="M39" s="12">
        <v>3366.28388776122</v>
      </c>
      <c r="N39" s="12">
        <v>2783.19605191291</v>
      </c>
      <c r="O39" s="12">
        <v>-816.246713073108</v>
      </c>
      <c r="P39" s="12">
        <v>4398.71865086905</v>
      </c>
      <c r="Q39" s="12">
        <v>5505.17073523567</v>
      </c>
      <c r="R39" s="12">
        <v>3392.37604644387</v>
      </c>
      <c r="S39" s="12">
        <v>4124.49653253735</v>
      </c>
      <c r="T39" s="12">
        <v>3644.89359593528</v>
      </c>
      <c r="U39" s="7">
        <v>4402.09959887926</v>
      </c>
      <c r="V39" s="7">
        <v>3290.78368277654</v>
      </c>
      <c r="W39" s="7">
        <v>2447.974</v>
      </c>
    </row>
    <row r="40">
      <c r="A40" s="8">
        <v>41334.0</v>
      </c>
      <c r="B40" s="34">
        <f>IFERROR(__xludf.DUMMYFUNCTION("""COMPUTED_VALUE"""),2107.0)</f>
        <v>2107</v>
      </c>
      <c r="C40" s="12">
        <v>1699.42226890756</v>
      </c>
      <c r="D40" s="12">
        <v>5064.64799340145</v>
      </c>
      <c r="E40" s="12">
        <v>3859.84011476969</v>
      </c>
      <c r="F40" s="12">
        <v>-5027.02482668749</v>
      </c>
      <c r="G40" s="12">
        <v>3531.79864629591</v>
      </c>
      <c r="H40" s="12">
        <v>1513.62596236226</v>
      </c>
      <c r="I40" s="12">
        <v>377.0</v>
      </c>
      <c r="J40" s="12">
        <v>1412.3503958431</v>
      </c>
      <c r="K40" s="13">
        <v>1787.51393754256</v>
      </c>
      <c r="L40" s="12">
        <v>2685.13158795682</v>
      </c>
      <c r="M40" s="12">
        <v>2024.49407092888</v>
      </c>
      <c r="N40" s="12">
        <v>3873.97213872124</v>
      </c>
      <c r="O40" s="12">
        <v>-781.247267613735</v>
      </c>
      <c r="P40" s="12">
        <v>2753.45826415435</v>
      </c>
      <c r="Q40" s="12">
        <v>3224.11494889848</v>
      </c>
      <c r="R40" s="12">
        <v>3261.10865291834</v>
      </c>
      <c r="S40" s="12">
        <v>1823.92045087266</v>
      </c>
      <c r="T40" s="12">
        <v>1391.27314584545</v>
      </c>
      <c r="U40" s="7">
        <v>2280.42236481915</v>
      </c>
      <c r="V40" s="7">
        <v>2705.12368277654</v>
      </c>
      <c r="W40" s="7">
        <v>1133.4195</v>
      </c>
    </row>
    <row r="41">
      <c r="A41" s="8">
        <v>41365.0</v>
      </c>
      <c r="B41" s="34">
        <f>IFERROR(__xludf.DUMMYFUNCTION("""COMPUTED_VALUE"""),2534.0)</f>
        <v>2534</v>
      </c>
      <c r="C41" s="12">
        <v>1974.6447761194</v>
      </c>
      <c r="D41" s="12">
        <v>3672.80969010835</v>
      </c>
      <c r="E41" s="12">
        <v>2808.95085673049</v>
      </c>
      <c r="F41" s="12">
        <v>-4535.45721430119</v>
      </c>
      <c r="G41" s="12">
        <v>2815.79669166448</v>
      </c>
      <c r="H41" s="12">
        <v>3004.95700735249</v>
      </c>
      <c r="I41" s="12">
        <v>282.0</v>
      </c>
      <c r="J41" s="12">
        <v>1719.7297390455</v>
      </c>
      <c r="K41" s="13">
        <v>2113.11393754256</v>
      </c>
      <c r="L41" s="12">
        <v>1583.8755342709</v>
      </c>
      <c r="M41" s="12">
        <v>1652.98499939819</v>
      </c>
      <c r="N41" s="12">
        <v>2426.25344525798</v>
      </c>
      <c r="O41" s="12">
        <v>-865.491196318927</v>
      </c>
      <c r="P41" s="12">
        <v>2828.89936597424</v>
      </c>
      <c r="Q41" s="12">
        <v>1875.32</v>
      </c>
      <c r="R41" s="12">
        <v>2392.875152788</v>
      </c>
      <c r="S41" s="12">
        <v>2023.22093857635</v>
      </c>
      <c r="T41" s="12">
        <v>1456.60424040945</v>
      </c>
      <c r="U41" s="7">
        <v>1868.32632049922</v>
      </c>
      <c r="V41" s="7">
        <v>3376.84822184831</v>
      </c>
      <c r="W41" s="7">
        <v>1700.106</v>
      </c>
    </row>
    <row r="42">
      <c r="A42" s="8">
        <v>41395.0</v>
      </c>
      <c r="B42" s="34">
        <f>IFERROR(__xludf.DUMMYFUNCTION("""COMPUTED_VALUE"""),830.0)</f>
        <v>830</v>
      </c>
      <c r="C42" s="12">
        <v>1126.55774086379</v>
      </c>
      <c r="D42" s="12">
        <v>2353.63387250835</v>
      </c>
      <c r="E42" s="12">
        <v>3033.63900845148</v>
      </c>
      <c r="F42" s="12">
        <v>-4459.07410023557</v>
      </c>
      <c r="G42" s="12">
        <v>2225.65822842766</v>
      </c>
      <c r="H42" s="12">
        <v>1118.04913523146</v>
      </c>
      <c r="I42" s="12">
        <v>288.0</v>
      </c>
      <c r="J42" s="12">
        <v>763.780849466334</v>
      </c>
      <c r="K42" s="13">
        <v>1740.71393754256</v>
      </c>
      <c r="L42" s="12">
        <v>1277.48872948707</v>
      </c>
      <c r="M42" s="12">
        <v>2907.38048465802</v>
      </c>
      <c r="N42" s="12">
        <v>3802.8027796057</v>
      </c>
      <c r="O42" s="12">
        <v>-812.470588235294</v>
      </c>
      <c r="P42" s="12">
        <v>2998.74000376356</v>
      </c>
      <c r="Q42" s="12">
        <v>2158.68</v>
      </c>
      <c r="R42" s="12">
        <v>1804.52065421754</v>
      </c>
      <c r="S42" s="12">
        <v>1211.95048556095</v>
      </c>
      <c r="T42" s="12">
        <v>2975.30108308133</v>
      </c>
      <c r="U42" s="7">
        <v>1317.21433565632</v>
      </c>
      <c r="V42" s="7">
        <v>1335.81515862893</v>
      </c>
      <c r="W42" s="7">
        <v>2158.9</v>
      </c>
    </row>
    <row r="43">
      <c r="A43" s="8">
        <v>41426.0</v>
      </c>
      <c r="B43" s="34">
        <f>IFERROR(__xludf.DUMMYFUNCTION("""COMPUTED_VALUE"""),3004.0)</f>
        <v>3004</v>
      </c>
      <c r="C43" s="12">
        <v>1657.30975609756</v>
      </c>
      <c r="D43" s="12">
        <v>1882.90538953896</v>
      </c>
      <c r="E43" s="12">
        <v>3256.9521741992</v>
      </c>
      <c r="F43" s="12">
        <v>-3673.03090540197</v>
      </c>
      <c r="G43" s="12">
        <v>2328.63997775318</v>
      </c>
      <c r="H43" s="12">
        <v>1698.72490834135</v>
      </c>
      <c r="I43" s="12">
        <v>633.59375</v>
      </c>
      <c r="J43" s="12">
        <v>900.853621880211</v>
      </c>
      <c r="K43" s="13">
        <v>2672.64193754256</v>
      </c>
      <c r="L43" s="12">
        <v>3135.15828168726</v>
      </c>
      <c r="M43" s="12">
        <v>1553.03234418623</v>
      </c>
      <c r="N43" s="12">
        <v>2238.10564617319</v>
      </c>
      <c r="O43" s="12">
        <v>393.163611082334</v>
      </c>
      <c r="P43" s="12">
        <v>3074.04911432146</v>
      </c>
      <c r="Q43" s="12">
        <v>1965.58666666667</v>
      </c>
      <c r="R43" s="12">
        <v>2070.66130918151</v>
      </c>
      <c r="S43" s="12">
        <v>955.793621013133</v>
      </c>
      <c r="T43" s="12">
        <v>1269.32913059725</v>
      </c>
      <c r="U43" s="7">
        <v>2746.44479986163</v>
      </c>
      <c r="V43" s="7">
        <v>2569.09300541982</v>
      </c>
      <c r="W43" s="7">
        <v>2070.4</v>
      </c>
    </row>
    <row r="44">
      <c r="A44" s="8">
        <v>41456.0</v>
      </c>
      <c r="B44" s="34">
        <f>IFERROR(__xludf.DUMMYFUNCTION("""COMPUTED_VALUE"""),4015.0)</f>
        <v>4015</v>
      </c>
      <c r="C44" s="12">
        <v>3823.15592668024</v>
      </c>
      <c r="D44" s="12">
        <v>2921.94108352291</v>
      </c>
      <c r="E44" s="12">
        <v>2857.48300731226</v>
      </c>
      <c r="F44" s="12">
        <v>-5062.28593713984</v>
      </c>
      <c r="G44" s="12">
        <v>1030.41021177779</v>
      </c>
      <c r="H44" s="12">
        <v>1442.95265017214</v>
      </c>
      <c r="I44" s="12">
        <v>1627.09375</v>
      </c>
      <c r="J44" s="12">
        <v>1045.68411572881</v>
      </c>
      <c r="K44" s="13">
        <v>3808.55793754256</v>
      </c>
      <c r="L44" s="12">
        <v>3942.0770216507</v>
      </c>
      <c r="M44" s="12">
        <v>789.740191909479</v>
      </c>
      <c r="N44" s="12">
        <v>3675.73575192754</v>
      </c>
      <c r="O44" s="12">
        <v>-916.002100061121</v>
      </c>
      <c r="P44" s="12">
        <v>3362.80767802283</v>
      </c>
      <c r="Q44" s="12">
        <v>5727.62</v>
      </c>
      <c r="R44" s="12">
        <v>2172.52608183126</v>
      </c>
      <c r="S44" s="12">
        <v>4460.38994203353</v>
      </c>
      <c r="T44" s="12">
        <v>4637.79314072655</v>
      </c>
      <c r="U44" s="7">
        <v>3808.2329182674</v>
      </c>
      <c r="V44" s="7">
        <v>478.679159075582</v>
      </c>
      <c r="W44" s="7">
        <v>4952.0</v>
      </c>
    </row>
    <row r="45">
      <c r="A45" s="8">
        <v>41487.0</v>
      </c>
      <c r="B45" s="34">
        <f>IFERROR(__xludf.DUMMYFUNCTION("""COMPUTED_VALUE"""),1259.0)</f>
        <v>1259</v>
      </c>
      <c r="C45" s="12">
        <v>1412.51602484472</v>
      </c>
      <c r="D45" s="12">
        <v>3535.9011629983</v>
      </c>
      <c r="E45" s="12">
        <v>2361.42889093687</v>
      </c>
      <c r="F45" s="12">
        <v>-5322.35216108861</v>
      </c>
      <c r="G45" s="12">
        <v>1143.46125773183</v>
      </c>
      <c r="H45" s="12">
        <v>875.489615660694</v>
      </c>
      <c r="I45" s="12">
        <v>1537.59333333333</v>
      </c>
      <c r="J45" s="12">
        <v>1018.93438626659</v>
      </c>
      <c r="K45" s="13">
        <v>1553.62693754256</v>
      </c>
      <c r="L45" s="12">
        <v>1438.49238556144</v>
      </c>
      <c r="M45" s="12">
        <v>1016.2797322578</v>
      </c>
      <c r="N45" s="12">
        <v>1635.27130922336</v>
      </c>
      <c r="O45" s="12">
        <v>-1136.56470588235</v>
      </c>
      <c r="P45" s="12">
        <v>1316.75360764156</v>
      </c>
      <c r="Q45" s="12">
        <v>1506.54</v>
      </c>
      <c r="R45" s="12">
        <v>1705.26908371973</v>
      </c>
      <c r="S45" s="12">
        <v>1512.83596114031</v>
      </c>
      <c r="T45" s="12">
        <v>1214.73207223334</v>
      </c>
      <c r="U45" s="7">
        <v>2141.33248419733</v>
      </c>
      <c r="V45" s="7">
        <v>629.979159075582</v>
      </c>
      <c r="W45" s="7">
        <v>2831.075</v>
      </c>
    </row>
    <row r="46">
      <c r="A46" s="8">
        <v>41518.0</v>
      </c>
      <c r="B46" s="34">
        <f>IFERROR(__xludf.DUMMYFUNCTION("""COMPUTED_VALUE"""),968.0)</f>
        <v>968</v>
      </c>
      <c r="C46" s="12">
        <v>991.518426395939</v>
      </c>
      <c r="D46" s="12">
        <v>2180.4039818915</v>
      </c>
      <c r="E46" s="12">
        <v>2179.89891714242</v>
      </c>
      <c r="F46" s="12">
        <v>-5530.55061178787</v>
      </c>
      <c r="G46" s="12">
        <v>3636.32468265896</v>
      </c>
      <c r="H46" s="12">
        <v>1649.97910948214</v>
      </c>
      <c r="I46" s="12">
        <v>336.02</v>
      </c>
      <c r="J46" s="12">
        <v>941.381287894116</v>
      </c>
      <c r="K46" s="13">
        <v>1115.21393754256</v>
      </c>
      <c r="L46" s="12">
        <v>1214.72838923341</v>
      </c>
      <c r="M46" s="12">
        <v>836.456098154698</v>
      </c>
      <c r="N46" s="12">
        <v>1041.56256846291</v>
      </c>
      <c r="O46" s="12">
        <v>-1279.75680870895</v>
      </c>
      <c r="P46" s="12">
        <v>2154.73556137281</v>
      </c>
      <c r="Q46" s="12">
        <v>407.0</v>
      </c>
      <c r="R46" s="12">
        <v>1200.9</v>
      </c>
      <c r="S46" s="12">
        <v>923.951490303267</v>
      </c>
      <c r="T46" s="12">
        <v>705.03568366471</v>
      </c>
      <c r="U46" s="7">
        <v>1166.15083636236</v>
      </c>
      <c r="V46" s="7">
        <v>1373.75882599843</v>
      </c>
      <c r="W46" s="7">
        <v>1207.45</v>
      </c>
    </row>
    <row r="47">
      <c r="A47" s="8">
        <v>41548.0</v>
      </c>
      <c r="B47" s="34">
        <f>IFERROR(__xludf.DUMMYFUNCTION("""COMPUTED_VALUE"""),1680.0)</f>
        <v>1680</v>
      </c>
      <c r="C47" s="12">
        <v>1120.02610648918</v>
      </c>
      <c r="D47" s="12">
        <v>2853.19673173568</v>
      </c>
      <c r="E47" s="12">
        <v>1247.57716459354</v>
      </c>
      <c r="F47" s="12">
        <v>-5849.94503835443</v>
      </c>
      <c r="G47" s="12">
        <v>2372.65494918794</v>
      </c>
      <c r="H47" s="12">
        <v>2489.156158564</v>
      </c>
      <c r="I47" s="12">
        <v>417.0</v>
      </c>
      <c r="J47" s="12">
        <v>1015.33366439657</v>
      </c>
      <c r="K47" s="13">
        <v>1490.21393754256</v>
      </c>
      <c r="L47" s="12">
        <v>2031.85340540719</v>
      </c>
      <c r="M47" s="12">
        <v>2342.89804249063</v>
      </c>
      <c r="N47" s="12">
        <v>2393.85084660971</v>
      </c>
      <c r="O47" s="12">
        <v>-1506.05882352941</v>
      </c>
      <c r="P47" s="12">
        <v>1070.80268909704</v>
      </c>
      <c r="Q47" s="12">
        <v>1349.10111111111</v>
      </c>
      <c r="R47" s="12">
        <v>738.208930070667</v>
      </c>
      <c r="S47" s="12">
        <v>754.270745338965</v>
      </c>
      <c r="T47" s="12">
        <v>2081.59841404778</v>
      </c>
      <c r="U47" s="7">
        <v>1259.60982781086</v>
      </c>
      <c r="V47" s="7">
        <v>2052.74936045895</v>
      </c>
      <c r="W47" s="7">
        <v>1301.0</v>
      </c>
    </row>
    <row r="48">
      <c r="A48" s="8">
        <v>41579.0</v>
      </c>
      <c r="B48" s="34">
        <f>IFERROR(__xludf.DUMMYFUNCTION("""COMPUTED_VALUE"""),859.0)</f>
        <v>859</v>
      </c>
      <c r="C48" s="12">
        <v>953.617298578199</v>
      </c>
      <c r="D48" s="12">
        <v>1731.19841938031</v>
      </c>
      <c r="E48" s="12">
        <v>657.995752043647</v>
      </c>
      <c r="F48" s="12">
        <v>-5664.40464381614</v>
      </c>
      <c r="G48" s="12">
        <v>381.54919539825</v>
      </c>
      <c r="H48" s="12">
        <v>994.632566432114</v>
      </c>
      <c r="I48" s="12">
        <v>317.333333333333</v>
      </c>
      <c r="J48" s="12">
        <v>932.001358975972</v>
      </c>
      <c r="K48" s="13">
        <v>1391.21393754256</v>
      </c>
      <c r="L48" s="12">
        <v>1188.78818066449</v>
      </c>
      <c r="M48" s="12">
        <v>1302.91722295335</v>
      </c>
      <c r="N48" s="12">
        <v>1598.68808392509</v>
      </c>
      <c r="O48" s="12">
        <v>-2984.09007861504</v>
      </c>
      <c r="P48" s="12">
        <v>622.811475400571</v>
      </c>
      <c r="Q48" s="12">
        <v>908.24</v>
      </c>
      <c r="R48" s="12">
        <v>1048.41014545836</v>
      </c>
      <c r="S48" s="12">
        <v>686.399909726924</v>
      </c>
      <c r="T48" s="12">
        <v>1128.20464097486</v>
      </c>
      <c r="U48" s="7">
        <v>909.548355716945</v>
      </c>
      <c r="V48" s="7">
        <v>565.569360458954</v>
      </c>
      <c r="W48" s="7">
        <v>1468.6</v>
      </c>
    </row>
    <row r="49">
      <c r="A49" s="8">
        <v>41609.0</v>
      </c>
      <c r="B49" s="34">
        <f>IFERROR(__xludf.DUMMYFUNCTION("""COMPUTED_VALUE"""),1348.0)</f>
        <v>1348</v>
      </c>
      <c r="C49" s="12">
        <v>967.062445414847</v>
      </c>
      <c r="D49" s="12">
        <v>1278.79127996631</v>
      </c>
      <c r="E49" s="12">
        <v>1248.68800812842</v>
      </c>
      <c r="F49" s="12">
        <v>-5318.21963811947</v>
      </c>
      <c r="G49" s="12">
        <v>251.733155776998</v>
      </c>
      <c r="H49" s="12">
        <v>476.412892658567</v>
      </c>
      <c r="I49" s="12">
        <v>368.666666666667</v>
      </c>
      <c r="J49" s="12">
        <v>884.56958453554</v>
      </c>
      <c r="K49" s="13">
        <v>830.213937542559</v>
      </c>
      <c r="L49" s="12">
        <v>473.026178147965</v>
      </c>
      <c r="M49" s="12">
        <v>1102.37101893063</v>
      </c>
      <c r="N49" s="12">
        <v>1060.98118014715</v>
      </c>
      <c r="O49" s="12">
        <v>-1811.79457238872</v>
      </c>
      <c r="P49" s="12">
        <v>656.876965063372</v>
      </c>
      <c r="Q49" s="12">
        <v>2494.35</v>
      </c>
      <c r="R49" s="12">
        <v>1646.00540315259</v>
      </c>
      <c r="S49" s="12">
        <v>1773.2889863957</v>
      </c>
      <c r="T49" s="12">
        <v>712.300917270964</v>
      </c>
      <c r="U49" s="7">
        <v>475.777610564832</v>
      </c>
      <c r="V49" s="7">
        <v>596.96089415094</v>
      </c>
      <c r="W49" s="7">
        <v>1551.2</v>
      </c>
    </row>
    <row r="50">
      <c r="A50" s="8">
        <v>41640.0</v>
      </c>
      <c r="B50" s="34">
        <f>IFERROR(__xludf.DUMMYFUNCTION("""COMPUTED_VALUE"""),895.0)</f>
        <v>895</v>
      </c>
      <c r="C50" s="12">
        <v>1834.98969512195</v>
      </c>
      <c r="D50" s="12">
        <v>2690.71030170303</v>
      </c>
      <c r="E50" s="12">
        <v>505.389288076717</v>
      </c>
      <c r="F50" s="12">
        <v>-6212.56985859293</v>
      </c>
      <c r="G50" s="12">
        <v>131.55814576225</v>
      </c>
      <c r="H50" s="12">
        <v>315.0</v>
      </c>
      <c r="I50" s="12">
        <v>348.0</v>
      </c>
      <c r="J50" s="12">
        <v>1390.97541226701</v>
      </c>
      <c r="K50" s="13">
        <v>772.203452601737</v>
      </c>
      <c r="L50" s="12">
        <v>334.502173114911</v>
      </c>
      <c r="M50" s="12">
        <v>624.257797945833</v>
      </c>
      <c r="N50" s="12">
        <v>649.619439967921</v>
      </c>
      <c r="O50" s="12">
        <v>-2601.14117647059</v>
      </c>
      <c r="P50" s="12">
        <v>1105.1233996033</v>
      </c>
      <c r="Q50" s="12">
        <v>778.06</v>
      </c>
      <c r="R50" s="12">
        <v>1076.09506121566</v>
      </c>
      <c r="S50" s="12">
        <v>644.107567229519</v>
      </c>
      <c r="T50" s="12">
        <v>644.039339031961</v>
      </c>
      <c r="U50" s="7">
        <v>1431.28602452991</v>
      </c>
      <c r="V50" s="7">
        <v>1028.70396153491</v>
      </c>
      <c r="W50" s="7">
        <v>1331.4</v>
      </c>
    </row>
    <row r="51">
      <c r="A51" s="8">
        <v>41671.0</v>
      </c>
      <c r="B51" s="34">
        <f>IFERROR(__xludf.DUMMYFUNCTION("""COMPUTED_VALUE"""),693.0)</f>
        <v>693</v>
      </c>
      <c r="C51" s="12">
        <v>1116.16269607843</v>
      </c>
      <c r="D51" s="12">
        <v>2003.10123988573</v>
      </c>
      <c r="E51" s="12">
        <v>748.624067996189</v>
      </c>
      <c r="F51" s="12">
        <v>-6747.13974073354</v>
      </c>
      <c r="G51" s="12">
        <v>522.82034810431</v>
      </c>
      <c r="H51" s="12">
        <v>274.978081256114</v>
      </c>
      <c r="I51" s="12">
        <v>290.666666666667</v>
      </c>
      <c r="J51" s="12">
        <v>672.478797695709</v>
      </c>
      <c r="K51" s="13">
        <v>395.213937542559</v>
      </c>
      <c r="L51" s="12">
        <v>14.930158015748</v>
      </c>
      <c r="M51" s="12">
        <v>326.555839319132</v>
      </c>
      <c r="N51" s="12">
        <v>446.468902535826</v>
      </c>
      <c r="O51" s="12">
        <v>-2337.95022564725</v>
      </c>
      <c r="P51" s="12">
        <v>877.361577744128</v>
      </c>
      <c r="Q51" s="12">
        <v>517.746666666667</v>
      </c>
      <c r="R51" s="12">
        <v>917.807804785378</v>
      </c>
      <c r="S51" s="12">
        <v>609.658047834518</v>
      </c>
      <c r="T51" s="12">
        <v>534.01679512736</v>
      </c>
      <c r="U51" s="7">
        <v>425.127275972301</v>
      </c>
      <c r="V51" s="7">
        <v>74.9531636868248</v>
      </c>
      <c r="W51" s="7">
        <v>965.6</v>
      </c>
    </row>
    <row r="52">
      <c r="A52" s="8">
        <v>41699.0</v>
      </c>
      <c r="B52" s="34">
        <f>IFERROR(__xludf.DUMMYFUNCTION("""COMPUTED_VALUE"""),882.0)</f>
        <v>882</v>
      </c>
      <c r="C52" s="12">
        <v>967.378395721925</v>
      </c>
      <c r="D52" s="12">
        <v>1278.68409503514</v>
      </c>
      <c r="E52" s="12">
        <v>564.114059840533</v>
      </c>
      <c r="F52" s="12">
        <v>-6270.24359710061</v>
      </c>
      <c r="G52" s="12">
        <v>520.386139491018</v>
      </c>
      <c r="H52" s="12">
        <v>257.992966331459</v>
      </c>
      <c r="I52" s="12">
        <v>247.66875</v>
      </c>
      <c r="J52" s="12">
        <v>916.717013658734</v>
      </c>
      <c r="K52" s="13">
        <v>355.213937542559</v>
      </c>
      <c r="L52" s="12">
        <v>42.930158015748</v>
      </c>
      <c r="M52" s="12">
        <v>504.127383238672</v>
      </c>
      <c r="N52" s="12">
        <v>1041.63119282571</v>
      </c>
      <c r="O52" s="12">
        <v>-1980.80923370417</v>
      </c>
      <c r="P52" s="12">
        <v>1134.95651211098</v>
      </c>
      <c r="Q52" s="12">
        <v>749.066666666667</v>
      </c>
      <c r="R52" s="12">
        <v>581.865667937867</v>
      </c>
      <c r="S52" s="12">
        <v>520.775401069519</v>
      </c>
      <c r="T52" s="12">
        <v>499.57719788153</v>
      </c>
      <c r="U52" s="7">
        <v>239.559343711473</v>
      </c>
      <c r="V52" s="7">
        <v>317.273163686825</v>
      </c>
      <c r="W52" s="7">
        <v>935.2</v>
      </c>
    </row>
    <row r="53">
      <c r="A53" s="8">
        <v>41730.0</v>
      </c>
      <c r="B53" s="34">
        <f>IFERROR(__xludf.DUMMYFUNCTION("""COMPUTED_VALUE"""),1139.0)</f>
        <v>1139</v>
      </c>
      <c r="C53" s="12">
        <v>1238.94546961326</v>
      </c>
      <c r="D53" s="12">
        <v>1241.98320058641</v>
      </c>
      <c r="E53" s="12">
        <v>632.609976661046</v>
      </c>
      <c r="F53" s="12">
        <v>-5567.85614817114</v>
      </c>
      <c r="G53" s="12">
        <v>390.902298299552</v>
      </c>
      <c r="H53" s="12">
        <v>797.449721083374</v>
      </c>
      <c r="I53" s="12">
        <v>198.458333333333</v>
      </c>
      <c r="J53" s="12">
        <v>55483.8094575563</v>
      </c>
      <c r="K53" s="13">
        <v>894.813937542559</v>
      </c>
      <c r="L53" s="12">
        <v>60.930158015748</v>
      </c>
      <c r="M53" s="12">
        <v>420.891509411844</v>
      </c>
      <c r="N53" s="12">
        <v>540.726738634319</v>
      </c>
      <c r="O53" s="12">
        <v>-2158.95257122243</v>
      </c>
      <c r="P53" s="12">
        <v>989.119698573496</v>
      </c>
      <c r="Q53" s="12">
        <v>1262.75</v>
      </c>
      <c r="R53" s="12">
        <v>486.167994380522</v>
      </c>
      <c r="S53" s="12">
        <v>816.139502762431</v>
      </c>
      <c r="T53" s="12">
        <v>285.877631119974</v>
      </c>
      <c r="U53" s="7">
        <v>1580.67618419403</v>
      </c>
      <c r="V53" s="7">
        <v>1357.39316368683</v>
      </c>
      <c r="W53" s="7">
        <v>1004.249</v>
      </c>
    </row>
    <row r="54">
      <c r="A54" s="8">
        <v>41760.0</v>
      </c>
      <c r="B54" s="34">
        <f>IFERROR(__xludf.DUMMYFUNCTION("""COMPUTED_VALUE"""),864.0)</f>
        <v>864</v>
      </c>
      <c r="C54" s="12">
        <v>639.175721271394</v>
      </c>
      <c r="D54" s="12">
        <v>795.080377978117</v>
      </c>
      <c r="E54" s="12">
        <v>495.134154565362</v>
      </c>
      <c r="F54" s="12">
        <v>-5283.292591907</v>
      </c>
      <c r="G54" s="12">
        <v>314.791354322389</v>
      </c>
      <c r="H54" s="12">
        <v>965.154139757635</v>
      </c>
      <c r="I54" s="12">
        <v>691.084158914352</v>
      </c>
      <c r="J54" s="12">
        <v>671.929337490429</v>
      </c>
      <c r="K54" s="13">
        <v>495.413937542559</v>
      </c>
      <c r="L54" s="12">
        <v>-28.069841984252</v>
      </c>
      <c r="M54" s="12">
        <v>793.468872000272</v>
      </c>
      <c r="N54" s="12">
        <v>806.560115685328</v>
      </c>
      <c r="O54" s="12">
        <v>-2607.29362765756</v>
      </c>
      <c r="P54" s="12">
        <v>946.176209825887</v>
      </c>
      <c r="Q54" s="12">
        <v>888.57</v>
      </c>
      <c r="R54" s="12">
        <v>513.0</v>
      </c>
      <c r="S54" s="12">
        <v>820.778030038421</v>
      </c>
      <c r="T54" s="12">
        <v>640.209139494004</v>
      </c>
      <c r="U54" s="7">
        <v>309.664341445078</v>
      </c>
      <c r="V54" s="7">
        <v>616.513163686825</v>
      </c>
      <c r="W54" s="7">
        <v>526.755</v>
      </c>
    </row>
    <row r="55">
      <c r="A55" s="8">
        <v>41791.0</v>
      </c>
      <c r="B55" s="34">
        <f>IFERROR(__xludf.DUMMYFUNCTION("""COMPUTED_VALUE"""),336.0)</f>
        <v>336</v>
      </c>
      <c r="C55" s="12">
        <v>750.8216873706</v>
      </c>
      <c r="D55" s="12">
        <v>935.103484290533</v>
      </c>
      <c r="E55" s="12">
        <v>477.557342849189</v>
      </c>
      <c r="F55" s="12">
        <v>-5610.00024832965</v>
      </c>
      <c r="G55" s="12">
        <v>292.315778921973</v>
      </c>
      <c r="H55" s="12">
        <v>821.196832932509</v>
      </c>
      <c r="I55" s="12">
        <v>361.584719049008</v>
      </c>
      <c r="J55" s="12">
        <v>332.50349039666</v>
      </c>
      <c r="K55" s="13">
        <v>446.213937542559</v>
      </c>
      <c r="L55" s="12">
        <v>65.930158015748</v>
      </c>
      <c r="M55" s="12">
        <v>451.102653822148</v>
      </c>
      <c r="N55" s="12">
        <v>563.376524441855</v>
      </c>
      <c r="O55" s="12">
        <v>-2606.06605739534</v>
      </c>
      <c r="P55" s="12">
        <v>758.35162112997</v>
      </c>
      <c r="Q55" s="12">
        <v>835.54</v>
      </c>
      <c r="R55" s="12">
        <v>265.1</v>
      </c>
      <c r="S55" s="12">
        <v>767.604943064182</v>
      </c>
      <c r="T55" s="12">
        <v>219.170209579056</v>
      </c>
      <c r="U55" s="7">
        <v>418.975818495549</v>
      </c>
      <c r="V55" s="7">
        <v>433.913163686825</v>
      </c>
      <c r="W55" s="7">
        <v>757.10875</v>
      </c>
    </row>
    <row r="56">
      <c r="A56" s="8">
        <v>41821.0</v>
      </c>
      <c r="B56" s="34">
        <f>IFERROR(__xludf.DUMMYFUNCTION("""COMPUTED_VALUE"""),463.0)</f>
        <v>463</v>
      </c>
      <c r="C56" s="12">
        <v>890.129748062015</v>
      </c>
      <c r="D56" s="12">
        <v>519.381246661259</v>
      </c>
      <c r="E56" s="12">
        <v>595.738263660528</v>
      </c>
      <c r="F56" s="12">
        <v>-6515.36168492728</v>
      </c>
      <c r="G56" s="12">
        <v>215.25</v>
      </c>
      <c r="H56" s="12">
        <v>318.604806688572</v>
      </c>
      <c r="I56" s="12">
        <v>26.55</v>
      </c>
      <c r="J56" s="12">
        <v>586.112248062016</v>
      </c>
      <c r="K56" s="13">
        <v>284.213937542559</v>
      </c>
      <c r="L56" s="12">
        <v>101.612224417847</v>
      </c>
      <c r="M56" s="12">
        <v>99.0</v>
      </c>
      <c r="N56" s="12">
        <v>150.735</v>
      </c>
      <c r="O56" s="12">
        <v>-2586.85893647773</v>
      </c>
      <c r="P56" s="12">
        <v>174.516280366438</v>
      </c>
      <c r="Q56" s="12">
        <v>589.833333333333</v>
      </c>
      <c r="R56" s="12">
        <v>301.82221144085</v>
      </c>
      <c r="S56" s="12">
        <v>808.207364341085</v>
      </c>
      <c r="T56" s="12">
        <v>0.0</v>
      </c>
      <c r="U56" s="7">
        <v>171.879023818969</v>
      </c>
      <c r="V56" s="7">
        <v>379.913163686825</v>
      </c>
      <c r="W56" s="7">
        <v>877.9</v>
      </c>
    </row>
    <row r="57">
      <c r="A57" s="8">
        <v>41852.0</v>
      </c>
      <c r="B57" s="34">
        <f>IFERROR(__xludf.DUMMYFUNCTION("""COMPUTED_VALUE"""),589.0)</f>
        <v>589</v>
      </c>
      <c r="C57" s="12">
        <v>48.2595370437705</v>
      </c>
      <c r="D57" s="12">
        <v>1761.78490864821</v>
      </c>
      <c r="E57" s="12">
        <v>598.921781814171</v>
      </c>
      <c r="F57" s="12">
        <v>-6045.42371359325</v>
      </c>
      <c r="G57" s="12">
        <v>411.870352407735</v>
      </c>
      <c r="H57" s="12">
        <v>255.275341853079</v>
      </c>
      <c r="I57" s="12">
        <v>264.618333333333</v>
      </c>
      <c r="J57" s="12">
        <v>-346.31</v>
      </c>
      <c r="K57" s="13">
        <v>742.466638452533</v>
      </c>
      <c r="L57" s="12">
        <v>217.865256053277</v>
      </c>
      <c r="M57" s="12">
        <v>192.06</v>
      </c>
      <c r="N57" s="12">
        <v>214.5</v>
      </c>
      <c r="O57" s="12">
        <v>-2620.12235294118</v>
      </c>
      <c r="P57" s="12">
        <v>2152.64980632448</v>
      </c>
      <c r="Q57" s="12">
        <v>1783.53621884308</v>
      </c>
      <c r="R57" s="12">
        <v>585.8</v>
      </c>
      <c r="S57" s="12">
        <v>171.9375</v>
      </c>
      <c r="T57" s="12">
        <v>42.0</v>
      </c>
      <c r="U57" s="7">
        <v>135.119720753496</v>
      </c>
      <c r="V57" s="7">
        <v>658.813163686825</v>
      </c>
      <c r="W57" s="7">
        <v>877.375</v>
      </c>
    </row>
    <row r="58">
      <c r="A58" s="8">
        <v>41883.0</v>
      </c>
      <c r="B58" s="34">
        <f>IFERROR(__xludf.DUMMYFUNCTION("""COMPUTED_VALUE"""),1038.0)</f>
        <v>1038</v>
      </c>
      <c r="C58" s="12">
        <v>59.2452642561848</v>
      </c>
      <c r="D58" s="12">
        <v>1761.78490864821</v>
      </c>
      <c r="E58" s="12">
        <v>204.831463295446</v>
      </c>
      <c r="F58" s="12">
        <v>-4869.2382466208</v>
      </c>
      <c r="G58" s="12">
        <v>425.949083436263</v>
      </c>
      <c r="H58" s="12">
        <v>523.857509363368</v>
      </c>
      <c r="I58" s="12">
        <v>396.0</v>
      </c>
      <c r="J58" s="12">
        <v>-128.500016577604</v>
      </c>
      <c r="K58" s="13">
        <v>775.661380047168</v>
      </c>
      <c r="L58" s="12">
        <v>904.169182105801</v>
      </c>
      <c r="M58" s="12">
        <v>0.0</v>
      </c>
      <c r="N58" s="12">
        <v>258.825</v>
      </c>
      <c r="O58" s="12">
        <v>-2668.70192342044</v>
      </c>
      <c r="P58" s="12">
        <v>2127.86800744056</v>
      </c>
      <c r="Q58" s="12">
        <v>2293.37380385234</v>
      </c>
      <c r="R58" s="12">
        <v>2905.67529788992</v>
      </c>
      <c r="S58" s="12">
        <v>171.9375</v>
      </c>
      <c r="T58" s="12">
        <v>42.0</v>
      </c>
      <c r="U58" s="7">
        <v>833.687274271813</v>
      </c>
      <c r="V58" s="7">
        <v>1914.40396153491</v>
      </c>
      <c r="W58" s="7">
        <v>1753.52</v>
      </c>
    </row>
    <row r="59">
      <c r="A59" s="8">
        <v>41913.0</v>
      </c>
      <c r="B59" s="34">
        <f>IFERROR(__xludf.DUMMYFUNCTION("""COMPUTED_VALUE"""),3782.0)</f>
        <v>3782</v>
      </c>
      <c r="C59" s="12">
        <v>824.948243750766</v>
      </c>
      <c r="D59" s="12">
        <v>2050.76776688007</v>
      </c>
      <c r="E59" s="12">
        <v>3493.45439733874</v>
      </c>
      <c r="F59" s="12">
        <v>-5559.23178726678</v>
      </c>
      <c r="G59" s="12">
        <v>3687.12177986862</v>
      </c>
      <c r="H59" s="12">
        <v>3813.72523905026</v>
      </c>
      <c r="I59" s="12">
        <v>3779.83369517002</v>
      </c>
      <c r="J59" s="12">
        <v>-176.833821328761</v>
      </c>
      <c r="K59" s="13">
        <v>3538.94070761799</v>
      </c>
      <c r="L59" s="12">
        <v>3633.3621953605</v>
      </c>
      <c r="M59" s="12">
        <v>1392.04779363466</v>
      </c>
      <c r="N59" s="12">
        <v>1516.07930021036</v>
      </c>
      <c r="O59" s="12">
        <v>1731.80414652759</v>
      </c>
      <c r="P59" s="12">
        <v>2400.68790189812</v>
      </c>
      <c r="Q59" s="12">
        <v>5231.01779108779</v>
      </c>
      <c r="R59" s="12">
        <v>2583.75186584927</v>
      </c>
      <c r="S59" s="12">
        <v>114.625</v>
      </c>
      <c r="T59" s="12">
        <v>1371.0</v>
      </c>
      <c r="U59" s="7">
        <v>1271.79913468366</v>
      </c>
      <c r="V59" s="7">
        <v>3071.72802815034</v>
      </c>
      <c r="W59" s="7">
        <v>814.9</v>
      </c>
    </row>
    <row r="60">
      <c r="A60" s="8">
        <v>41944.0</v>
      </c>
      <c r="B60" s="34">
        <f>IFERROR(__xludf.DUMMYFUNCTION("""COMPUTED_VALUE"""),2251.0)</f>
        <v>2251</v>
      </c>
      <c r="C60" s="12">
        <v>2907.77199486072</v>
      </c>
      <c r="D60" s="12">
        <v>1901.25234778236</v>
      </c>
      <c r="E60" s="12">
        <v>2162.60822109263</v>
      </c>
      <c r="F60" s="12">
        <v>-4947.48533740022</v>
      </c>
      <c r="G60" s="12">
        <v>2405.49526484918</v>
      </c>
      <c r="H60" s="12">
        <v>2786.42454441051</v>
      </c>
      <c r="I60" s="12">
        <v>1575.46497883922</v>
      </c>
      <c r="J60" s="12">
        <v>-172.726301629797</v>
      </c>
      <c r="K60" s="13">
        <v>253.213937542559</v>
      </c>
      <c r="L60" s="12">
        <v>2897.56323926944</v>
      </c>
      <c r="M60" s="12">
        <v>928.011820928161</v>
      </c>
      <c r="N60" s="12">
        <v>167.267719451497</v>
      </c>
      <c r="O60" s="12">
        <v>309.919347795172</v>
      </c>
      <c r="P60" s="12">
        <v>2334.46620855664</v>
      </c>
      <c r="Q60" s="12">
        <v>5282.66847695069</v>
      </c>
      <c r="R60" s="12">
        <v>2193.76189157355</v>
      </c>
      <c r="S60" s="12">
        <v>105.777777777778</v>
      </c>
      <c r="T60" s="12">
        <v>1470.0</v>
      </c>
      <c r="U60" s="7">
        <v>648.389220240874</v>
      </c>
      <c r="V60" s="7">
        <v>2000.08429461206</v>
      </c>
      <c r="W60" s="7">
        <v>5394.72621062369</v>
      </c>
    </row>
    <row r="61">
      <c r="A61" s="8">
        <v>41974.0</v>
      </c>
      <c r="B61" s="34">
        <f>IFERROR(__xludf.DUMMYFUNCTION("""COMPUTED_VALUE"""),1926.0)</f>
        <v>1926</v>
      </c>
      <c r="C61" s="12">
        <v>399.59</v>
      </c>
      <c r="D61" s="12">
        <v>1761.78490864821</v>
      </c>
      <c r="E61" s="12">
        <v>895.306008532039</v>
      </c>
      <c r="F61" s="12">
        <v>-4039.93514498696</v>
      </c>
      <c r="G61" s="12">
        <v>1532.95</v>
      </c>
      <c r="H61" s="12">
        <v>1886.5035222222</v>
      </c>
      <c r="I61" s="12">
        <v>1587.25377864297</v>
      </c>
      <c r="J61" s="12">
        <v>34.5829374751007</v>
      </c>
      <c r="K61" s="13">
        <v>357.219206571226</v>
      </c>
      <c r="L61" s="12">
        <v>2959.43614085973</v>
      </c>
      <c r="M61" s="12">
        <v>1418.90188132892</v>
      </c>
      <c r="N61" s="12">
        <v>1423.85762728549</v>
      </c>
      <c r="O61" s="12">
        <v>-266.515711330419</v>
      </c>
      <c r="P61" s="12">
        <v>2286.59890688252</v>
      </c>
      <c r="Q61" s="12">
        <v>4484.86439235827</v>
      </c>
      <c r="R61" s="12">
        <v>1133.04036972862</v>
      </c>
      <c r="S61" s="12">
        <v>121.333333333333</v>
      </c>
      <c r="T61" s="12">
        <v>576.0</v>
      </c>
      <c r="U61" s="7">
        <v>1193.71302369301</v>
      </c>
      <c r="V61" s="7">
        <v>1618.06089415094</v>
      </c>
      <c r="W61" s="7">
        <v>2059.1</v>
      </c>
    </row>
    <row r="62">
      <c r="A62" s="8">
        <v>42005.0</v>
      </c>
      <c r="B62" s="34">
        <f>IFERROR(__xludf.DUMMYFUNCTION("""COMPUTED_VALUE"""),1708.0)</f>
        <v>1708</v>
      </c>
      <c r="C62" s="12">
        <v>316.263333333333</v>
      </c>
      <c r="D62" s="12">
        <v>1761.78490864821</v>
      </c>
      <c r="E62" s="12">
        <v>244.896333297443</v>
      </c>
      <c r="F62" s="12">
        <v>-6471.17654719563</v>
      </c>
      <c r="G62" s="12">
        <v>1312.13475005322</v>
      </c>
      <c r="H62" s="12">
        <v>2722.55424455737</v>
      </c>
      <c r="I62" s="12">
        <v>2259.95864460538</v>
      </c>
      <c r="J62" s="12">
        <v>-157.670063385013</v>
      </c>
      <c r="K62" s="13">
        <v>774.906121730622</v>
      </c>
      <c r="L62" s="12">
        <v>2576.21158442869</v>
      </c>
      <c r="M62" s="12">
        <v>851.257617544546</v>
      </c>
      <c r="N62" s="12">
        <v>475.374011892338</v>
      </c>
      <c r="O62" s="12">
        <v>-600.349754217331</v>
      </c>
      <c r="P62" s="12">
        <v>1542.57912550601</v>
      </c>
      <c r="Q62" s="12">
        <v>4660.79158564506</v>
      </c>
      <c r="R62" s="12">
        <v>1867.726722581</v>
      </c>
      <c r="S62" s="12">
        <v>127.555555555556</v>
      </c>
      <c r="T62" s="12">
        <v>1220.76092767186</v>
      </c>
      <c r="U62" s="7">
        <v>1897.39400194044</v>
      </c>
      <c r="V62" s="7">
        <v>2044.26089415094</v>
      </c>
      <c r="W62" s="7">
        <v>4234.0</v>
      </c>
    </row>
    <row r="63">
      <c r="A63" s="8">
        <v>42036.0</v>
      </c>
      <c r="B63" s="34">
        <f>IFERROR(__xludf.DUMMYFUNCTION("""COMPUTED_VALUE"""),1677.0)</f>
        <v>1677</v>
      </c>
      <c r="C63" s="12">
        <v>1309.36219512195</v>
      </c>
      <c r="D63" s="12">
        <v>898.872733200205</v>
      </c>
      <c r="E63" s="12">
        <v>776.192587112567</v>
      </c>
      <c r="F63" s="12">
        <v>-6367.84970925407</v>
      </c>
      <c r="G63" s="12">
        <v>1559.71546475283</v>
      </c>
      <c r="H63" s="12">
        <v>2397.85045468933</v>
      </c>
      <c r="I63" s="12">
        <v>830.0</v>
      </c>
      <c r="J63" s="12">
        <v>1026.3955124681</v>
      </c>
      <c r="K63" s="13">
        <v>362.654549902962</v>
      </c>
      <c r="L63" s="12">
        <v>1854.18757939564</v>
      </c>
      <c r="M63" s="12">
        <v>567.319843720888</v>
      </c>
      <c r="N63" s="12">
        <v>1019.87600856645</v>
      </c>
      <c r="O63" s="12">
        <v>-42.2175612177887</v>
      </c>
      <c r="P63" s="12">
        <v>2497.09729045155</v>
      </c>
      <c r="Q63" s="12">
        <v>1973.90666666667</v>
      </c>
      <c r="R63" s="12">
        <v>2185.84055773267</v>
      </c>
      <c r="S63" s="12">
        <v>1550.76693766938</v>
      </c>
      <c r="T63" s="12">
        <v>1069.12555748806</v>
      </c>
      <c r="U63" s="7">
        <v>1521.46800580205</v>
      </c>
      <c r="V63" s="7">
        <v>1408.02429461206</v>
      </c>
      <c r="W63" s="7">
        <v>2963.7</v>
      </c>
    </row>
    <row r="64">
      <c r="A64" s="8">
        <v>42064.0</v>
      </c>
      <c r="B64" s="34">
        <f>IFERROR(__xludf.DUMMYFUNCTION("""COMPUTED_VALUE"""),1607.0)</f>
        <v>1607</v>
      </c>
      <c r="C64" s="12">
        <v>1508.77257372654</v>
      </c>
      <c r="D64" s="12">
        <v>928.152787329477</v>
      </c>
      <c r="E64" s="12">
        <v>793.663834024559</v>
      </c>
      <c r="F64" s="12">
        <v>-6611.62746214734</v>
      </c>
      <c r="G64" s="12">
        <v>1959.83236140593</v>
      </c>
      <c r="H64" s="12">
        <v>2825.12023554626</v>
      </c>
      <c r="I64" s="12">
        <v>598.333333333333</v>
      </c>
      <c r="J64" s="12">
        <v>1049.56256912898</v>
      </c>
      <c r="K64" s="13">
        <v>379.288937542559</v>
      </c>
      <c r="L64" s="12">
        <v>2415.10716398097</v>
      </c>
      <c r="M64" s="12">
        <v>544.49167301264</v>
      </c>
      <c r="N64" s="12">
        <v>1920.89173758557</v>
      </c>
      <c r="O64" s="12">
        <v>-601.864749012818</v>
      </c>
      <c r="P64" s="12">
        <v>3180.21954114432</v>
      </c>
      <c r="Q64" s="12">
        <v>1586.49</v>
      </c>
      <c r="R64" s="12">
        <v>1986.28497288461</v>
      </c>
      <c r="S64" s="12">
        <v>1603.45576407507</v>
      </c>
      <c r="T64" s="12">
        <v>1128.4938841082</v>
      </c>
      <c r="U64" s="7">
        <v>1544.69874020994</v>
      </c>
      <c r="V64" s="7">
        <v>1254.13002661326</v>
      </c>
      <c r="W64" s="7">
        <v>1163.65</v>
      </c>
    </row>
    <row r="65">
      <c r="A65" s="8">
        <v>42095.0</v>
      </c>
      <c r="B65" s="34">
        <f>IFERROR(__xludf.DUMMYFUNCTION("""COMPUTED_VALUE"""),915.0)</f>
        <v>915</v>
      </c>
      <c r="C65" s="12">
        <v>1108.91022408964</v>
      </c>
      <c r="D65" s="12">
        <v>965.377429524542</v>
      </c>
      <c r="E65" s="12">
        <v>1050.58370876992</v>
      </c>
      <c r="F65" s="12">
        <v>-6507.49345150737</v>
      </c>
      <c r="G65" s="12">
        <v>2106.64618966023</v>
      </c>
      <c r="H65" s="12">
        <v>3397.75838767286</v>
      </c>
      <c r="I65" s="12">
        <v>278.0</v>
      </c>
      <c r="J65" s="12">
        <v>1162.21666573674</v>
      </c>
      <c r="K65" s="13">
        <v>5.21393754255899</v>
      </c>
      <c r="L65" s="12">
        <v>2533.00367850838</v>
      </c>
      <c r="M65" s="12">
        <v>530.208729428003</v>
      </c>
      <c r="N65" s="12">
        <v>768.424202845818</v>
      </c>
      <c r="O65" s="12">
        <v>-802.011764705882</v>
      </c>
      <c r="P65" s="12">
        <v>1017.0152202029</v>
      </c>
      <c r="Q65" s="12">
        <v>1551.98643001959</v>
      </c>
      <c r="R65" s="12">
        <v>798.109521336707</v>
      </c>
      <c r="S65" s="12">
        <v>1869.55098039216</v>
      </c>
      <c r="T65" s="12">
        <v>965.820538269524</v>
      </c>
      <c r="U65" s="7">
        <v>1129.8497263089</v>
      </c>
      <c r="V65" s="7">
        <v>1122.95102584472</v>
      </c>
      <c r="W65" s="7">
        <v>929.0</v>
      </c>
    </row>
    <row r="66">
      <c r="A66" s="8">
        <v>42125.0</v>
      </c>
      <c r="B66" s="34">
        <f>IFERROR(__xludf.DUMMYFUNCTION("""COMPUTED_VALUE"""),1349.0)</f>
        <v>1349</v>
      </c>
      <c r="C66" s="12">
        <v>794.333333333333</v>
      </c>
      <c r="D66" s="12">
        <v>1761.78490864821</v>
      </c>
      <c r="E66" s="12">
        <v>1255.34558839483</v>
      </c>
      <c r="F66" s="12">
        <v>-6435.79566435604</v>
      </c>
      <c r="G66" s="12">
        <v>1948.62247409502</v>
      </c>
      <c r="H66" s="12">
        <v>1813.83783808081</v>
      </c>
      <c r="I66" s="12">
        <v>845.333333333333</v>
      </c>
      <c r="J66" s="12">
        <v>856.285854879584</v>
      </c>
      <c r="K66" s="13">
        <v>392.318780386514</v>
      </c>
      <c r="L66" s="12">
        <v>1352.34670116187</v>
      </c>
      <c r="M66" s="12">
        <v>1035.73503062839</v>
      </c>
      <c r="N66" s="12">
        <v>1163.58308253666</v>
      </c>
      <c r="O66" s="12">
        <v>-878.494117647059</v>
      </c>
      <c r="P66" s="12">
        <v>2537.78648461048</v>
      </c>
      <c r="Q66" s="12">
        <v>3630.2924889977</v>
      </c>
      <c r="R66" s="12">
        <v>1228.94093917671</v>
      </c>
      <c r="S66" s="12">
        <v>282.0</v>
      </c>
      <c r="T66" s="12">
        <v>1544.19882227382</v>
      </c>
      <c r="U66" s="7">
        <v>1490.59707774604</v>
      </c>
      <c r="V66" s="7">
        <v>1007.44322569101</v>
      </c>
      <c r="W66" s="7">
        <v>1048.7</v>
      </c>
    </row>
    <row r="67">
      <c r="A67" s="8">
        <v>42156.0</v>
      </c>
      <c r="B67" s="34">
        <f>IFERROR(__xludf.DUMMYFUNCTION("""COMPUTED_VALUE"""),1223.0)</f>
        <v>1223</v>
      </c>
      <c r="C67" s="12">
        <v>1933.33333333333</v>
      </c>
      <c r="D67" s="12">
        <v>1761.78490864821</v>
      </c>
      <c r="E67" s="12">
        <v>1331.41013484033</v>
      </c>
      <c r="F67" s="12">
        <v>-7187.97015076945</v>
      </c>
      <c r="G67" s="12">
        <v>813.980491740856</v>
      </c>
      <c r="H67" s="12">
        <v>1807.83333333333</v>
      </c>
      <c r="I67" s="12">
        <v>1990.33333333333</v>
      </c>
      <c r="J67" s="12">
        <v>219.356786799383</v>
      </c>
      <c r="K67" s="13">
        <v>1250.93585232026</v>
      </c>
      <c r="L67" s="12">
        <v>1461.01425549879</v>
      </c>
      <c r="M67" s="12">
        <v>383.102967271161</v>
      </c>
      <c r="N67" s="12">
        <v>666.229950276575</v>
      </c>
      <c r="O67" s="12">
        <v>-818.558823529412</v>
      </c>
      <c r="P67" s="12">
        <v>2368.51937430124</v>
      </c>
      <c r="Q67" s="12">
        <v>2356.17565959885</v>
      </c>
      <c r="R67" s="12">
        <v>854.199563478095</v>
      </c>
      <c r="S67" s="12">
        <v>322.8</v>
      </c>
      <c r="T67" s="12">
        <v>591.482230868285</v>
      </c>
      <c r="U67" s="7">
        <v>1193.49000327779</v>
      </c>
      <c r="V67" s="7">
        <v>1033.39776732458</v>
      </c>
      <c r="W67" s="7">
        <v>915.0</v>
      </c>
    </row>
    <row r="68">
      <c r="A68" s="8">
        <v>42186.0</v>
      </c>
      <c r="B68" s="34">
        <f>IFERROR(__xludf.DUMMYFUNCTION("""COMPUTED_VALUE"""),606.0)</f>
        <v>606</v>
      </c>
      <c r="C68" s="12">
        <v>881.166666666667</v>
      </c>
      <c r="D68" s="12">
        <v>1761.78490864821</v>
      </c>
      <c r="E68" s="12">
        <v>1087.12700463858</v>
      </c>
      <c r="F68" s="12">
        <v>-6744.6523374712</v>
      </c>
      <c r="G68" s="12">
        <v>733.268969588658</v>
      </c>
      <c r="H68" s="12">
        <v>777.666666666667</v>
      </c>
      <c r="I68" s="12">
        <v>930.666666666667</v>
      </c>
      <c r="J68" s="12">
        <v>1.42354380387442</v>
      </c>
      <c r="K68" s="13">
        <v>-90.786062457441</v>
      </c>
      <c r="L68" s="12">
        <v>57.3903208691108</v>
      </c>
      <c r="M68" s="12">
        <v>304.638941553286</v>
      </c>
      <c r="N68" s="12">
        <v>576.859703362201</v>
      </c>
      <c r="O68" s="12">
        <v>-868.929411764706</v>
      </c>
      <c r="P68" s="12">
        <v>2210.15561658936</v>
      </c>
      <c r="Q68" s="12">
        <v>2125.7636253026</v>
      </c>
      <c r="R68" s="12">
        <v>997.434479492601</v>
      </c>
      <c r="S68" s="12">
        <v>305.454545454545</v>
      </c>
      <c r="T68" s="12">
        <v>405.823287302738</v>
      </c>
      <c r="U68" s="7">
        <v>665.875159852474</v>
      </c>
      <c r="V68" s="7">
        <v>306.543225691012</v>
      </c>
      <c r="W68" s="7">
        <v>951.2</v>
      </c>
    </row>
    <row r="69">
      <c r="A69" s="8">
        <v>42217.0</v>
      </c>
      <c r="B69" s="34">
        <f>IFERROR(__xludf.DUMMYFUNCTION("""COMPUTED_VALUE"""),704.0)</f>
        <v>704</v>
      </c>
      <c r="C69" s="12">
        <v>1102.0</v>
      </c>
      <c r="D69" s="12">
        <v>1761.78490864821</v>
      </c>
      <c r="E69" s="12">
        <v>875.710984343704</v>
      </c>
      <c r="F69" s="12">
        <v>-7338.3051955264</v>
      </c>
      <c r="G69" s="12">
        <v>597.250455778925</v>
      </c>
      <c r="H69" s="12">
        <v>1004.5</v>
      </c>
      <c r="I69" s="12">
        <v>1138.0</v>
      </c>
      <c r="J69" s="12">
        <v>35.6786365127515</v>
      </c>
      <c r="K69" s="13">
        <v>1453.70017288595</v>
      </c>
      <c r="L69" s="12">
        <v>95.3903208691108</v>
      </c>
      <c r="M69" s="12">
        <v>78.3947616582229</v>
      </c>
      <c r="N69" s="12">
        <v>261.305620755328</v>
      </c>
      <c r="O69" s="12">
        <v>-877.794996631714</v>
      </c>
      <c r="P69" s="12">
        <v>2281.65109479723</v>
      </c>
      <c r="Q69" s="12">
        <v>1844.91363986712</v>
      </c>
      <c r="R69" s="12">
        <v>951.66022822956</v>
      </c>
      <c r="S69" s="12">
        <v>344.375</v>
      </c>
      <c r="T69" s="12">
        <v>350.387144327065</v>
      </c>
      <c r="U69" s="7">
        <v>977.306264560318</v>
      </c>
      <c r="V69" s="7">
        <v>980.483225691012</v>
      </c>
      <c r="W69" s="7">
        <v>1104.65</v>
      </c>
    </row>
    <row r="70">
      <c r="A70" s="8">
        <v>42248.0</v>
      </c>
      <c r="B70" s="34">
        <f>IFERROR(__xludf.DUMMYFUNCTION("""COMPUTED_VALUE"""),984.0)</f>
        <v>984</v>
      </c>
      <c r="C70" s="12">
        <v>681.0</v>
      </c>
      <c r="D70" s="12">
        <v>1761.78490864821</v>
      </c>
      <c r="E70" s="12">
        <v>804.611730164857</v>
      </c>
      <c r="F70" s="12">
        <v>-6540.9882847827</v>
      </c>
      <c r="G70" s="12">
        <v>1819.89346691999</v>
      </c>
      <c r="H70" s="12">
        <v>639.673131590651</v>
      </c>
      <c r="I70" s="12">
        <v>1030.50247973379</v>
      </c>
      <c r="J70" s="12">
        <v>141.081911994975</v>
      </c>
      <c r="K70" s="13">
        <v>2349.94370997634</v>
      </c>
      <c r="L70" s="12">
        <v>198.206898768752</v>
      </c>
      <c r="M70" s="12">
        <v>830.789538289453</v>
      </c>
      <c r="N70" s="12">
        <v>1038.05779884985</v>
      </c>
      <c r="O70" s="12">
        <v>279.710926895189</v>
      </c>
      <c r="P70" s="12">
        <v>2365.50405693523</v>
      </c>
      <c r="Q70" s="12">
        <v>981.097062826628</v>
      </c>
      <c r="R70" s="12">
        <v>2590.0</v>
      </c>
      <c r="S70" s="12">
        <v>593.75</v>
      </c>
      <c r="T70" s="12">
        <v>340.433618102661</v>
      </c>
      <c r="U70" s="7">
        <v>886.295608100346</v>
      </c>
      <c r="V70" s="7">
        <v>1487.40322569101</v>
      </c>
      <c r="W70" s="7">
        <v>1299.475</v>
      </c>
    </row>
    <row r="71">
      <c r="A71" s="8">
        <v>42278.0</v>
      </c>
      <c r="B71" s="34">
        <f>IFERROR(__xludf.DUMMYFUNCTION("""COMPUTED_VALUE"""),10840.0)</f>
        <v>10840</v>
      </c>
      <c r="C71" s="12">
        <v>5387.8908273155</v>
      </c>
      <c r="D71" s="12">
        <v>1761.78490864821</v>
      </c>
      <c r="E71" s="12">
        <v>10600.7804856357</v>
      </c>
      <c r="F71" s="12">
        <v>2809.95401985042</v>
      </c>
      <c r="G71" s="12">
        <v>10788.4324164816</v>
      </c>
      <c r="H71" s="12">
        <v>10489.8734950829</v>
      </c>
      <c r="I71" s="12">
        <v>405.333333333333</v>
      </c>
      <c r="J71" s="12">
        <v>4997.96717897928</v>
      </c>
      <c r="K71" s="13">
        <v>10012.2102065168</v>
      </c>
      <c r="L71" s="12">
        <v>10941.8889322161</v>
      </c>
      <c r="M71" s="12">
        <v>10673.2024107944</v>
      </c>
      <c r="N71" s="12">
        <v>671.864215694984</v>
      </c>
      <c r="O71" s="12">
        <v>10049.5888033244</v>
      </c>
      <c r="P71" s="12">
        <v>12115.7080148824</v>
      </c>
      <c r="Q71" s="12">
        <v>5605.83830039769</v>
      </c>
      <c r="R71" s="12">
        <v>11046.0</v>
      </c>
      <c r="S71" s="12">
        <v>565.384615384615</v>
      </c>
      <c r="T71" s="12">
        <v>8531.84685683054</v>
      </c>
      <c r="U71" s="7">
        <v>8624.92788827467</v>
      </c>
      <c r="V71" s="7">
        <v>10904.9644339913</v>
      </c>
      <c r="W71" s="7">
        <v>1767.0</v>
      </c>
    </row>
    <row r="72">
      <c r="A72" s="8">
        <v>42309.0</v>
      </c>
      <c r="B72" s="34">
        <f>IFERROR(__xludf.DUMMYFUNCTION("""COMPUTED_VALUE"""),1090.0)</f>
        <v>1090</v>
      </c>
      <c r="C72" s="12">
        <v>266.966666666667</v>
      </c>
      <c r="D72" s="12">
        <v>1761.78490864821</v>
      </c>
      <c r="E72" s="12">
        <v>1342.71377038796</v>
      </c>
      <c r="F72" s="12">
        <v>-7244.15998864959</v>
      </c>
      <c r="G72" s="12">
        <v>1439.60213862826</v>
      </c>
      <c r="H72" s="12">
        <v>1033.20374854035</v>
      </c>
      <c r="I72" s="12">
        <v>1276.09508834438</v>
      </c>
      <c r="J72" s="12">
        <v>744.06895723441</v>
      </c>
      <c r="K72" s="13">
        <v>-49.7452145961598</v>
      </c>
      <c r="L72" s="12">
        <v>-170.766346307301</v>
      </c>
      <c r="M72" s="12">
        <v>402.879047286532</v>
      </c>
      <c r="N72" s="12">
        <v>625.62609135032</v>
      </c>
      <c r="O72" s="12">
        <v>115.435294117647</v>
      </c>
      <c r="P72" s="12">
        <v>2374.17631046461</v>
      </c>
      <c r="Q72" s="12">
        <v>3096.10005630923</v>
      </c>
      <c r="R72" s="12">
        <v>1070.8399189446</v>
      </c>
      <c r="S72" s="12">
        <v>582.142857142857</v>
      </c>
      <c r="T72" s="12">
        <v>1166.79930346711</v>
      </c>
      <c r="U72" s="7">
        <v>1205.63248332157</v>
      </c>
      <c r="V72" s="7">
        <v>1949.43875630884</v>
      </c>
      <c r="W72" s="7">
        <v>1384.0</v>
      </c>
    </row>
    <row r="73">
      <c r="A73" s="8">
        <v>42339.0</v>
      </c>
      <c r="B73" s="34">
        <f>IFERROR(__xludf.DUMMYFUNCTION("""COMPUTED_VALUE"""),793.0)</f>
        <v>793</v>
      </c>
      <c r="C73" s="12">
        <v>234.493333333333</v>
      </c>
      <c r="D73" s="12">
        <v>1761.78490864821</v>
      </c>
      <c r="E73" s="12">
        <v>901.927623170471</v>
      </c>
      <c r="F73" s="12">
        <v>-6678.50845510597</v>
      </c>
      <c r="G73" s="12">
        <v>1453.97096435747</v>
      </c>
      <c r="H73" s="12">
        <v>720.174052147789</v>
      </c>
      <c r="I73" s="12">
        <v>413.333333333333</v>
      </c>
      <c r="J73" s="12">
        <v>397.581902090385</v>
      </c>
      <c r="K73" s="13">
        <v>-89.1168737792053</v>
      </c>
      <c r="L73" s="12">
        <v>189.832034713733</v>
      </c>
      <c r="M73" s="12">
        <v>139.162529550134</v>
      </c>
      <c r="N73" s="12">
        <v>465.548928459357</v>
      </c>
      <c r="O73" s="12">
        <v>-110.494117647059</v>
      </c>
      <c r="P73" s="12">
        <v>2032.43873336537</v>
      </c>
      <c r="Q73" s="12">
        <v>924.157777777778</v>
      </c>
      <c r="R73" s="12">
        <v>969.07998179665</v>
      </c>
      <c r="S73" s="12">
        <v>548.333333333333</v>
      </c>
      <c r="T73" s="12">
        <v>420.58078504798</v>
      </c>
      <c r="U73" s="7">
        <v>996.355535265671</v>
      </c>
      <c r="V73" s="7">
        <v>972.838756308836</v>
      </c>
      <c r="W73" s="7">
        <v>1019.3</v>
      </c>
    </row>
    <row r="74">
      <c r="A74" s="8">
        <v>42370.0</v>
      </c>
      <c r="B74" s="34">
        <f>IFERROR(__xludf.DUMMYFUNCTION("""COMPUTED_VALUE"""),1695.0)</f>
        <v>1695</v>
      </c>
      <c r="C74" s="12">
        <v>172.276666666667</v>
      </c>
      <c r="D74" s="12">
        <v>1761.78490864821</v>
      </c>
      <c r="E74" s="12">
        <v>1046.90724855262</v>
      </c>
      <c r="F74" s="12">
        <v>-6448.55477668943</v>
      </c>
      <c r="G74" s="12">
        <v>1457.42262222595</v>
      </c>
      <c r="H74" s="12">
        <v>1197.3087337986</v>
      </c>
      <c r="I74" s="12">
        <v>347.666666666667</v>
      </c>
      <c r="J74" s="12">
        <v>390.636129942974</v>
      </c>
      <c r="K74" s="13">
        <v>276.203415420178</v>
      </c>
      <c r="L74" s="12">
        <v>189.832034713733</v>
      </c>
      <c r="M74" s="12">
        <v>0.0</v>
      </c>
      <c r="N74" s="12">
        <v>306.0</v>
      </c>
      <c r="O74" s="12">
        <v>-50.3241683667335</v>
      </c>
      <c r="P74" s="12">
        <v>1695.09313965781</v>
      </c>
      <c r="Q74" s="12">
        <v>967.225</v>
      </c>
      <c r="R74" s="12">
        <v>1244.64188631111</v>
      </c>
      <c r="S74" s="12">
        <v>560.0</v>
      </c>
      <c r="T74" s="12">
        <v>22.5</v>
      </c>
      <c r="U74" s="7">
        <v>1169.05737808362</v>
      </c>
      <c r="V74" s="7">
        <v>1673.93875630884</v>
      </c>
      <c r="W74" s="7">
        <v>872.125</v>
      </c>
    </row>
    <row r="75">
      <c r="A75" s="8">
        <v>42401.0</v>
      </c>
      <c r="B75" s="34">
        <f>IFERROR(__xludf.DUMMYFUNCTION("""COMPUTED_VALUE"""),2205.0)</f>
        <v>2205</v>
      </c>
      <c r="C75" s="12">
        <v>1398.56790123457</v>
      </c>
      <c r="D75" s="12">
        <v>1761.78490864821</v>
      </c>
      <c r="E75" s="12">
        <v>1445.49182207979</v>
      </c>
      <c r="F75" s="12">
        <v>-5706.11081067132</v>
      </c>
      <c r="G75" s="12">
        <v>1814.97534837925</v>
      </c>
      <c r="H75" s="12">
        <v>819.516347403586</v>
      </c>
      <c r="I75" s="12">
        <v>424.527272727273</v>
      </c>
      <c r="J75" s="12">
        <v>2761.0462530404</v>
      </c>
      <c r="K75" s="13">
        <v>101.213937542559</v>
      </c>
      <c r="L75" s="12">
        <v>902.609210676624</v>
      </c>
      <c r="M75" s="12">
        <v>715.656271651305</v>
      </c>
      <c r="N75" s="12">
        <v>1095.52124392508</v>
      </c>
      <c r="O75" s="12">
        <v>121.694117647059</v>
      </c>
      <c r="P75" s="12">
        <v>2081.30453174943</v>
      </c>
      <c r="Q75" s="12">
        <v>981.014814814815</v>
      </c>
      <c r="R75" s="12">
        <v>1481.11468477758</v>
      </c>
      <c r="S75" s="12">
        <v>2371.1316872428</v>
      </c>
      <c r="T75" s="12">
        <v>22.5</v>
      </c>
      <c r="U75" s="7">
        <v>1440.51683926726</v>
      </c>
      <c r="V75" s="7">
        <v>2073.33875630884</v>
      </c>
      <c r="W75" s="7">
        <v>881.5</v>
      </c>
    </row>
    <row r="76">
      <c r="A76" s="8">
        <v>42430.0</v>
      </c>
      <c r="B76" s="34">
        <f>IFERROR(__xludf.DUMMYFUNCTION("""COMPUTED_VALUE"""),2497.0)</f>
        <v>2497</v>
      </c>
      <c r="C76" s="12">
        <v>1452.39565217391</v>
      </c>
      <c r="D76" s="12">
        <v>1761.78490864821</v>
      </c>
      <c r="E76" s="12">
        <v>1898.80115878324</v>
      </c>
      <c r="F76" s="12">
        <v>-6832.848159028</v>
      </c>
      <c r="G76" s="12">
        <v>1422.06289336517</v>
      </c>
      <c r="H76" s="12">
        <v>1065.47540046527</v>
      </c>
      <c r="I76" s="12">
        <v>510.666666666667</v>
      </c>
      <c r="J76" s="12">
        <v>2049.68998850631</v>
      </c>
      <c r="K76" s="13">
        <v>100.213937542559</v>
      </c>
      <c r="L76" s="12">
        <v>678.017512236569</v>
      </c>
      <c r="M76" s="12">
        <v>466.70856013502</v>
      </c>
      <c r="N76" s="12">
        <v>962.305393939057</v>
      </c>
      <c r="O76" s="12">
        <v>414.564705882353</v>
      </c>
      <c r="P76" s="12">
        <v>2761.27850829988</v>
      </c>
      <c r="Q76" s="12">
        <v>2420.05768735946</v>
      </c>
      <c r="R76" s="12">
        <v>-33.1</v>
      </c>
      <c r="S76" s="12">
        <v>2119.70108695652</v>
      </c>
      <c r="T76" s="12">
        <v>0.0</v>
      </c>
      <c r="U76" s="7">
        <v>1333.98868962284</v>
      </c>
      <c r="V76" s="7">
        <v>2121.45102584472</v>
      </c>
      <c r="W76" s="7">
        <v>923.5</v>
      </c>
    </row>
    <row r="77">
      <c r="A77" s="8">
        <v>42461.0</v>
      </c>
      <c r="B77" s="34">
        <f>IFERROR(__xludf.DUMMYFUNCTION("""COMPUTED_VALUE"""),1395.0)</f>
        <v>1395</v>
      </c>
      <c r="C77" s="12">
        <v>2180.98830409357</v>
      </c>
      <c r="D77" s="12">
        <v>1761.78490864821</v>
      </c>
      <c r="E77" s="12">
        <v>1726.32333354369</v>
      </c>
      <c r="F77" s="12">
        <v>-6842.02331976361</v>
      </c>
      <c r="G77" s="12">
        <v>1458.97623519376</v>
      </c>
      <c r="H77" s="12">
        <v>1009.08196893917</v>
      </c>
      <c r="I77" s="12">
        <v>605.666666666667</v>
      </c>
      <c r="J77" s="12">
        <v>1887.64460167508</v>
      </c>
      <c r="K77" s="13">
        <v>264.213937542559</v>
      </c>
      <c r="L77" s="12">
        <v>423.415405574239</v>
      </c>
      <c r="M77" s="12">
        <v>307.457999404641</v>
      </c>
      <c r="N77" s="12">
        <v>1206.45399704473</v>
      </c>
      <c r="O77" s="12">
        <v>370.588235294118</v>
      </c>
      <c r="P77" s="12">
        <v>1781.5692066965</v>
      </c>
      <c r="Q77" s="12">
        <v>1450.84907407407</v>
      </c>
      <c r="R77" s="12">
        <v>1429.85895319343</v>
      </c>
      <c r="S77" s="12">
        <v>1910.28187134503</v>
      </c>
      <c r="T77" s="12">
        <v>595.762928114355</v>
      </c>
      <c r="U77" s="7">
        <v>1526.09170652446</v>
      </c>
      <c r="V77" s="7">
        <v>1316.82529384352</v>
      </c>
      <c r="W77" s="7">
        <v>1323.0</v>
      </c>
    </row>
    <row r="78">
      <c r="A78" s="8">
        <v>42491.0</v>
      </c>
      <c r="B78" s="34">
        <f>IFERROR(__xludf.DUMMYFUNCTION("""COMPUTED_VALUE"""),942.0)</f>
        <v>942</v>
      </c>
      <c r="C78" s="12">
        <v>1187.81927710843</v>
      </c>
      <c r="D78" s="12">
        <v>1761.78490864821</v>
      </c>
      <c r="E78" s="12">
        <v>1477.00159644347</v>
      </c>
      <c r="F78" s="12">
        <v>-6541.34355367186</v>
      </c>
      <c r="G78" s="12">
        <v>2780.15348274066</v>
      </c>
      <c r="H78" s="12">
        <v>1168.66270561603</v>
      </c>
      <c r="I78" s="12">
        <v>483.666666666667</v>
      </c>
      <c r="J78" s="12">
        <v>1325.27469041862</v>
      </c>
      <c r="K78" s="13">
        <v>264.213937542559</v>
      </c>
      <c r="L78" s="12">
        <v>797.606547145194</v>
      </c>
      <c r="M78" s="12">
        <v>611.500377066165</v>
      </c>
      <c r="N78" s="12">
        <v>1113.59385491334</v>
      </c>
      <c r="O78" s="12">
        <v>881.028160060812</v>
      </c>
      <c r="P78" s="12">
        <v>2335.82355649188</v>
      </c>
      <c r="Q78" s="12">
        <v>531.711111111111</v>
      </c>
      <c r="R78" s="12">
        <v>1226.81854189834</v>
      </c>
      <c r="S78" s="12">
        <v>1952.04698795181</v>
      </c>
      <c r="T78" s="12">
        <v>343.201526139369</v>
      </c>
      <c r="U78" s="7">
        <v>993.718138427402</v>
      </c>
      <c r="V78" s="7">
        <v>2261.40529384352</v>
      </c>
      <c r="W78" s="7">
        <v>4237.0</v>
      </c>
    </row>
    <row r="79">
      <c r="A79" s="8">
        <v>42522.0</v>
      </c>
      <c r="B79" s="34">
        <f>IFERROR(__xludf.DUMMYFUNCTION("""COMPUTED_VALUE"""),1851.0)</f>
        <v>1851</v>
      </c>
      <c r="C79" s="12">
        <v>1296.99452804378</v>
      </c>
      <c r="D79" s="12">
        <v>1761.78490864821</v>
      </c>
      <c r="E79" s="12">
        <v>1162.91086975822</v>
      </c>
      <c r="F79" s="12">
        <v>-6012.39818294791</v>
      </c>
      <c r="G79" s="12">
        <v>1860.0503131265</v>
      </c>
      <c r="H79" s="12">
        <v>1755.74626921456</v>
      </c>
      <c r="I79" s="12">
        <v>626.076666666667</v>
      </c>
      <c r="J79" s="12">
        <v>1529.54554059755</v>
      </c>
      <c r="K79" s="13">
        <v>841.013937542559</v>
      </c>
      <c r="L79" s="12">
        <v>937.106547145194</v>
      </c>
      <c r="M79" s="12">
        <v>604.715489156898</v>
      </c>
      <c r="N79" s="12">
        <v>1215.58954643376</v>
      </c>
      <c r="O79" s="12">
        <v>504.880849791361</v>
      </c>
      <c r="P79" s="12">
        <v>3065.62053059763</v>
      </c>
      <c r="Q79" s="12">
        <v>971.725</v>
      </c>
      <c r="R79" s="12">
        <v>1043.34726881532</v>
      </c>
      <c r="S79" s="12">
        <v>1682.42476060192</v>
      </c>
      <c r="T79" s="12">
        <v>563.184767016132</v>
      </c>
      <c r="U79" s="7">
        <v>1143.14580122436</v>
      </c>
      <c r="V79" s="7">
        <v>1098.28529384352</v>
      </c>
      <c r="W79" s="7">
        <v>3528.8</v>
      </c>
    </row>
    <row r="80">
      <c r="A80" s="8">
        <v>42552.0</v>
      </c>
      <c r="B80" s="34">
        <f>IFERROR(__xludf.DUMMYFUNCTION("""COMPUTED_VALUE"""),2147.0)</f>
        <v>2147</v>
      </c>
      <c r="C80" s="12">
        <v>1891.84916806723</v>
      </c>
      <c r="D80" s="12">
        <v>1782.62451278337</v>
      </c>
      <c r="E80" s="12">
        <v>1254.57050402156</v>
      </c>
      <c r="F80" s="12">
        <v>-6070.96590823022</v>
      </c>
      <c r="G80" s="12">
        <v>1616.16995714738</v>
      </c>
      <c r="H80" s="12">
        <v>27030.5751035015</v>
      </c>
      <c r="I80" s="12">
        <v>557.296666666667</v>
      </c>
      <c r="J80" s="12">
        <v>309934.008726276</v>
      </c>
      <c r="K80" s="13">
        <v>319.834992410623</v>
      </c>
      <c r="L80" s="12">
        <v>26619.7086538075</v>
      </c>
      <c r="M80" s="12">
        <v>925.453762959081</v>
      </c>
      <c r="N80" s="12">
        <v>2338.05443723795</v>
      </c>
      <c r="O80" s="12">
        <v>319.814549847031</v>
      </c>
      <c r="P80" s="12">
        <v>2311.90224476912</v>
      </c>
      <c r="Q80" s="12">
        <v>2006.8</v>
      </c>
      <c r="R80" s="12">
        <v>4021.5893626358</v>
      </c>
      <c r="S80" s="12">
        <v>3497.25420374791</v>
      </c>
      <c r="T80" s="12">
        <v>588.788941508554</v>
      </c>
      <c r="U80" s="7">
        <v>1935.82238202199</v>
      </c>
      <c r="V80" s="7">
        <v>1531.95102584472</v>
      </c>
      <c r="W80" s="7">
        <v>2333.2</v>
      </c>
    </row>
    <row r="81">
      <c r="A81" s="8">
        <v>42583.0</v>
      </c>
      <c r="B81" s="34">
        <f>IFERROR(__xludf.DUMMYFUNCTION("""COMPUTED_VALUE"""),8255.0)</f>
        <v>8255</v>
      </c>
      <c r="C81" s="12">
        <v>1634.13157894737</v>
      </c>
      <c r="D81" s="12">
        <v>7751.39839275245</v>
      </c>
      <c r="E81" s="12">
        <v>8383.18128063116</v>
      </c>
      <c r="F81" s="12">
        <v>834.237150419069</v>
      </c>
      <c r="G81" s="12">
        <v>2178.33545194552</v>
      </c>
      <c r="H81" s="12">
        <v>26814.0278015877</v>
      </c>
      <c r="I81" s="12">
        <v>8255.00004050952</v>
      </c>
      <c r="J81" s="12">
        <v>3233.93061062527</v>
      </c>
      <c r="K81" s="13">
        <v>7612.47909197185</v>
      </c>
      <c r="L81" s="12">
        <v>32932.4115184323</v>
      </c>
      <c r="M81" s="12">
        <v>692.906905301891</v>
      </c>
      <c r="N81" s="12">
        <v>1261.50270713699</v>
      </c>
      <c r="O81" s="12">
        <v>6791.70883315611</v>
      </c>
      <c r="P81" s="12">
        <v>8532.7707349973</v>
      </c>
      <c r="Q81" s="12">
        <v>10404.9974176188</v>
      </c>
      <c r="R81" s="12">
        <v>8581.37697324495</v>
      </c>
      <c r="S81" s="12">
        <v>10499.5193607758</v>
      </c>
      <c r="T81" s="12">
        <v>697.20262617763</v>
      </c>
      <c r="U81" s="7">
        <v>8149.45289682496</v>
      </c>
      <c r="V81" s="7">
        <v>8181.63586256268</v>
      </c>
      <c r="W81" s="7">
        <v>1989.7</v>
      </c>
    </row>
    <row r="82">
      <c r="A82" s="8">
        <v>42614.0</v>
      </c>
      <c r="B82" s="34">
        <f>IFERROR(__xludf.DUMMYFUNCTION("""COMPUTED_VALUE"""),3096.0)</f>
        <v>3096</v>
      </c>
      <c r="C82" s="12">
        <v>2865.55101010101</v>
      </c>
      <c r="D82" s="12">
        <v>2028.21107736836</v>
      </c>
      <c r="E82" s="12">
        <v>957.849543981987</v>
      </c>
      <c r="F82" s="12">
        <v>-3730.76739257715</v>
      </c>
      <c r="G82" s="12">
        <v>2248.93019057185</v>
      </c>
      <c r="H82" s="12">
        <v>1576.61522405046</v>
      </c>
      <c r="I82" s="12">
        <v>851.406666666667</v>
      </c>
      <c r="J82" s="12">
        <v>3290.47193154108</v>
      </c>
      <c r="K82" s="13">
        <v>2955.46446497659</v>
      </c>
      <c r="L82" s="12">
        <v>488.732323698546</v>
      </c>
      <c r="M82" s="12">
        <v>380.194526962203</v>
      </c>
      <c r="N82" s="12">
        <v>714.505839194519</v>
      </c>
      <c r="O82" s="12">
        <v>88.3469183901402</v>
      </c>
      <c r="P82" s="12">
        <v>2782.1460338877</v>
      </c>
      <c r="Q82" s="12">
        <v>2354.84473544809</v>
      </c>
      <c r="R82" s="12">
        <v>2822.48570324998</v>
      </c>
      <c r="S82" s="12">
        <v>1662.87239057239</v>
      </c>
      <c r="T82" s="12">
        <v>585.411973940893</v>
      </c>
      <c r="U82" s="7">
        <v>2442.36394081452</v>
      </c>
      <c r="V82" s="7">
        <v>4546.63069276757</v>
      </c>
      <c r="W82" s="7">
        <v>1676.2</v>
      </c>
    </row>
    <row r="83">
      <c r="A83" s="8">
        <v>42644.0</v>
      </c>
      <c r="B83" s="34">
        <f>IFERROR(__xludf.DUMMYFUNCTION("""COMPUTED_VALUE"""),742.0)</f>
        <v>742</v>
      </c>
      <c r="C83" s="12">
        <v>1225.35657894737</v>
      </c>
      <c r="D83" s="12">
        <v>1761.78490864821</v>
      </c>
      <c r="E83" s="12">
        <v>699.584090979901</v>
      </c>
      <c r="F83" s="12">
        <v>-6419.67272750985</v>
      </c>
      <c r="G83" s="12">
        <v>2208.52258174304</v>
      </c>
      <c r="H83" s="12">
        <v>1161.60754765712</v>
      </c>
      <c r="I83" s="12">
        <v>308.333333333333</v>
      </c>
      <c r="J83" s="12">
        <v>3088.0149672636</v>
      </c>
      <c r="K83" s="13">
        <v>644.908937542559</v>
      </c>
      <c r="L83" s="12">
        <v>199.829642491945</v>
      </c>
      <c r="M83" s="12">
        <v>319.872554887579</v>
      </c>
      <c r="N83" s="12">
        <v>672.481446316329</v>
      </c>
      <c r="O83" s="12">
        <v>-248.367647058824</v>
      </c>
      <c r="P83" s="12">
        <v>2385.23651340177</v>
      </c>
      <c r="Q83" s="12">
        <v>2409.17263279796</v>
      </c>
      <c r="R83" s="12">
        <v>1727.74221617148</v>
      </c>
      <c r="S83" s="12">
        <v>1655.67631578947</v>
      </c>
      <c r="T83" s="12">
        <v>549.215798521755</v>
      </c>
      <c r="U83" s="7">
        <v>1241.16181623538</v>
      </c>
      <c r="V83" s="7">
        <v>1218.80529384352</v>
      </c>
      <c r="W83" s="7">
        <v>1201.35</v>
      </c>
    </row>
    <row r="84">
      <c r="A84" s="8">
        <v>42675.0</v>
      </c>
      <c r="B84" s="34">
        <f>IFERROR(__xludf.DUMMYFUNCTION("""COMPUTED_VALUE"""),965.0)</f>
        <v>965</v>
      </c>
      <c r="C84" s="12">
        <v>1330.03372641509</v>
      </c>
      <c r="D84" s="12">
        <v>1761.78490864821</v>
      </c>
      <c r="E84" s="12">
        <v>740.995095040162</v>
      </c>
      <c r="F84" s="12">
        <v>-6066.24753569771</v>
      </c>
      <c r="G84" s="12">
        <v>1958.89494303193</v>
      </c>
      <c r="H84" s="12">
        <v>328.675337668684</v>
      </c>
      <c r="I84" s="12">
        <v>887.271214080856</v>
      </c>
      <c r="J84" s="12">
        <v>1193.40852299677</v>
      </c>
      <c r="K84" s="13">
        <v>788.698157014814</v>
      </c>
      <c r="L84" s="12">
        <v>202.792518454505</v>
      </c>
      <c r="M84" s="12">
        <v>-316.00120571106</v>
      </c>
      <c r="N84" s="12">
        <v>141.640731056064</v>
      </c>
      <c r="O84" s="12">
        <v>-210.964705882353</v>
      </c>
      <c r="P84" s="12">
        <v>2538.04092124941</v>
      </c>
      <c r="Q84" s="12">
        <v>4333.55188839984</v>
      </c>
      <c r="R84" s="12">
        <v>29.7</v>
      </c>
      <c r="S84" s="12">
        <v>1503.32075471698</v>
      </c>
      <c r="T84" s="12">
        <v>180.557556109831</v>
      </c>
      <c r="U84" s="7">
        <v>1260.85504477556</v>
      </c>
      <c r="V84" s="7">
        <v>754.005293843524</v>
      </c>
      <c r="W84" s="7">
        <v>1119.4</v>
      </c>
    </row>
    <row r="85">
      <c r="A85" s="8">
        <v>42705.0</v>
      </c>
      <c r="B85" s="34">
        <f>IFERROR(__xludf.DUMMYFUNCTION("""COMPUTED_VALUE"""),1620.0)</f>
        <v>1620</v>
      </c>
      <c r="C85" s="12">
        <v>1289.09869646183</v>
      </c>
      <c r="D85" s="12">
        <v>1761.78490864821</v>
      </c>
      <c r="E85" s="12">
        <v>1169.85106031706</v>
      </c>
      <c r="F85" s="12">
        <v>-5410.54053000808</v>
      </c>
      <c r="G85" s="12">
        <v>2326.31794425476</v>
      </c>
      <c r="H85" s="12">
        <v>607.681193972081</v>
      </c>
      <c r="I85" s="12">
        <v>1593.16253108695</v>
      </c>
      <c r="J85" s="12">
        <v>1829.09870310073</v>
      </c>
      <c r="K85" s="13">
        <v>1484.25478540384</v>
      </c>
      <c r="L85" s="12">
        <v>721.848709581985</v>
      </c>
      <c r="M85" s="12">
        <v>1815.33109045339</v>
      </c>
      <c r="N85" s="12">
        <v>2098.75512967602</v>
      </c>
      <c r="O85" s="12">
        <v>-258.919152038139</v>
      </c>
      <c r="P85" s="12">
        <v>2228.96420397116</v>
      </c>
      <c r="Q85" s="12">
        <v>2309.49423791288</v>
      </c>
      <c r="R85" s="12">
        <v>1132.10137478801</v>
      </c>
      <c r="S85" s="12">
        <v>2095.59329608939</v>
      </c>
      <c r="T85" s="12">
        <v>1942.71403947885</v>
      </c>
      <c r="U85" s="7">
        <v>1487.97001691292</v>
      </c>
      <c r="V85" s="7">
        <v>1676.68069276757</v>
      </c>
      <c r="W85" s="7">
        <v>1015.45</v>
      </c>
    </row>
    <row r="86">
      <c r="A86" s="8">
        <v>42736.0</v>
      </c>
      <c r="B86" s="34">
        <f>IFERROR(__xludf.DUMMYFUNCTION("""COMPUTED_VALUE"""),2057.0)</f>
        <v>2057</v>
      </c>
      <c r="C86" s="12">
        <v>1910.2180293501</v>
      </c>
      <c r="D86" s="12">
        <v>1761.78490864821</v>
      </c>
      <c r="E86" s="12">
        <v>862.470966929547</v>
      </c>
      <c r="F86" s="12">
        <v>-6056.62509899696</v>
      </c>
      <c r="G86" s="12">
        <v>1843.06475493487</v>
      </c>
      <c r="H86" s="12">
        <v>498.091366757576</v>
      </c>
      <c r="I86" s="12">
        <v>341.358439620848</v>
      </c>
      <c r="J86" s="12">
        <v>1356.60828272519</v>
      </c>
      <c r="K86" s="13">
        <v>1673.76676062051</v>
      </c>
      <c r="L86" s="12">
        <v>674.040612146921</v>
      </c>
      <c r="M86" s="12">
        <v>587.061605034663</v>
      </c>
      <c r="N86" s="12">
        <v>2953.41019082184</v>
      </c>
      <c r="O86" s="12">
        <v>85.6261167748681</v>
      </c>
      <c r="P86" s="12">
        <v>2348.6996014068</v>
      </c>
      <c r="Q86" s="12">
        <v>2156.35</v>
      </c>
      <c r="R86" s="12">
        <v>1334.83968410037</v>
      </c>
      <c r="S86" s="12">
        <v>1944.18238993711</v>
      </c>
      <c r="T86" s="12">
        <v>-569.582602589485</v>
      </c>
      <c r="U86" s="7">
        <v>1558.92780201911</v>
      </c>
      <c r="V86" s="7">
        <v>2106.3854255373</v>
      </c>
      <c r="W86" s="7">
        <v>1388.5</v>
      </c>
    </row>
    <row r="87">
      <c r="A87" s="8">
        <v>42767.0</v>
      </c>
      <c r="B87" s="34">
        <f>IFERROR(__xludf.DUMMYFUNCTION("""COMPUTED_VALUE"""),14156.0)</f>
        <v>14156</v>
      </c>
      <c r="C87" s="12">
        <v>13197.6666666667</v>
      </c>
      <c r="D87" s="12">
        <v>1761.78490864821</v>
      </c>
      <c r="E87" s="12">
        <v>5477.37152916549</v>
      </c>
      <c r="F87" s="12">
        <v>-2135.51078893113</v>
      </c>
      <c r="G87" s="12">
        <v>5892.42782072418</v>
      </c>
      <c r="H87" s="12">
        <v>12938.3333333333</v>
      </c>
      <c r="I87" s="12">
        <v>13202.6666666667</v>
      </c>
      <c r="J87" s="12">
        <v>14402.5527919749</v>
      </c>
      <c r="K87" s="13">
        <v>14045.1219845904</v>
      </c>
      <c r="L87" s="12">
        <v>12585.8886480669</v>
      </c>
      <c r="M87" s="12">
        <v>14314.8293863287</v>
      </c>
      <c r="N87" s="12">
        <v>14421.6280189137</v>
      </c>
      <c r="O87" s="12">
        <v>9271.09411764706</v>
      </c>
      <c r="P87" s="12">
        <v>6048.07589288358</v>
      </c>
      <c r="Q87" s="12">
        <v>13395.7</v>
      </c>
      <c r="R87" s="12">
        <v>14998.0300385031</v>
      </c>
      <c r="S87" s="12">
        <v>12045.7754849069</v>
      </c>
      <c r="T87" s="12">
        <v>5408.53767747625</v>
      </c>
      <c r="U87" s="7">
        <v>13887.6372092991</v>
      </c>
      <c r="V87" s="7">
        <v>12725.7311006579</v>
      </c>
      <c r="W87" s="7">
        <v>2150.8</v>
      </c>
    </row>
    <row r="88">
      <c r="A88" s="8">
        <v>42795.0</v>
      </c>
      <c r="B88" s="34">
        <f>IFERROR(__xludf.DUMMYFUNCTION("""COMPUTED_VALUE"""),7111.0)</f>
        <v>7111</v>
      </c>
      <c r="C88" s="12">
        <v>7658.66666666667</v>
      </c>
      <c r="D88" s="12">
        <v>1761.78490864821</v>
      </c>
      <c r="E88" s="12">
        <v>5256.30173593089</v>
      </c>
      <c r="F88" s="12">
        <v>-153.778819758618</v>
      </c>
      <c r="G88" s="12">
        <v>6465.50530068239</v>
      </c>
      <c r="H88" s="12">
        <v>6865.16666666667</v>
      </c>
      <c r="I88" s="12">
        <v>7674.66666666667</v>
      </c>
      <c r="J88" s="12">
        <v>6463.16015470748</v>
      </c>
      <c r="K88" s="13">
        <v>7197.75158630817</v>
      </c>
      <c r="L88" s="12">
        <v>6897.71882920652</v>
      </c>
      <c r="M88" s="12">
        <v>6343.575763743</v>
      </c>
      <c r="N88" s="12">
        <v>5549.35479560535</v>
      </c>
      <c r="O88" s="12">
        <v>3180.91764705882</v>
      </c>
      <c r="P88" s="12">
        <v>6578.24540958801</v>
      </c>
      <c r="Q88" s="12">
        <v>7551.4</v>
      </c>
      <c r="R88" s="12">
        <v>7644.7</v>
      </c>
      <c r="S88" s="12">
        <v>10436.3476494207</v>
      </c>
      <c r="T88" s="12">
        <v>6562.10410331048</v>
      </c>
      <c r="U88" s="7">
        <v>9035.77127206086</v>
      </c>
      <c r="V88" s="7">
        <v>7280.73110065792</v>
      </c>
      <c r="W88" s="7">
        <v>2872.0</v>
      </c>
    </row>
    <row r="89">
      <c r="A89" s="8">
        <v>42826.0</v>
      </c>
      <c r="B89" s="34">
        <f>IFERROR(__xludf.DUMMYFUNCTION("""COMPUTED_VALUE"""),3520.0)</f>
        <v>3520</v>
      </c>
      <c r="C89" s="12">
        <v>2383.33333333333</v>
      </c>
      <c r="D89" s="12">
        <v>1761.78490864821</v>
      </c>
      <c r="E89" s="12">
        <v>2397.01385080522</v>
      </c>
      <c r="F89" s="12">
        <v>-3852.93329693128</v>
      </c>
      <c r="G89" s="12">
        <v>2344.10261241942</v>
      </c>
      <c r="H89" s="12">
        <v>2323.33333333333</v>
      </c>
      <c r="I89" s="12">
        <v>3112.33333333333</v>
      </c>
      <c r="J89" s="12">
        <v>3965.72490899907</v>
      </c>
      <c r="K89" s="13">
        <v>3296.12120001829</v>
      </c>
      <c r="L89" s="12">
        <v>3263.40643717157</v>
      </c>
      <c r="M89" s="12">
        <v>4897.58949321055</v>
      </c>
      <c r="N89" s="12">
        <v>3948.92008472342</v>
      </c>
      <c r="O89" s="12">
        <v>3879.88235294118</v>
      </c>
      <c r="P89" s="12">
        <v>5908.44743362319</v>
      </c>
      <c r="Q89" s="12">
        <v>4732.58</v>
      </c>
      <c r="R89" s="12">
        <v>3541.16926662275</v>
      </c>
      <c r="S89" s="12">
        <v>2827.65820895522</v>
      </c>
      <c r="T89" s="12">
        <v>5486.05736884223</v>
      </c>
      <c r="U89" s="7">
        <v>4360.04139908581</v>
      </c>
      <c r="V89" s="7">
        <v>2596.39776732458</v>
      </c>
      <c r="W89" s="7">
        <v>2733.6</v>
      </c>
    </row>
    <row r="90">
      <c r="A90" s="8">
        <v>42856.0</v>
      </c>
      <c r="B90" s="34">
        <f>IFERROR(__xludf.DUMMYFUNCTION("""COMPUTED_VALUE"""),979.0)</f>
        <v>979</v>
      </c>
      <c r="C90" s="12">
        <v>1645.33333333333</v>
      </c>
      <c r="D90" s="12">
        <v>1761.78490864821</v>
      </c>
      <c r="E90" s="12">
        <v>997.964161338137</v>
      </c>
      <c r="F90" s="12">
        <v>-5852.88401510843</v>
      </c>
      <c r="G90" s="12">
        <v>1135.68236183985</v>
      </c>
      <c r="H90" s="12">
        <v>1678.0</v>
      </c>
      <c r="I90" s="12">
        <v>2374.33333333333</v>
      </c>
      <c r="J90" s="12">
        <v>1899.76772473228</v>
      </c>
      <c r="K90" s="13">
        <v>1273.25868444885</v>
      </c>
      <c r="L90" s="12">
        <v>1368.40643717157</v>
      </c>
      <c r="M90" s="12">
        <v>280.116358821577</v>
      </c>
      <c r="N90" s="12">
        <v>170.209425420726</v>
      </c>
      <c r="O90" s="12">
        <v>-1197.34705882353</v>
      </c>
      <c r="P90" s="12">
        <v>1670.00644392993</v>
      </c>
      <c r="Q90" s="12">
        <v>7460.3</v>
      </c>
      <c r="R90" s="12">
        <v>1157.66763465881</v>
      </c>
      <c r="S90" s="12">
        <v>1651.19048447926</v>
      </c>
      <c r="T90" s="12">
        <v>-748.955971198122</v>
      </c>
      <c r="U90" s="7">
        <v>1298.15517384822</v>
      </c>
      <c r="V90" s="7">
        <v>1298.94776732458</v>
      </c>
      <c r="W90" s="7">
        <v>2897.281</v>
      </c>
    </row>
    <row r="91">
      <c r="A91" s="8">
        <v>42887.0</v>
      </c>
      <c r="B91" s="34">
        <f>IFERROR(__xludf.DUMMYFUNCTION("""COMPUTED_VALUE"""),809.0)</f>
        <v>809</v>
      </c>
      <c r="C91" s="12">
        <v>1214.0</v>
      </c>
      <c r="D91" s="12">
        <v>1761.78490864821</v>
      </c>
      <c r="E91" s="12">
        <v>1523.25863197928</v>
      </c>
      <c r="F91" s="12">
        <v>-3189.06803420898</v>
      </c>
      <c r="G91" s="12">
        <v>3239.35544860698</v>
      </c>
      <c r="H91" s="12">
        <v>1806.6402573094</v>
      </c>
      <c r="I91" s="12">
        <v>2121.45178123734</v>
      </c>
      <c r="J91" s="12">
        <v>3436.53916326341</v>
      </c>
      <c r="K91" s="13">
        <v>967.157258817363</v>
      </c>
      <c r="L91" s="12">
        <v>1148.54153646651</v>
      </c>
      <c r="M91" s="12">
        <v>689.935632108966</v>
      </c>
      <c r="N91" s="12">
        <v>724.28117141633</v>
      </c>
      <c r="O91" s="12">
        <v>-3366.09977807119</v>
      </c>
      <c r="P91" s="12">
        <v>6300.04401292745</v>
      </c>
      <c r="Q91" s="12">
        <v>5139.74</v>
      </c>
      <c r="R91" s="12">
        <v>1983.40881762385</v>
      </c>
      <c r="S91" s="12">
        <v>1461.07766776678</v>
      </c>
      <c r="T91" s="12">
        <v>657.622401979072</v>
      </c>
      <c r="U91" s="7">
        <v>833.181798921326</v>
      </c>
      <c r="V91" s="7">
        <v>782.56443399125</v>
      </c>
      <c r="W91" s="7">
        <v>1278.504</v>
      </c>
    </row>
    <row r="92">
      <c r="A92" s="33">
        <v>42917.0</v>
      </c>
      <c r="B92" s="34">
        <f>IFERROR(__xludf.DUMMYFUNCTION("""COMPUTED_VALUE"""),722.0)</f>
        <v>722</v>
      </c>
      <c r="C92" s="12">
        <v>856.0</v>
      </c>
      <c r="D92" s="12">
        <v>1761.78490864821</v>
      </c>
      <c r="E92" s="12">
        <v>1169.54886010364</v>
      </c>
      <c r="F92" s="12">
        <v>-2834.24854376771</v>
      </c>
      <c r="G92" s="12">
        <v>3842.52864614995</v>
      </c>
      <c r="H92" s="12">
        <v>786.5</v>
      </c>
      <c r="I92" s="12">
        <v>1549.0</v>
      </c>
      <c r="J92" s="12">
        <v>1953.45182742995</v>
      </c>
      <c r="K92" s="13">
        <v>858.208679137194</v>
      </c>
      <c r="L92" s="12">
        <v>947.573103838236</v>
      </c>
      <c r="M92" s="12">
        <v>2081.35599427662</v>
      </c>
      <c r="N92" s="12">
        <v>7119.4442599941</v>
      </c>
      <c r="O92" s="12">
        <v>-3471.00229951089</v>
      </c>
      <c r="P92" s="12">
        <v>8282.03983625434</v>
      </c>
      <c r="Q92" s="12">
        <v>-424.511851851851</v>
      </c>
      <c r="R92" s="12">
        <v>1145.39428105083</v>
      </c>
      <c r="S92" s="12">
        <v>1486.71666666667</v>
      </c>
      <c r="T92" s="12">
        <v>2644.62766360199</v>
      </c>
      <c r="U92" s="7">
        <v>275.649015729162</v>
      </c>
      <c r="V92" s="7">
        <v>1232.56443399125</v>
      </c>
      <c r="W92" s="7">
        <v>969.9265</v>
      </c>
    </row>
    <row r="93">
      <c r="A93" s="8">
        <v>42948.0</v>
      </c>
      <c r="B93" s="34">
        <f>IFERROR(__xludf.DUMMYFUNCTION("""COMPUTED_VALUE"""),1125.0)</f>
        <v>1125</v>
      </c>
      <c r="C93" s="12">
        <v>1772.99771167048</v>
      </c>
      <c r="D93" s="12">
        <v>1761.78490864821</v>
      </c>
      <c r="E93" s="12">
        <v>1925.38352127614</v>
      </c>
      <c r="F93" s="12">
        <v>-5402.00488281003</v>
      </c>
      <c r="G93" s="12">
        <v>1282.21673927707</v>
      </c>
      <c r="H93" s="12">
        <v>925.923211252505</v>
      </c>
      <c r="I93" s="12">
        <v>1436.0</v>
      </c>
      <c r="J93" s="12">
        <v>1115.06441701555</v>
      </c>
      <c r="K93" s="13">
        <v>947.598151703163</v>
      </c>
      <c r="L93" s="12">
        <v>967.816026890138</v>
      </c>
      <c r="M93" s="12">
        <v>14872.0336837821</v>
      </c>
      <c r="N93" s="12">
        <v>8636.27793929225</v>
      </c>
      <c r="O93" s="12">
        <v>-3637.0</v>
      </c>
      <c r="P93" s="12">
        <v>984.031017678861</v>
      </c>
      <c r="Q93" s="12">
        <v>-1071.64407407407</v>
      </c>
      <c r="R93" s="12">
        <v>572.5</v>
      </c>
      <c r="S93" s="12">
        <v>2006.61795067379</v>
      </c>
      <c r="T93" s="12">
        <v>7410.97513847287</v>
      </c>
      <c r="U93" s="7">
        <v>78.8655251118066</v>
      </c>
      <c r="V93" s="7">
        <v>1120.1354255373</v>
      </c>
      <c r="W93" s="7">
        <v>1500.27875</v>
      </c>
    </row>
    <row r="94">
      <c r="A94" s="14">
        <v>42979.0</v>
      </c>
      <c r="B94" s="34">
        <f>IFERROR(__xludf.DUMMYFUNCTION("""COMPUTED_VALUE"""),2209.0)</f>
        <v>2209</v>
      </c>
      <c r="C94" s="12">
        <v>2063.66666666667</v>
      </c>
      <c r="D94" s="12">
        <v>1761.78490864821</v>
      </c>
      <c r="E94" s="12">
        <v>3474.6531081008</v>
      </c>
      <c r="F94" s="12">
        <v>-5806.66643918555</v>
      </c>
      <c r="G94" s="12">
        <v>1492.06744121484</v>
      </c>
      <c r="H94" s="12">
        <v>2223.16666666667</v>
      </c>
      <c r="I94" s="12">
        <v>2724.66666666667</v>
      </c>
      <c r="J94" s="12">
        <v>2763.44343528077</v>
      </c>
      <c r="K94" s="13">
        <v>2421.42574288367</v>
      </c>
      <c r="L94" s="12">
        <v>2123.2397705049</v>
      </c>
      <c r="M94" s="12">
        <v>4952.24293242623</v>
      </c>
      <c r="N94" s="12">
        <v>1924.22244547491</v>
      </c>
      <c r="O94" s="12">
        <v>-3299.98358338856</v>
      </c>
      <c r="P94" s="12">
        <v>4575.71033320123</v>
      </c>
      <c r="Q94" s="12">
        <v>-3838.16</v>
      </c>
      <c r="R94" s="12">
        <v>4346.91545801375</v>
      </c>
      <c r="S94" s="12">
        <v>1639.79362978049</v>
      </c>
      <c r="T94" s="12">
        <v>1261.66999160803</v>
      </c>
      <c r="U94" s="7">
        <v>94.1413563110298</v>
      </c>
      <c r="V94" s="7">
        <v>2510.33110065792</v>
      </c>
      <c r="W94" s="7">
        <v>2702.2</v>
      </c>
    </row>
    <row r="95">
      <c r="A95" s="14">
        <v>43009.0</v>
      </c>
      <c r="B95" s="34">
        <f>IFERROR(__xludf.DUMMYFUNCTION("""COMPUTED_VALUE"""),1764.0)</f>
        <v>1764</v>
      </c>
      <c r="C95" s="12">
        <v>7322.66666666667</v>
      </c>
      <c r="D95" s="12">
        <v>1761.78490864821</v>
      </c>
      <c r="E95" s="12">
        <v>9202.75098360093</v>
      </c>
      <c r="F95" s="12">
        <v>-4174.29085056308</v>
      </c>
      <c r="G95" s="12">
        <v>1648.1307027906</v>
      </c>
      <c r="H95" s="12">
        <v>7713.16666666667</v>
      </c>
      <c r="I95" s="12">
        <v>8015.66666666667</v>
      </c>
      <c r="J95" s="12">
        <v>2248.54935966878</v>
      </c>
      <c r="K95" s="13">
        <v>6314.21932341464</v>
      </c>
      <c r="L95" s="12">
        <v>6945.7397705049</v>
      </c>
      <c r="M95" s="12">
        <v>4457.02336178967</v>
      </c>
      <c r="N95" s="12">
        <v>2634.20747341468</v>
      </c>
      <c r="O95" s="12">
        <v>-1252.09069218625</v>
      </c>
      <c r="P95" s="12">
        <v>4336.05655609097</v>
      </c>
      <c r="Q95" s="12">
        <v>-3608.68888888889</v>
      </c>
      <c r="R95" s="12">
        <v>1983.0</v>
      </c>
      <c r="S95" s="12">
        <v>1904.81712962963</v>
      </c>
      <c r="T95" s="12">
        <v>3162.33080230766</v>
      </c>
      <c r="U95" s="7">
        <v>4589.26272058154</v>
      </c>
      <c r="V95" s="7">
        <v>7133.73110065792</v>
      </c>
      <c r="W95" s="7">
        <v>2795.2</v>
      </c>
    </row>
    <row r="96">
      <c r="A96" s="14">
        <v>43040.0</v>
      </c>
      <c r="B96" s="34">
        <f>IFERROR(__xludf.DUMMYFUNCTION("""COMPUTED_VALUE"""),1368.0)</f>
        <v>1368</v>
      </c>
      <c r="C96" s="12">
        <v>3648.33333333333</v>
      </c>
      <c r="D96" s="12">
        <v>1761.78490864821</v>
      </c>
      <c r="E96" s="12">
        <v>727.259654572514</v>
      </c>
      <c r="F96" s="12">
        <v>-4610.99408834522</v>
      </c>
      <c r="G96" s="12">
        <v>1573.81942020852</v>
      </c>
      <c r="H96" s="12">
        <v>2446.66666666667</v>
      </c>
      <c r="I96" s="12">
        <v>4341.33333333333</v>
      </c>
      <c r="J96" s="12">
        <v>862.733713789553</v>
      </c>
      <c r="K96" s="13">
        <v>872.166569401067</v>
      </c>
      <c r="L96" s="12">
        <v>3419.90485098513</v>
      </c>
      <c r="M96" s="12">
        <v>4788.78901066884</v>
      </c>
      <c r="N96" s="12">
        <v>3300.79148561678</v>
      </c>
      <c r="O96" s="12">
        <v>-1815.26030910869</v>
      </c>
      <c r="P96" s="12">
        <v>16727.9036863486</v>
      </c>
      <c r="Q96" s="12">
        <v>-8234.56777777778</v>
      </c>
      <c r="R96" s="12">
        <v>2974.24041918638</v>
      </c>
      <c r="S96" s="12">
        <v>2290.66942800789</v>
      </c>
      <c r="T96" s="12">
        <v>3207.99473051942</v>
      </c>
      <c r="U96" s="7">
        <v>1785.08444051334</v>
      </c>
      <c r="V96" s="7">
        <v>5944.89776732458</v>
      </c>
      <c r="W96" s="7">
        <v>2363.5</v>
      </c>
    </row>
    <row r="97">
      <c r="A97" s="14">
        <v>43070.0</v>
      </c>
      <c r="B97" s="34">
        <f>IFERROR(__xludf.DUMMYFUNCTION("""COMPUTED_VALUE"""),1104.0)</f>
        <v>1104</v>
      </c>
      <c r="C97" s="12">
        <v>7898.1644241483</v>
      </c>
      <c r="D97" s="12">
        <v>9874.91821585807</v>
      </c>
      <c r="E97" s="12">
        <v>4183.44837303982</v>
      </c>
      <c r="F97" s="12">
        <v>-789.207658697397</v>
      </c>
      <c r="G97" s="12">
        <v>2932.37825377957</v>
      </c>
      <c r="H97" s="12">
        <v>1049.57561662354</v>
      </c>
      <c r="I97" s="12">
        <v>6100.0</v>
      </c>
      <c r="J97" s="12">
        <v>820.097844396999</v>
      </c>
      <c r="K97" s="12">
        <v>1983.64041016552</v>
      </c>
      <c r="L97" s="12">
        <v>1726.83467089014</v>
      </c>
      <c r="M97" s="12">
        <v>3584.41819508084</v>
      </c>
      <c r="N97" s="12">
        <v>3391.43880294463</v>
      </c>
      <c r="O97" s="12">
        <v>-1976.17647058824</v>
      </c>
      <c r="P97" s="12">
        <v>9035.68114812433</v>
      </c>
      <c r="Q97" s="12">
        <v>-5125.43722222222</v>
      </c>
      <c r="R97" s="12">
        <v>4636.27547293885</v>
      </c>
      <c r="S97" s="12">
        <v>2619.65887445887</v>
      </c>
      <c r="T97" s="12">
        <v>813.47200619729</v>
      </c>
      <c r="U97" s="7">
        <v>4358.09390432763</v>
      </c>
      <c r="V97" s="7">
        <v>615.591691999026</v>
      </c>
      <c r="W97" s="7">
        <v>1815.9</v>
      </c>
    </row>
    <row r="98">
      <c r="A98" s="19">
        <v>43101.0</v>
      </c>
      <c r="B98" s="34">
        <f>IFERROR(__xludf.DUMMYFUNCTION("""COMPUTED_VALUE"""),1850.0)</f>
        <v>1850</v>
      </c>
      <c r="C98" s="12">
        <v>49987.036075288</v>
      </c>
      <c r="D98" s="12">
        <v>49989.8967598666</v>
      </c>
      <c r="E98" s="12">
        <v>11291.9355805771</v>
      </c>
      <c r="F98" s="12">
        <v>-5689.15380615682</v>
      </c>
      <c r="G98" s="12">
        <v>2965.3829624979</v>
      </c>
      <c r="H98" s="12">
        <v>1423.09533482042</v>
      </c>
      <c r="I98" s="12">
        <v>4906.60073413305</v>
      </c>
      <c r="J98" s="12">
        <v>1226.40593123149</v>
      </c>
      <c r="K98" s="12">
        <v>1843.89893754256</v>
      </c>
      <c r="L98" s="12">
        <v>2951.01260193141</v>
      </c>
      <c r="M98" s="12">
        <v>4548.5980843033</v>
      </c>
      <c r="N98" s="12">
        <v>2751.613336926</v>
      </c>
      <c r="O98" s="12">
        <v>2492.61909746655</v>
      </c>
      <c r="P98" s="12">
        <v>65409.2771027203</v>
      </c>
      <c r="Q98" s="12">
        <v>-1937.95962962963</v>
      </c>
      <c r="R98" s="12">
        <v>41605.9476488756</v>
      </c>
      <c r="S98" s="12">
        <v>7428.88096783075</v>
      </c>
      <c r="T98" s="12">
        <v>2627.52378469004</v>
      </c>
      <c r="U98" s="7">
        <v>52731.6829869455</v>
      </c>
      <c r="V98" s="7">
        <v>1716.50602200202</v>
      </c>
      <c r="W98" s="7">
        <v>1824.89</v>
      </c>
    </row>
    <row r="99">
      <c r="A99" s="19">
        <v>43132.0</v>
      </c>
      <c r="B99" s="34">
        <f>IFERROR(__xludf.DUMMYFUNCTION("""COMPUTED_VALUE"""),1987.0)</f>
        <v>1987</v>
      </c>
      <c r="C99" s="12">
        <v>17836.5443986161</v>
      </c>
      <c r="D99" s="12">
        <v>2069.61457951656</v>
      </c>
      <c r="E99" s="12">
        <v>20324.8915808981</v>
      </c>
      <c r="F99" s="12">
        <v>-23.0815745285818</v>
      </c>
      <c r="G99" s="12">
        <v>3540.56442015574</v>
      </c>
      <c r="H99" s="12">
        <v>-105.784817922233</v>
      </c>
      <c r="I99" s="12">
        <v>7916.0</v>
      </c>
      <c r="J99" s="12">
        <v>1842.51212405024</v>
      </c>
      <c r="K99" s="12">
        <v>136941.328960488</v>
      </c>
      <c r="L99" s="12">
        <v>-462.061133661941</v>
      </c>
      <c r="M99" s="12">
        <v>4371.22887159949</v>
      </c>
      <c r="N99" s="12">
        <v>3987.92311882959</v>
      </c>
      <c r="O99" s="12">
        <v>1529.13189781857</v>
      </c>
      <c r="P99" s="12">
        <v>10163.0720074611</v>
      </c>
      <c r="Q99" s="12">
        <v>-2146.265</v>
      </c>
      <c r="R99" s="12">
        <v>8157.8699268602</v>
      </c>
      <c r="S99" s="12">
        <v>13425.0357338629</v>
      </c>
      <c r="T99" s="12">
        <v>2245.22376527536</v>
      </c>
      <c r="U99" s="7">
        <v>10264.3904638413</v>
      </c>
      <c r="V99" s="7">
        <v>1860.53262154089</v>
      </c>
      <c r="W99" s="7">
        <v>1710.15</v>
      </c>
    </row>
    <row r="100">
      <c r="A100" s="15">
        <v>43160.0</v>
      </c>
      <c r="B100" s="34">
        <f>IFERROR(__xludf.DUMMYFUNCTION("""COMPUTED_VALUE"""),2660.0)</f>
        <v>2660</v>
      </c>
      <c r="C100" s="12">
        <v>4232.0</v>
      </c>
      <c r="D100" s="12">
        <v>1761.78490864821</v>
      </c>
      <c r="E100" s="12">
        <v>10231.5372209907</v>
      </c>
      <c r="F100" s="12">
        <v>-6266.92229367409</v>
      </c>
      <c r="G100" s="12">
        <v>3087.9679008194</v>
      </c>
      <c r="H100" s="12">
        <v>1295.16666666667</v>
      </c>
      <c r="I100" s="12">
        <v>2920.33333333333</v>
      </c>
      <c r="J100" s="12">
        <v>2109.14887171083</v>
      </c>
      <c r="K100" s="12">
        <v>26111.728069881</v>
      </c>
      <c r="L100" s="12">
        <v>-651.503834301338</v>
      </c>
      <c r="M100" s="12">
        <v>6267.92724946514</v>
      </c>
      <c r="N100" s="12">
        <v>3772.16354450338</v>
      </c>
      <c r="O100" s="12">
        <v>2104.21304359799</v>
      </c>
      <c r="P100" s="12">
        <v>552.386494982423</v>
      </c>
      <c r="Q100" s="12">
        <v>-5633.37740740741</v>
      </c>
      <c r="R100" s="12">
        <v>5299.85665390934</v>
      </c>
      <c r="S100" s="12">
        <v>28349.2927729495</v>
      </c>
      <c r="T100" s="12">
        <v>2540.80763942767</v>
      </c>
      <c r="U100" s="7">
        <v>4906.57816406603</v>
      </c>
      <c r="V100" s="7">
        <v>1735.89776732458</v>
      </c>
      <c r="W100" s="7">
        <v>1500.63775</v>
      </c>
    </row>
    <row r="101">
      <c r="A101" s="15">
        <v>43191.0</v>
      </c>
      <c r="B101" s="34">
        <f>IFERROR(__xludf.DUMMYFUNCTION("""COMPUTED_VALUE"""),4130.0)</f>
        <v>4130</v>
      </c>
      <c r="C101" s="12">
        <v>11155.5</v>
      </c>
      <c r="D101" s="12">
        <v>1896.32495929309</v>
      </c>
      <c r="E101" s="12">
        <v>172621.786617931</v>
      </c>
      <c r="F101" s="12">
        <v>-4009.44717889075</v>
      </c>
      <c r="G101" s="12">
        <v>1989.53480395647</v>
      </c>
      <c r="H101" s="12">
        <v>7949.81571845853</v>
      </c>
      <c r="I101" s="12">
        <v>9137.05578411122</v>
      </c>
      <c r="J101" s="12">
        <v>1542.62823421343</v>
      </c>
      <c r="K101" s="12">
        <v>4460.25119255882</v>
      </c>
      <c r="L101" s="12">
        <v>4851.76621989997</v>
      </c>
      <c r="M101" s="12">
        <v>-3493.18163890127</v>
      </c>
      <c r="N101" s="12">
        <v>-1328.10647035952</v>
      </c>
      <c r="O101" s="12">
        <v>583.791367158668</v>
      </c>
      <c r="P101" s="12">
        <v>9644.54910790933</v>
      </c>
      <c r="Q101" s="12">
        <v>-1732.40666666666</v>
      </c>
      <c r="R101" s="12">
        <v>9114.01136525383</v>
      </c>
      <c r="S101" s="12">
        <v>18161.0162784573</v>
      </c>
      <c r="T101" s="12">
        <v>641.606055144002</v>
      </c>
      <c r="U101" s="7">
        <v>7805.20393781156</v>
      </c>
      <c r="V101" s="7">
        <v>1786.83262154089</v>
      </c>
      <c r="W101" s="7">
        <v>3109.1855</v>
      </c>
    </row>
    <row r="102">
      <c r="A102" s="48">
        <v>43221.0</v>
      </c>
      <c r="B102" s="34">
        <f>IFERROR(__xludf.DUMMYFUNCTION("""COMPUTED_VALUE"""),17602.0)</f>
        <v>17602</v>
      </c>
      <c r="C102" s="12">
        <v>11834.0433664725</v>
      </c>
      <c r="D102" s="12">
        <v>4018.92661746076</v>
      </c>
      <c r="E102" s="12">
        <v>594466.511671719</v>
      </c>
      <c r="F102" s="12">
        <v>26710.9308438446</v>
      </c>
      <c r="G102" s="12">
        <v>30543.7680645795</v>
      </c>
      <c r="H102" s="12">
        <v>65790.1309136103</v>
      </c>
      <c r="I102" s="12">
        <v>67416.6455354984</v>
      </c>
      <c r="J102" s="12">
        <v>26181.7856292632</v>
      </c>
      <c r="K102" s="12">
        <v>1795.87717982707</v>
      </c>
      <c r="L102" s="12">
        <v>63451.3511201132</v>
      </c>
      <c r="M102" s="12">
        <v>3383.88063855196</v>
      </c>
      <c r="N102" s="12">
        <v>3086.65780039413</v>
      </c>
      <c r="O102" s="12">
        <v>31436.3392426223</v>
      </c>
      <c r="P102" s="12">
        <v>14548.0426194379</v>
      </c>
      <c r="Q102" s="12">
        <v>3219.1887037037</v>
      </c>
      <c r="R102" s="12">
        <v>10623.3756198381</v>
      </c>
      <c r="S102" s="12">
        <v>4116.84464831804</v>
      </c>
      <c r="T102" s="12">
        <v>5695.565957088</v>
      </c>
      <c r="U102" s="7">
        <v>11509.9771567224</v>
      </c>
      <c r="V102" s="7">
        <v>3077.79528615812</v>
      </c>
      <c r="W102" s="7">
        <v>2363.613</v>
      </c>
    </row>
    <row r="103">
      <c r="A103" s="15">
        <v>43252.0</v>
      </c>
      <c r="B103" s="34">
        <f>IFERROR(__xludf.DUMMYFUNCTION("""COMPUTED_VALUE"""),2075.0)</f>
        <v>2075</v>
      </c>
      <c r="C103" s="7">
        <v>7798.42533264431</v>
      </c>
      <c r="D103" s="7">
        <v>1761.78490864821</v>
      </c>
      <c r="E103" s="7">
        <v>674144.433998211</v>
      </c>
      <c r="F103" s="7">
        <v>-3698.47640323198</v>
      </c>
      <c r="G103" s="7">
        <v>5596.8950813934</v>
      </c>
      <c r="H103" s="7">
        <v>2746.5406499883</v>
      </c>
      <c r="I103" s="7">
        <v>6930.0</v>
      </c>
      <c r="J103" s="7">
        <v>3079260.55329553</v>
      </c>
      <c r="K103" s="7">
        <v>1215.06057582059</v>
      </c>
      <c r="L103" s="7">
        <v>2706.06663739737</v>
      </c>
      <c r="M103" s="7">
        <v>42227.8936969559</v>
      </c>
      <c r="N103" s="7">
        <v>42277.5190344976</v>
      </c>
      <c r="O103" s="7">
        <v>2808.21427201469</v>
      </c>
      <c r="P103" s="7">
        <v>-87451.4592644692</v>
      </c>
      <c r="Q103" s="7">
        <v>-2148.37185185185</v>
      </c>
      <c r="R103" s="7">
        <v>335634.0</v>
      </c>
      <c r="S103" s="7">
        <v>3849.36462056462</v>
      </c>
      <c r="T103" s="7">
        <v>37126.3599005592</v>
      </c>
      <c r="U103" s="7">
        <v>31032.9163632963</v>
      </c>
      <c r="V103" s="7">
        <v>1793.09528615812</v>
      </c>
      <c r="W103" s="7">
        <v>3948.85</v>
      </c>
    </row>
    <row r="104">
      <c r="A104" s="15">
        <v>43282.0</v>
      </c>
      <c r="B104" s="34">
        <f>IFERROR(__xludf.DUMMYFUNCTION("""COMPUTED_VALUE"""),3858.0)</f>
        <v>3858</v>
      </c>
      <c r="C104" s="7">
        <v>4918.47344986846</v>
      </c>
      <c r="D104" s="7">
        <v>1761.78490864821</v>
      </c>
      <c r="E104" s="7">
        <v>51349.5272452334</v>
      </c>
      <c r="F104" s="7">
        <v>-5405.42302422253</v>
      </c>
      <c r="G104" s="7">
        <v>6838.82870503408</v>
      </c>
      <c r="H104" s="7">
        <v>7416.0262698132</v>
      </c>
      <c r="I104" s="7">
        <v>5901.19661847676</v>
      </c>
      <c r="J104" s="7">
        <v>89040.2930371272</v>
      </c>
      <c r="K104" s="7">
        <v>9617.48561213338</v>
      </c>
      <c r="L104" s="7">
        <v>98.3410210985066</v>
      </c>
      <c r="M104" s="7">
        <v>7154.34752642494</v>
      </c>
      <c r="N104" s="7">
        <v>3134.90725673241</v>
      </c>
      <c r="O104" s="7">
        <v>4802.75105338738</v>
      </c>
      <c r="P104" s="7">
        <v>-742.81978377518</v>
      </c>
      <c r="Q104" s="7">
        <v>-2038.15925925926</v>
      </c>
      <c r="R104" s="7">
        <v>95613.0</v>
      </c>
      <c r="S104" s="7">
        <v>7299.31101647092</v>
      </c>
      <c r="T104" s="7">
        <v>10143.4681681197</v>
      </c>
      <c r="U104" s="7">
        <v>8451.13794424383</v>
      </c>
      <c r="V104" s="7">
        <v>1640.18748600441</v>
      </c>
      <c r="W104" s="7">
        <v>1907.75</v>
      </c>
    </row>
    <row r="105">
      <c r="A105" s="17">
        <v>43313.0</v>
      </c>
      <c r="C105" s="7">
        <v>7583.44790309287</v>
      </c>
      <c r="D105" s="7">
        <v>1761.78490864821</v>
      </c>
      <c r="E105" s="7">
        <v>43906.3458018284</v>
      </c>
      <c r="F105" s="7">
        <v>-6310.83809638948</v>
      </c>
      <c r="G105" s="7">
        <v>7572.27232671112</v>
      </c>
      <c r="H105" s="7">
        <v>5691.46808155837</v>
      </c>
      <c r="I105" s="7">
        <v>5575.04874399003</v>
      </c>
      <c r="J105" s="7">
        <v>73076.1898382563</v>
      </c>
      <c r="K105" s="7">
        <v>419.89250897113</v>
      </c>
      <c r="L105" s="7">
        <v>-2076.63758924432</v>
      </c>
      <c r="M105" s="7">
        <v>25777.3090736714</v>
      </c>
      <c r="N105" s="7">
        <v>24907.5294617867</v>
      </c>
      <c r="O105" s="7">
        <v>274.0</v>
      </c>
      <c r="P105" s="7">
        <v>-22387.8657244416</v>
      </c>
      <c r="Q105" s="7">
        <v>3747.42518518518</v>
      </c>
      <c r="R105" s="7">
        <v>825898.5</v>
      </c>
      <c r="S105" s="7">
        <v>6951.21659641728</v>
      </c>
      <c r="T105" s="7">
        <v>22965.5218942365</v>
      </c>
      <c r="U105" s="7">
        <v>1313.11644640747</v>
      </c>
      <c r="V105" s="7">
        <v>1939.05748600441</v>
      </c>
      <c r="W105" s="7">
        <v>3982.0</v>
      </c>
    </row>
    <row r="106">
      <c r="A106" s="15">
        <v>43344.0</v>
      </c>
    </row>
    <row r="107">
      <c r="A107" s="15">
        <v>43374.0</v>
      </c>
    </row>
    <row r="108">
      <c r="A108" s="15">
        <v>43405.0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0</v>
      </c>
      <c r="B1" s="3" t="s">
        <v>1</v>
      </c>
      <c r="C1" s="3" t="s">
        <v>196</v>
      </c>
      <c r="D1" s="3" t="s">
        <v>197</v>
      </c>
      <c r="E1" s="3" t="s">
        <v>198</v>
      </c>
      <c r="F1" s="3" t="s">
        <v>199</v>
      </c>
      <c r="G1" s="3" t="s">
        <v>200</v>
      </c>
      <c r="H1" s="3" t="s">
        <v>201</v>
      </c>
      <c r="I1" s="3" t="s">
        <v>202</v>
      </c>
      <c r="J1" s="3" t="s">
        <v>203</v>
      </c>
      <c r="K1" s="3" t="s">
        <v>204</v>
      </c>
      <c r="L1" s="37" t="s">
        <v>205</v>
      </c>
      <c r="M1" s="37" t="s">
        <v>206</v>
      </c>
      <c r="N1" s="37" t="s">
        <v>207</v>
      </c>
      <c r="O1" s="37" t="s">
        <v>208</v>
      </c>
      <c r="P1" s="37" t="s">
        <v>209</v>
      </c>
      <c r="Q1" s="37" t="s">
        <v>210</v>
      </c>
      <c r="R1" s="6" t="s">
        <v>211</v>
      </c>
      <c r="S1" s="37" t="s">
        <v>212</v>
      </c>
      <c r="T1" s="37" t="s">
        <v>213</v>
      </c>
      <c r="U1" s="37" t="s">
        <v>214</v>
      </c>
      <c r="V1" s="6" t="s">
        <v>215</v>
      </c>
      <c r="W1" s="7" t="s">
        <v>216</v>
      </c>
      <c r="X1" s="7" t="s">
        <v>217</v>
      </c>
    </row>
    <row r="2">
      <c r="A2" s="8">
        <v>40179.0</v>
      </c>
      <c r="B2" s="51">
        <f>IFERROR(__xludf.DUMMYFUNCTION("IMPORTRANGE(""https://docs.google.com/spreadsheets/d/1oPTPmoJ9phtMOkp-nMB7WHnPESomLzqUj9t0gcE9bYA"",""Current Region!L2:L150"")"),2710.0)</f>
        <v>2710</v>
      </c>
      <c r="C2" s="10" t="s">
        <v>26</v>
      </c>
      <c r="D2" s="10" t="s">
        <v>26</v>
      </c>
      <c r="E2" s="10" t="s">
        <v>26</v>
      </c>
      <c r="F2" s="10" t="s">
        <v>26</v>
      </c>
      <c r="G2" s="10" t="s">
        <v>26</v>
      </c>
      <c r="H2" s="10" t="s">
        <v>26</v>
      </c>
      <c r="I2" s="10" t="s">
        <v>26</v>
      </c>
      <c r="J2" s="10" t="s">
        <v>26</v>
      </c>
      <c r="K2" s="10" t="s">
        <v>26</v>
      </c>
      <c r="L2" s="11" t="s">
        <v>26</v>
      </c>
      <c r="M2" s="10" t="s">
        <v>26</v>
      </c>
      <c r="N2" s="10" t="s">
        <v>26</v>
      </c>
      <c r="O2" s="10" t="s">
        <v>26</v>
      </c>
      <c r="P2" s="10" t="s">
        <v>26</v>
      </c>
      <c r="Q2" s="10" t="s">
        <v>26</v>
      </c>
      <c r="R2" s="10" t="s">
        <v>26</v>
      </c>
      <c r="S2" s="10" t="s">
        <v>26</v>
      </c>
      <c r="T2" s="10" t="s">
        <v>26</v>
      </c>
      <c r="U2" s="10" t="s">
        <v>26</v>
      </c>
      <c r="V2" s="7" t="s">
        <v>26</v>
      </c>
      <c r="W2" s="7" t="s">
        <v>26</v>
      </c>
      <c r="X2" s="7" t="s">
        <v>26</v>
      </c>
    </row>
    <row r="3">
      <c r="A3" s="8">
        <v>40210.0</v>
      </c>
      <c r="B3" s="9">
        <f>IFERROR(__xludf.DUMMYFUNCTION("""COMPUTED_VALUE"""),2355.0)</f>
        <v>2355</v>
      </c>
      <c r="C3" s="10" t="s">
        <v>26</v>
      </c>
      <c r="D3" s="10" t="s">
        <v>26</v>
      </c>
      <c r="E3" s="10" t="s">
        <v>26</v>
      </c>
      <c r="F3" s="10" t="s">
        <v>26</v>
      </c>
      <c r="G3" s="10" t="s">
        <v>26</v>
      </c>
      <c r="H3" s="10" t="s">
        <v>26</v>
      </c>
      <c r="I3" s="10" t="s">
        <v>26</v>
      </c>
      <c r="J3" s="10" t="s">
        <v>26</v>
      </c>
      <c r="K3" s="10" t="s">
        <v>26</v>
      </c>
      <c r="L3" s="11" t="s">
        <v>26</v>
      </c>
      <c r="M3" s="10" t="s">
        <v>26</v>
      </c>
      <c r="N3" s="10" t="s">
        <v>26</v>
      </c>
      <c r="O3" s="10" t="s">
        <v>26</v>
      </c>
      <c r="P3" s="10" t="s">
        <v>26</v>
      </c>
      <c r="Q3" s="10" t="s">
        <v>26</v>
      </c>
      <c r="R3" s="10" t="s">
        <v>26</v>
      </c>
      <c r="S3" s="10" t="s">
        <v>26</v>
      </c>
      <c r="T3" s="10" t="s">
        <v>26</v>
      </c>
      <c r="U3" s="10" t="s">
        <v>26</v>
      </c>
      <c r="V3" s="7" t="s">
        <v>26</v>
      </c>
      <c r="W3" s="7" t="s">
        <v>26</v>
      </c>
      <c r="X3" s="7" t="s">
        <v>26</v>
      </c>
    </row>
    <row r="4">
      <c r="A4" s="8">
        <v>40238.0</v>
      </c>
      <c r="B4" s="9">
        <f>IFERROR(__xludf.DUMMYFUNCTION("""COMPUTED_VALUE"""),1906.0)</f>
        <v>1906</v>
      </c>
      <c r="C4" s="10" t="s">
        <v>26</v>
      </c>
      <c r="D4" s="10" t="s">
        <v>26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26</v>
      </c>
      <c r="J4" s="10" t="s">
        <v>26</v>
      </c>
      <c r="K4" s="10" t="s">
        <v>26</v>
      </c>
      <c r="L4" s="11" t="s">
        <v>26</v>
      </c>
      <c r="M4" s="10" t="s">
        <v>26</v>
      </c>
      <c r="N4" s="10" t="s">
        <v>26</v>
      </c>
      <c r="O4" s="10" t="s">
        <v>26</v>
      </c>
      <c r="P4" s="10" t="s">
        <v>26</v>
      </c>
      <c r="Q4" s="10" t="s">
        <v>26</v>
      </c>
      <c r="R4" s="10" t="s">
        <v>26</v>
      </c>
      <c r="S4" s="10" t="s">
        <v>26</v>
      </c>
      <c r="T4" s="10" t="s">
        <v>26</v>
      </c>
      <c r="U4" s="10" t="s">
        <v>26</v>
      </c>
      <c r="V4" s="7" t="s">
        <v>26</v>
      </c>
      <c r="W4" s="7" t="s">
        <v>26</v>
      </c>
      <c r="X4" s="7" t="s">
        <v>26</v>
      </c>
    </row>
    <row r="5">
      <c r="A5" s="8">
        <v>40269.0</v>
      </c>
      <c r="B5" s="9">
        <f>IFERROR(__xludf.DUMMYFUNCTION("""COMPUTED_VALUE"""),1353.0)</f>
        <v>1353</v>
      </c>
      <c r="C5" s="10" t="s">
        <v>26</v>
      </c>
      <c r="D5" s="10" t="s">
        <v>26</v>
      </c>
      <c r="E5" s="10" t="s">
        <v>26</v>
      </c>
      <c r="F5" s="10" t="s">
        <v>26</v>
      </c>
      <c r="G5" s="10" t="s">
        <v>26</v>
      </c>
      <c r="H5" s="10" t="s">
        <v>26</v>
      </c>
      <c r="I5" s="10" t="s">
        <v>26</v>
      </c>
      <c r="J5" s="10" t="s">
        <v>26</v>
      </c>
      <c r="K5" s="10" t="s">
        <v>26</v>
      </c>
      <c r="L5" s="11" t="s">
        <v>26</v>
      </c>
      <c r="M5" s="10" t="s">
        <v>26</v>
      </c>
      <c r="N5" s="10" t="s">
        <v>26</v>
      </c>
      <c r="O5" s="10" t="s">
        <v>26</v>
      </c>
      <c r="P5" s="10" t="s">
        <v>26</v>
      </c>
      <c r="Q5" s="10" t="s">
        <v>26</v>
      </c>
      <c r="R5" s="10" t="s">
        <v>26</v>
      </c>
      <c r="S5" s="10" t="s">
        <v>26</v>
      </c>
      <c r="T5" s="10" t="s">
        <v>26</v>
      </c>
      <c r="U5" s="10" t="s">
        <v>26</v>
      </c>
      <c r="V5" s="7" t="s">
        <v>26</v>
      </c>
      <c r="W5" s="7" t="s">
        <v>26</v>
      </c>
      <c r="X5" s="7" t="s">
        <v>26</v>
      </c>
    </row>
    <row r="6">
      <c r="A6" s="8">
        <v>40299.0</v>
      </c>
      <c r="B6" s="9">
        <f>IFERROR(__xludf.DUMMYFUNCTION("""COMPUTED_VALUE"""),1736.0)</f>
        <v>1736</v>
      </c>
      <c r="C6" s="10" t="s">
        <v>26</v>
      </c>
      <c r="D6" s="10" t="s">
        <v>26</v>
      </c>
      <c r="E6" s="10" t="s">
        <v>26</v>
      </c>
      <c r="F6" s="10" t="s">
        <v>26</v>
      </c>
      <c r="G6" s="10" t="s">
        <v>26</v>
      </c>
      <c r="H6" s="10" t="s">
        <v>26</v>
      </c>
      <c r="I6" s="10" t="s">
        <v>26</v>
      </c>
      <c r="J6" s="10" t="s">
        <v>26</v>
      </c>
      <c r="K6" s="10" t="s">
        <v>26</v>
      </c>
      <c r="L6" s="11" t="s">
        <v>26</v>
      </c>
      <c r="M6" s="10" t="s">
        <v>26</v>
      </c>
      <c r="N6" s="10" t="s">
        <v>26</v>
      </c>
      <c r="O6" s="10" t="s">
        <v>26</v>
      </c>
      <c r="P6" s="10" t="s">
        <v>26</v>
      </c>
      <c r="Q6" s="10" t="s">
        <v>26</v>
      </c>
      <c r="R6" s="10" t="s">
        <v>26</v>
      </c>
      <c r="S6" s="10" t="s">
        <v>26</v>
      </c>
      <c r="T6" s="10" t="s">
        <v>26</v>
      </c>
      <c r="U6" s="10" t="s">
        <v>26</v>
      </c>
      <c r="V6" s="7" t="s">
        <v>26</v>
      </c>
      <c r="W6" s="7" t="s">
        <v>26</v>
      </c>
      <c r="X6" s="7" t="s">
        <v>26</v>
      </c>
    </row>
    <row r="7">
      <c r="A7" s="8">
        <v>40330.0</v>
      </c>
      <c r="B7" s="9">
        <f>IFERROR(__xludf.DUMMYFUNCTION("""COMPUTED_VALUE"""),1833.0)</f>
        <v>1833</v>
      </c>
      <c r="C7" s="10" t="s">
        <v>26</v>
      </c>
      <c r="D7" s="10" t="s">
        <v>26</v>
      </c>
      <c r="E7" s="10" t="s">
        <v>26</v>
      </c>
      <c r="F7" s="10" t="s">
        <v>26</v>
      </c>
      <c r="G7" s="10" t="s">
        <v>26</v>
      </c>
      <c r="H7" s="10" t="s">
        <v>26</v>
      </c>
      <c r="I7" s="10" t="s">
        <v>26</v>
      </c>
      <c r="J7" s="10" t="s">
        <v>26</v>
      </c>
      <c r="K7" s="10" t="s">
        <v>26</v>
      </c>
      <c r="L7" s="11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  <c r="R7" s="10" t="s">
        <v>26</v>
      </c>
      <c r="S7" s="10" t="s">
        <v>26</v>
      </c>
      <c r="T7" s="10" t="s">
        <v>26</v>
      </c>
      <c r="U7" s="10" t="s">
        <v>26</v>
      </c>
      <c r="V7" s="7" t="s">
        <v>26</v>
      </c>
      <c r="W7" s="7" t="s">
        <v>26</v>
      </c>
      <c r="X7" s="7" t="s">
        <v>26</v>
      </c>
    </row>
    <row r="8">
      <c r="A8" s="8">
        <v>40360.0</v>
      </c>
      <c r="B8" s="9">
        <f>IFERROR(__xludf.DUMMYFUNCTION("""COMPUTED_VALUE"""),1961.0)</f>
        <v>1961</v>
      </c>
      <c r="C8" s="10" t="s">
        <v>26</v>
      </c>
      <c r="D8" s="10" t="s">
        <v>26</v>
      </c>
      <c r="E8" s="10" t="s">
        <v>26</v>
      </c>
      <c r="F8" s="10" t="s">
        <v>26</v>
      </c>
      <c r="G8" s="10" t="s">
        <v>26</v>
      </c>
      <c r="H8" s="10" t="s">
        <v>26</v>
      </c>
      <c r="I8" s="10" t="s">
        <v>26</v>
      </c>
      <c r="J8" s="10" t="s">
        <v>26</v>
      </c>
      <c r="K8" s="10" t="s">
        <v>26</v>
      </c>
      <c r="L8" s="11" t="s">
        <v>26</v>
      </c>
      <c r="M8" s="10" t="s">
        <v>26</v>
      </c>
      <c r="N8" s="10" t="s">
        <v>26</v>
      </c>
      <c r="O8" s="10" t="s">
        <v>26</v>
      </c>
      <c r="P8" s="10" t="s">
        <v>26</v>
      </c>
      <c r="Q8" s="10" t="s">
        <v>26</v>
      </c>
      <c r="R8" s="10" t="s">
        <v>26</v>
      </c>
      <c r="S8" s="10" t="s">
        <v>26</v>
      </c>
      <c r="T8" s="10" t="s">
        <v>26</v>
      </c>
      <c r="U8" s="10" t="s">
        <v>26</v>
      </c>
      <c r="V8" s="7" t="s">
        <v>26</v>
      </c>
      <c r="W8" s="7" t="s">
        <v>26</v>
      </c>
      <c r="X8" s="7" t="s">
        <v>26</v>
      </c>
    </row>
    <row r="9">
      <c r="A9" s="8">
        <v>40391.0</v>
      </c>
      <c r="B9" s="9">
        <f>IFERROR(__xludf.DUMMYFUNCTION("""COMPUTED_VALUE"""),1744.0)</f>
        <v>1744</v>
      </c>
      <c r="C9" s="10" t="s">
        <v>26</v>
      </c>
      <c r="D9" s="10" t="s">
        <v>26</v>
      </c>
      <c r="E9" s="10" t="s">
        <v>26</v>
      </c>
      <c r="F9" s="10" t="s">
        <v>26</v>
      </c>
      <c r="G9" s="10" t="s">
        <v>26</v>
      </c>
      <c r="H9" s="10" t="s">
        <v>26</v>
      </c>
      <c r="I9" s="10" t="s">
        <v>26</v>
      </c>
      <c r="J9" s="10" t="s">
        <v>26</v>
      </c>
      <c r="K9" s="10" t="s">
        <v>26</v>
      </c>
      <c r="L9" s="11" t="s">
        <v>26</v>
      </c>
      <c r="M9" s="10" t="s">
        <v>26</v>
      </c>
      <c r="N9" s="10" t="s">
        <v>26</v>
      </c>
      <c r="O9" s="10" t="s">
        <v>26</v>
      </c>
      <c r="P9" s="10" t="s">
        <v>26</v>
      </c>
      <c r="Q9" s="10" t="s">
        <v>26</v>
      </c>
      <c r="R9" s="10" t="s">
        <v>26</v>
      </c>
      <c r="S9" s="10" t="s">
        <v>26</v>
      </c>
      <c r="T9" s="10" t="s">
        <v>26</v>
      </c>
      <c r="U9" s="10" t="s">
        <v>26</v>
      </c>
      <c r="V9" s="7" t="s">
        <v>26</v>
      </c>
      <c r="W9" s="7" t="s">
        <v>26</v>
      </c>
      <c r="X9" s="7" t="s">
        <v>26</v>
      </c>
    </row>
    <row r="10">
      <c r="A10" s="8">
        <v>40422.0</v>
      </c>
      <c r="B10" s="9">
        <f>IFERROR(__xludf.DUMMYFUNCTION("""COMPUTED_VALUE"""),1459.0)</f>
        <v>1459</v>
      </c>
      <c r="C10" s="10" t="s">
        <v>26</v>
      </c>
      <c r="D10" s="10" t="s">
        <v>26</v>
      </c>
      <c r="E10" s="10" t="s">
        <v>26</v>
      </c>
      <c r="F10" s="10" t="s">
        <v>26</v>
      </c>
      <c r="G10" s="10" t="s">
        <v>26</v>
      </c>
      <c r="H10" s="10" t="s">
        <v>26</v>
      </c>
      <c r="I10" s="10" t="s">
        <v>26</v>
      </c>
      <c r="J10" s="10" t="s">
        <v>26</v>
      </c>
      <c r="K10" s="10" t="s">
        <v>26</v>
      </c>
      <c r="L10" s="11" t="s">
        <v>26</v>
      </c>
      <c r="M10" s="10" t="s">
        <v>26</v>
      </c>
      <c r="N10" s="10" t="s">
        <v>26</v>
      </c>
      <c r="O10" s="10" t="s">
        <v>26</v>
      </c>
      <c r="P10" s="10" t="s">
        <v>26</v>
      </c>
      <c r="Q10" s="10" t="s">
        <v>26</v>
      </c>
      <c r="R10" s="10" t="s">
        <v>26</v>
      </c>
      <c r="S10" s="10" t="s">
        <v>26</v>
      </c>
      <c r="T10" s="10" t="s">
        <v>26</v>
      </c>
      <c r="U10" s="10" t="s">
        <v>26</v>
      </c>
      <c r="V10" s="7" t="s">
        <v>26</v>
      </c>
      <c r="W10" s="7" t="s">
        <v>26</v>
      </c>
      <c r="X10" s="7" t="s">
        <v>26</v>
      </c>
    </row>
    <row r="11">
      <c r="A11" s="8">
        <v>40452.0</v>
      </c>
      <c r="B11" s="9">
        <f>IFERROR(__xludf.DUMMYFUNCTION("""COMPUTED_VALUE"""),720.0)</f>
        <v>720</v>
      </c>
      <c r="C11" s="10" t="s">
        <v>26</v>
      </c>
      <c r="D11" s="10" t="s">
        <v>26</v>
      </c>
      <c r="E11" s="10" t="s">
        <v>26</v>
      </c>
      <c r="F11" s="10" t="s">
        <v>26</v>
      </c>
      <c r="G11" s="10" t="s">
        <v>26</v>
      </c>
      <c r="H11" s="10" t="s">
        <v>26</v>
      </c>
      <c r="I11" s="10" t="s">
        <v>26</v>
      </c>
      <c r="J11" s="10" t="s">
        <v>26</v>
      </c>
      <c r="K11" s="10" t="s">
        <v>26</v>
      </c>
      <c r="L11" s="11" t="s">
        <v>26</v>
      </c>
      <c r="M11" s="10" t="s">
        <v>26</v>
      </c>
      <c r="N11" s="10" t="s">
        <v>26</v>
      </c>
      <c r="O11" s="10" t="s">
        <v>26</v>
      </c>
      <c r="P11" s="10" t="s">
        <v>26</v>
      </c>
      <c r="Q11" s="10" t="s">
        <v>26</v>
      </c>
      <c r="R11" s="10" t="s">
        <v>26</v>
      </c>
      <c r="S11" s="10" t="s">
        <v>26</v>
      </c>
      <c r="T11" s="10" t="s">
        <v>26</v>
      </c>
      <c r="U11" s="10" t="s">
        <v>26</v>
      </c>
      <c r="V11" s="7" t="s">
        <v>26</v>
      </c>
      <c r="W11" s="7" t="s">
        <v>26</v>
      </c>
      <c r="X11" s="7" t="s">
        <v>26</v>
      </c>
    </row>
    <row r="12">
      <c r="A12" s="8">
        <v>40483.0</v>
      </c>
      <c r="B12" s="9">
        <f>IFERROR(__xludf.DUMMYFUNCTION("""COMPUTED_VALUE"""),656.0)</f>
        <v>656</v>
      </c>
      <c r="C12" s="10" t="s">
        <v>26</v>
      </c>
      <c r="D12" s="10" t="s">
        <v>26</v>
      </c>
      <c r="E12" s="10" t="s">
        <v>26</v>
      </c>
      <c r="F12" s="10" t="s">
        <v>26</v>
      </c>
      <c r="G12" s="10" t="s">
        <v>26</v>
      </c>
      <c r="H12" s="10" t="s">
        <v>26</v>
      </c>
      <c r="I12" s="10" t="s">
        <v>26</v>
      </c>
      <c r="J12" s="10" t="s">
        <v>26</v>
      </c>
      <c r="K12" s="10" t="s">
        <v>26</v>
      </c>
      <c r="L12" s="11" t="s">
        <v>26</v>
      </c>
      <c r="M12" s="10" t="s">
        <v>26</v>
      </c>
      <c r="N12" s="10" t="s">
        <v>26</v>
      </c>
      <c r="O12" s="10" t="s">
        <v>26</v>
      </c>
      <c r="P12" s="10" t="s">
        <v>26</v>
      </c>
      <c r="Q12" s="10" t="s">
        <v>26</v>
      </c>
      <c r="R12" s="10" t="s">
        <v>26</v>
      </c>
      <c r="S12" s="10" t="s">
        <v>26</v>
      </c>
      <c r="T12" s="10" t="s">
        <v>26</v>
      </c>
      <c r="U12" s="10" t="s">
        <v>26</v>
      </c>
      <c r="V12" s="7" t="s">
        <v>26</v>
      </c>
      <c r="W12" s="7" t="s">
        <v>26</v>
      </c>
      <c r="X12" s="7" t="s">
        <v>26</v>
      </c>
    </row>
    <row r="13">
      <c r="A13" s="8">
        <v>40513.0</v>
      </c>
      <c r="B13" s="9">
        <f>IFERROR(__xludf.DUMMYFUNCTION("""COMPUTED_VALUE"""),406.0)</f>
        <v>406</v>
      </c>
      <c r="C13" s="10" t="s">
        <v>26</v>
      </c>
      <c r="D13" s="10" t="s">
        <v>26</v>
      </c>
      <c r="E13" s="10" t="s">
        <v>26</v>
      </c>
      <c r="F13" s="10" t="s">
        <v>26</v>
      </c>
      <c r="G13" s="10" t="s">
        <v>26</v>
      </c>
      <c r="H13" s="10" t="s">
        <v>26</v>
      </c>
      <c r="I13" s="10" t="s">
        <v>26</v>
      </c>
      <c r="J13" s="10" t="s">
        <v>26</v>
      </c>
      <c r="K13" s="10" t="s">
        <v>26</v>
      </c>
      <c r="L13" s="11" t="s">
        <v>26</v>
      </c>
      <c r="M13" s="10" t="s">
        <v>26</v>
      </c>
      <c r="N13" s="10" t="s">
        <v>26</v>
      </c>
      <c r="O13" s="10" t="s">
        <v>26</v>
      </c>
      <c r="P13" s="10" t="s">
        <v>26</v>
      </c>
      <c r="Q13" s="10" t="s">
        <v>26</v>
      </c>
      <c r="R13" s="10" t="s">
        <v>26</v>
      </c>
      <c r="S13" s="10" t="s">
        <v>26</v>
      </c>
      <c r="T13" s="10" t="s">
        <v>26</v>
      </c>
      <c r="U13" s="10" t="s">
        <v>26</v>
      </c>
      <c r="V13" s="7" t="s">
        <v>26</v>
      </c>
      <c r="W13" s="7" t="s">
        <v>26</v>
      </c>
      <c r="X13" s="7" t="s">
        <v>26</v>
      </c>
    </row>
    <row r="14">
      <c r="A14" s="8">
        <v>40544.0</v>
      </c>
      <c r="B14" s="9">
        <f>IFERROR(__xludf.DUMMYFUNCTION("""COMPUTED_VALUE"""),394.0)</f>
        <v>394</v>
      </c>
      <c r="C14" s="10" t="s">
        <v>26</v>
      </c>
      <c r="D14" s="10" t="s">
        <v>26</v>
      </c>
      <c r="E14" s="10" t="s">
        <v>26</v>
      </c>
      <c r="F14" s="10" t="s">
        <v>26</v>
      </c>
      <c r="G14" s="10" t="s">
        <v>26</v>
      </c>
      <c r="H14" s="10" t="s">
        <v>26</v>
      </c>
      <c r="I14" s="10" t="s">
        <v>26</v>
      </c>
      <c r="J14" s="10" t="s">
        <v>26</v>
      </c>
      <c r="K14" s="10" t="s">
        <v>26</v>
      </c>
      <c r="L14" s="11" t="s">
        <v>26</v>
      </c>
      <c r="M14" s="10" t="s">
        <v>26</v>
      </c>
      <c r="N14" s="10" t="s">
        <v>26</v>
      </c>
      <c r="O14" s="10" t="s">
        <v>26</v>
      </c>
      <c r="P14" s="10" t="s">
        <v>26</v>
      </c>
      <c r="Q14" s="10" t="s">
        <v>26</v>
      </c>
      <c r="R14" s="10" t="s">
        <v>26</v>
      </c>
      <c r="S14" s="10" t="s">
        <v>26</v>
      </c>
      <c r="T14" s="10" t="s">
        <v>26</v>
      </c>
      <c r="U14" s="10" t="s">
        <v>26</v>
      </c>
      <c r="V14" s="7" t="s">
        <v>26</v>
      </c>
      <c r="W14" s="7" t="s">
        <v>26</v>
      </c>
      <c r="X14" s="7" t="s">
        <v>26</v>
      </c>
    </row>
    <row r="15">
      <c r="A15" s="8">
        <v>40575.0</v>
      </c>
      <c r="B15" s="9">
        <f>IFERROR(__xludf.DUMMYFUNCTION("""COMPUTED_VALUE"""),669.0)</f>
        <v>669</v>
      </c>
      <c r="C15" s="10" t="s">
        <v>26</v>
      </c>
      <c r="D15" s="10" t="s">
        <v>26</v>
      </c>
      <c r="E15" s="10" t="s">
        <v>26</v>
      </c>
      <c r="F15" s="10" t="s">
        <v>26</v>
      </c>
      <c r="G15" s="10" t="s">
        <v>26</v>
      </c>
      <c r="H15" s="10" t="s">
        <v>26</v>
      </c>
      <c r="I15" s="10" t="s">
        <v>26</v>
      </c>
      <c r="J15" s="10" t="s">
        <v>26</v>
      </c>
      <c r="K15" s="10" t="s">
        <v>26</v>
      </c>
      <c r="L15" s="11" t="s">
        <v>26</v>
      </c>
      <c r="M15" s="10" t="s">
        <v>26</v>
      </c>
      <c r="N15" s="10" t="s">
        <v>26</v>
      </c>
      <c r="O15" s="10" t="s">
        <v>26</v>
      </c>
      <c r="P15" s="10" t="s">
        <v>26</v>
      </c>
      <c r="Q15" s="10" t="s">
        <v>26</v>
      </c>
      <c r="R15" s="10" t="s">
        <v>26</v>
      </c>
      <c r="S15" s="10" t="s">
        <v>26</v>
      </c>
      <c r="T15" s="10" t="s">
        <v>26</v>
      </c>
      <c r="U15" s="10" t="s">
        <v>26</v>
      </c>
      <c r="V15" s="7" t="s">
        <v>26</v>
      </c>
      <c r="W15" s="7" t="s">
        <v>26</v>
      </c>
      <c r="X15" s="7" t="s">
        <v>26</v>
      </c>
    </row>
    <row r="16">
      <c r="A16" s="8">
        <v>40603.0</v>
      </c>
      <c r="B16" s="9">
        <f>IFERROR(__xludf.DUMMYFUNCTION("""COMPUTED_VALUE"""),617.0)</f>
        <v>617</v>
      </c>
      <c r="C16" s="10" t="s">
        <v>26</v>
      </c>
      <c r="D16" s="10" t="s">
        <v>26</v>
      </c>
      <c r="E16" s="10" t="s">
        <v>26</v>
      </c>
      <c r="F16" s="10" t="s">
        <v>26</v>
      </c>
      <c r="G16" s="10" t="s">
        <v>26</v>
      </c>
      <c r="H16" s="10" t="s">
        <v>26</v>
      </c>
      <c r="I16" s="10" t="s">
        <v>26</v>
      </c>
      <c r="J16" s="10" t="s">
        <v>26</v>
      </c>
      <c r="K16" s="10" t="s">
        <v>26</v>
      </c>
      <c r="L16" s="11" t="s">
        <v>26</v>
      </c>
      <c r="M16" s="10" t="s">
        <v>26</v>
      </c>
      <c r="N16" s="10" t="s">
        <v>26</v>
      </c>
      <c r="O16" s="10" t="s">
        <v>26</v>
      </c>
      <c r="P16" s="10" t="s">
        <v>26</v>
      </c>
      <c r="Q16" s="10" t="s">
        <v>26</v>
      </c>
      <c r="R16" s="10" t="s">
        <v>26</v>
      </c>
      <c r="S16" s="10" t="s">
        <v>26</v>
      </c>
      <c r="T16" s="10" t="s">
        <v>26</v>
      </c>
      <c r="U16" s="10" t="s">
        <v>26</v>
      </c>
      <c r="V16" s="7" t="s">
        <v>26</v>
      </c>
      <c r="W16" s="7" t="s">
        <v>26</v>
      </c>
      <c r="X16" s="7" t="s">
        <v>26</v>
      </c>
    </row>
    <row r="17">
      <c r="A17" s="8">
        <v>40634.0</v>
      </c>
      <c r="B17" s="9">
        <f>IFERROR(__xludf.DUMMYFUNCTION("""COMPUTED_VALUE"""),511.0)</f>
        <v>511</v>
      </c>
      <c r="C17" s="10" t="s">
        <v>26</v>
      </c>
      <c r="D17" s="10" t="s">
        <v>26</v>
      </c>
      <c r="E17" s="10" t="s">
        <v>26</v>
      </c>
      <c r="F17" s="10" t="s">
        <v>26</v>
      </c>
      <c r="G17" s="10" t="s">
        <v>26</v>
      </c>
      <c r="H17" s="10" t="s">
        <v>26</v>
      </c>
      <c r="I17" s="10" t="s">
        <v>26</v>
      </c>
      <c r="J17" s="10" t="s">
        <v>26</v>
      </c>
      <c r="K17" s="10" t="s">
        <v>26</v>
      </c>
      <c r="L17" s="11" t="s">
        <v>26</v>
      </c>
      <c r="M17" s="10" t="s">
        <v>26</v>
      </c>
      <c r="N17" s="10" t="s">
        <v>26</v>
      </c>
      <c r="O17" s="10" t="s">
        <v>26</v>
      </c>
      <c r="P17" s="10" t="s">
        <v>26</v>
      </c>
      <c r="Q17" s="10" t="s">
        <v>26</v>
      </c>
      <c r="R17" s="10" t="s">
        <v>26</v>
      </c>
      <c r="S17" s="10" t="s">
        <v>26</v>
      </c>
      <c r="T17" s="10" t="s">
        <v>26</v>
      </c>
      <c r="U17" s="10" t="s">
        <v>26</v>
      </c>
      <c r="V17" s="7" t="s">
        <v>26</v>
      </c>
      <c r="W17" s="7" t="s">
        <v>26</v>
      </c>
      <c r="X17" s="7" t="s">
        <v>26</v>
      </c>
    </row>
    <row r="18">
      <c r="A18" s="8">
        <v>40664.0</v>
      </c>
      <c r="B18" s="9">
        <f>IFERROR(__xludf.DUMMYFUNCTION("""COMPUTED_VALUE"""),320.0)</f>
        <v>320</v>
      </c>
      <c r="C18" s="10" t="s">
        <v>26</v>
      </c>
      <c r="D18" s="10" t="s">
        <v>26</v>
      </c>
      <c r="E18" s="10" t="s">
        <v>26</v>
      </c>
      <c r="F18" s="10" t="s">
        <v>26</v>
      </c>
      <c r="G18" s="10" t="s">
        <v>26</v>
      </c>
      <c r="H18" s="10" t="s">
        <v>26</v>
      </c>
      <c r="I18" s="10" t="s">
        <v>26</v>
      </c>
      <c r="J18" s="10" t="s">
        <v>26</v>
      </c>
      <c r="K18" s="10" t="s">
        <v>26</v>
      </c>
      <c r="L18" s="11" t="s">
        <v>26</v>
      </c>
      <c r="M18" s="10" t="s">
        <v>26</v>
      </c>
      <c r="N18" s="10" t="s">
        <v>26</v>
      </c>
      <c r="O18" s="10" t="s">
        <v>26</v>
      </c>
      <c r="P18" s="10" t="s">
        <v>26</v>
      </c>
      <c r="Q18" s="10" t="s">
        <v>26</v>
      </c>
      <c r="R18" s="10" t="s">
        <v>26</v>
      </c>
      <c r="S18" s="10" t="s">
        <v>26</v>
      </c>
      <c r="T18" s="10" t="s">
        <v>26</v>
      </c>
      <c r="U18" s="10" t="s">
        <v>26</v>
      </c>
      <c r="V18" s="7" t="s">
        <v>26</v>
      </c>
      <c r="W18" s="7" t="s">
        <v>26</v>
      </c>
      <c r="X18" s="7" t="s">
        <v>26</v>
      </c>
    </row>
    <row r="19">
      <c r="A19" s="8">
        <v>40695.0</v>
      </c>
      <c r="B19" s="9">
        <f>IFERROR(__xludf.DUMMYFUNCTION("""COMPUTED_VALUE"""),683.0)</f>
        <v>683</v>
      </c>
      <c r="C19" s="10" t="s">
        <v>26</v>
      </c>
      <c r="D19" s="10" t="s">
        <v>26</v>
      </c>
      <c r="E19" s="10" t="s">
        <v>26</v>
      </c>
      <c r="F19" s="10" t="s">
        <v>26</v>
      </c>
      <c r="G19" s="10" t="s">
        <v>26</v>
      </c>
      <c r="H19" s="10" t="s">
        <v>26</v>
      </c>
      <c r="I19" s="10" t="s">
        <v>26</v>
      </c>
      <c r="J19" s="10" t="s">
        <v>26</v>
      </c>
      <c r="K19" s="10" t="s">
        <v>26</v>
      </c>
      <c r="L19" s="11" t="s">
        <v>26</v>
      </c>
      <c r="M19" s="10" t="s">
        <v>26</v>
      </c>
      <c r="N19" s="10" t="s">
        <v>26</v>
      </c>
      <c r="O19" s="10" t="s">
        <v>26</v>
      </c>
      <c r="P19" s="10" t="s">
        <v>26</v>
      </c>
      <c r="Q19" s="10" t="s">
        <v>26</v>
      </c>
      <c r="R19" s="10" t="s">
        <v>26</v>
      </c>
      <c r="S19" s="10" t="s">
        <v>26</v>
      </c>
      <c r="T19" s="10" t="s">
        <v>26</v>
      </c>
      <c r="U19" s="10" t="s">
        <v>26</v>
      </c>
      <c r="V19" s="7" t="s">
        <v>26</v>
      </c>
      <c r="W19" s="7" t="s">
        <v>26</v>
      </c>
      <c r="X19" s="7" t="s">
        <v>26</v>
      </c>
    </row>
    <row r="20">
      <c r="A20" s="8">
        <v>40725.0</v>
      </c>
      <c r="B20" s="9">
        <f>IFERROR(__xludf.DUMMYFUNCTION("""COMPUTED_VALUE"""),1256.0)</f>
        <v>1256</v>
      </c>
      <c r="C20" s="10" t="s">
        <v>26</v>
      </c>
      <c r="D20" s="10" t="s">
        <v>26</v>
      </c>
      <c r="E20" s="10" t="s">
        <v>26</v>
      </c>
      <c r="F20" s="10" t="s">
        <v>26</v>
      </c>
      <c r="G20" s="10" t="s">
        <v>26</v>
      </c>
      <c r="H20" s="10" t="s">
        <v>26</v>
      </c>
      <c r="I20" s="10" t="s">
        <v>26</v>
      </c>
      <c r="J20" s="10" t="s">
        <v>26</v>
      </c>
      <c r="K20" s="10" t="s">
        <v>26</v>
      </c>
      <c r="L20" s="11" t="s">
        <v>26</v>
      </c>
      <c r="M20" s="10" t="s">
        <v>26</v>
      </c>
      <c r="N20" s="10" t="s">
        <v>26</v>
      </c>
      <c r="O20" s="10" t="s">
        <v>26</v>
      </c>
      <c r="P20" s="10" t="s">
        <v>26</v>
      </c>
      <c r="Q20" s="10" t="s">
        <v>26</v>
      </c>
      <c r="R20" s="10" t="s">
        <v>26</v>
      </c>
      <c r="S20" s="10" t="s">
        <v>26</v>
      </c>
      <c r="T20" s="10" t="s">
        <v>26</v>
      </c>
      <c r="U20" s="10" t="s">
        <v>26</v>
      </c>
      <c r="V20" s="7" t="s">
        <v>26</v>
      </c>
      <c r="W20" s="7" t="s">
        <v>26</v>
      </c>
      <c r="X20" s="7" t="s">
        <v>26</v>
      </c>
    </row>
    <row r="21">
      <c r="A21" s="8">
        <v>40756.0</v>
      </c>
      <c r="B21" s="9">
        <f>IFERROR(__xludf.DUMMYFUNCTION("""COMPUTED_VALUE"""),645.0)</f>
        <v>645</v>
      </c>
      <c r="C21" s="12">
        <v>0.609282268646665</v>
      </c>
      <c r="D21" s="12">
        <v>646.601390172656</v>
      </c>
      <c r="E21" s="12">
        <v>454.243536701762</v>
      </c>
      <c r="F21" s="12">
        <v>0.504139492394333</v>
      </c>
      <c r="G21" s="12">
        <v>406.655149738586</v>
      </c>
      <c r="H21" s="12">
        <v>43.9822971502571</v>
      </c>
      <c r="I21" s="12">
        <v>381.104806692244</v>
      </c>
      <c r="J21" s="12">
        <v>339.57830467744</v>
      </c>
      <c r="K21" s="12">
        <v>668.67749160346</v>
      </c>
      <c r="L21" s="13">
        <v>933.99448163242</v>
      </c>
      <c r="M21" s="12">
        <v>131.496262686875</v>
      </c>
      <c r="N21" s="12">
        <v>45.8877296516029</v>
      </c>
      <c r="O21" s="12">
        <v>565.0</v>
      </c>
      <c r="P21" s="12">
        <v>426.358678531316</v>
      </c>
      <c r="Q21" s="12">
        <v>179.334867944331</v>
      </c>
      <c r="R21" s="12">
        <v>235.020663663945</v>
      </c>
      <c r="S21" s="12">
        <v>565.0</v>
      </c>
      <c r="T21" s="12">
        <v>641.0</v>
      </c>
      <c r="U21" s="12">
        <v>459.829854469725</v>
      </c>
      <c r="V21" s="7">
        <v>393.093016881755</v>
      </c>
      <c r="W21" s="7">
        <v>674.101947139195</v>
      </c>
      <c r="X21" s="7">
        <v>528.5</v>
      </c>
    </row>
    <row r="22">
      <c r="A22" s="8">
        <v>40787.0</v>
      </c>
      <c r="B22" s="9">
        <f>IFERROR(__xludf.DUMMYFUNCTION("""COMPUTED_VALUE"""),3698.0)</f>
        <v>3698</v>
      </c>
      <c r="C22" s="12">
        <v>1452.37376213788</v>
      </c>
      <c r="D22" s="12">
        <v>549.418538128608</v>
      </c>
      <c r="E22" s="12">
        <v>477.17077051466</v>
      </c>
      <c r="F22" s="12">
        <v>3046.87347245386</v>
      </c>
      <c r="G22" s="12">
        <v>3698.0</v>
      </c>
      <c r="H22" s="12">
        <v>3345.22537974633</v>
      </c>
      <c r="I22" s="12">
        <v>3605.32831722834</v>
      </c>
      <c r="J22" s="12">
        <v>358.541447190284</v>
      </c>
      <c r="K22" s="12">
        <v>643.679986426013</v>
      </c>
      <c r="L22" s="13">
        <v>3598.79961963755</v>
      </c>
      <c r="M22" s="12">
        <v>136.232116558927</v>
      </c>
      <c r="N22" s="12">
        <v>277.604676791636</v>
      </c>
      <c r="O22" s="12">
        <v>3841.4527334244</v>
      </c>
      <c r="P22" s="12">
        <v>701.448515947917</v>
      </c>
      <c r="Q22" s="12">
        <v>1071.45553880158</v>
      </c>
      <c r="R22" s="12">
        <v>291.983361708226</v>
      </c>
      <c r="S22" s="12">
        <v>1113.0</v>
      </c>
      <c r="T22" s="12">
        <v>1780.76332653125</v>
      </c>
      <c r="U22" s="12">
        <v>2614.28352740234</v>
      </c>
      <c r="V22" s="7">
        <v>652.923648420607</v>
      </c>
      <c r="W22" s="7">
        <v>739.776181623091</v>
      </c>
      <c r="X22" s="7">
        <v>528.5</v>
      </c>
    </row>
    <row r="23">
      <c r="A23" s="8">
        <v>40817.0</v>
      </c>
      <c r="B23" s="9">
        <f>IFERROR(__xludf.DUMMYFUNCTION("""COMPUTED_VALUE"""),270.0)</f>
        <v>270</v>
      </c>
      <c r="C23" s="12">
        <v>104.844713003275</v>
      </c>
      <c r="D23" s="12">
        <v>462.310505145021</v>
      </c>
      <c r="E23" s="12">
        <v>477.17077051466</v>
      </c>
      <c r="F23" s="12">
        <v>191.0</v>
      </c>
      <c r="G23" s="12">
        <v>660.154385983375</v>
      </c>
      <c r="H23" s="12">
        <v>0.0</v>
      </c>
      <c r="I23" s="12">
        <v>133.0</v>
      </c>
      <c r="J23" s="12">
        <v>680.521052372855</v>
      </c>
      <c r="K23" s="12">
        <v>105.263897378436</v>
      </c>
      <c r="L23" s="13">
        <v>632.6</v>
      </c>
      <c r="M23" s="12">
        <v>448.70201171205</v>
      </c>
      <c r="N23" s="12">
        <v>910.028548070122</v>
      </c>
      <c r="O23" s="12">
        <v>836.801173755437</v>
      </c>
      <c r="P23" s="12">
        <v>446.837984758653</v>
      </c>
      <c r="Q23" s="12">
        <v>1575.16781211231</v>
      </c>
      <c r="R23" s="12">
        <v>754.589560134418</v>
      </c>
      <c r="S23" s="12">
        <v>499.0</v>
      </c>
      <c r="T23" s="12">
        <v>599.030799241423</v>
      </c>
      <c r="U23" s="12">
        <v>560.193692025696</v>
      </c>
      <c r="V23" s="7">
        <v>1022.52695289192</v>
      </c>
      <c r="W23" s="7">
        <v>969.753946684679</v>
      </c>
      <c r="X23" s="7">
        <v>554.333333333333</v>
      </c>
    </row>
    <row r="24">
      <c r="A24" s="8">
        <v>40848.0</v>
      </c>
      <c r="B24" s="9">
        <f>IFERROR(__xludf.DUMMYFUNCTION("""COMPUTED_VALUE"""),339.0)</f>
        <v>339</v>
      </c>
      <c r="C24" s="12">
        <v>92.4414087407797</v>
      </c>
      <c r="D24" s="12">
        <v>339.804715187337</v>
      </c>
      <c r="E24" s="12">
        <v>479.46349389595</v>
      </c>
      <c r="F24" s="12">
        <v>46.8</v>
      </c>
      <c r="G24" s="12">
        <v>127.48975485274</v>
      </c>
      <c r="H24" s="12">
        <v>0.0</v>
      </c>
      <c r="I24" s="12">
        <v>185.6070544932</v>
      </c>
      <c r="J24" s="12">
        <v>228.104424996117</v>
      </c>
      <c r="K24" s="12">
        <v>105.263897378436</v>
      </c>
      <c r="L24" s="13">
        <v>628.463749138663</v>
      </c>
      <c r="M24" s="12">
        <v>75.5273244277941</v>
      </c>
      <c r="N24" s="12">
        <v>147.379907728867</v>
      </c>
      <c r="O24" s="12">
        <v>478.0</v>
      </c>
      <c r="P24" s="12">
        <v>570.528382932369</v>
      </c>
      <c r="Q24" s="12">
        <v>850.29066337798</v>
      </c>
      <c r="R24" s="12">
        <v>162.0</v>
      </c>
      <c r="S24" s="12">
        <v>478.0</v>
      </c>
      <c r="T24" s="12">
        <v>485.0</v>
      </c>
      <c r="U24" s="12">
        <v>243.430077674268</v>
      </c>
      <c r="V24" s="7">
        <v>316.092382577483</v>
      </c>
      <c r="W24" s="7">
        <v>793.0</v>
      </c>
      <c r="X24" s="7">
        <v>597.5</v>
      </c>
    </row>
    <row r="25">
      <c r="A25" s="8">
        <v>40878.0</v>
      </c>
      <c r="B25" s="9">
        <f>IFERROR(__xludf.DUMMYFUNCTION("""COMPUTED_VALUE"""),594.0)</f>
        <v>594</v>
      </c>
      <c r="C25" s="12">
        <v>249.244863012335</v>
      </c>
      <c r="D25" s="12">
        <v>389.252901475747</v>
      </c>
      <c r="E25" s="12">
        <v>611.060340575363</v>
      </c>
      <c r="F25" s="12">
        <v>154.339414242414</v>
      </c>
      <c r="G25" s="12">
        <v>231.985248117402</v>
      </c>
      <c r="H25" s="12">
        <v>-36.36</v>
      </c>
      <c r="I25" s="12">
        <v>909.117640818823</v>
      </c>
      <c r="J25" s="12">
        <v>478.06990429254</v>
      </c>
      <c r="K25" s="12">
        <v>500.34944293574</v>
      </c>
      <c r="L25" s="13">
        <v>441.0</v>
      </c>
      <c r="M25" s="12">
        <v>203.878636286501</v>
      </c>
      <c r="N25" s="12">
        <v>219.098009189434</v>
      </c>
      <c r="O25" s="12">
        <v>478.0</v>
      </c>
      <c r="P25" s="12">
        <v>463.997788966482</v>
      </c>
      <c r="Q25" s="12">
        <v>381.17605642933</v>
      </c>
      <c r="R25" s="12">
        <v>936.03993826797</v>
      </c>
      <c r="S25" s="12">
        <v>478.0</v>
      </c>
      <c r="T25" s="12">
        <v>465.0</v>
      </c>
      <c r="U25" s="12">
        <v>235.753018255587</v>
      </c>
      <c r="V25" s="7">
        <v>331.545457284047</v>
      </c>
      <c r="W25" s="7">
        <v>924.166666666667</v>
      </c>
      <c r="X25" s="7">
        <v>703.0</v>
      </c>
    </row>
    <row r="26">
      <c r="A26" s="8">
        <v>40909.0</v>
      </c>
      <c r="B26" s="9">
        <f>IFERROR(__xludf.DUMMYFUNCTION("""COMPUTED_VALUE"""),111.0)</f>
        <v>111</v>
      </c>
      <c r="C26" s="12">
        <v>119.805986123312</v>
      </c>
      <c r="D26" s="12">
        <v>111.470982837418</v>
      </c>
      <c r="E26" s="12">
        <v>503.045505371182</v>
      </c>
      <c r="F26" s="12">
        <v>39.015100989873</v>
      </c>
      <c r="G26" s="12">
        <v>111.92178341023</v>
      </c>
      <c r="H26" s="12">
        <v>4.0</v>
      </c>
      <c r="I26" s="12">
        <v>256.14862050147</v>
      </c>
      <c r="J26" s="12">
        <v>226.512084129472</v>
      </c>
      <c r="K26" s="12">
        <v>491.119276323424</v>
      </c>
      <c r="L26" s="13">
        <v>525.0</v>
      </c>
      <c r="M26" s="12">
        <v>46.3034442149447</v>
      </c>
      <c r="N26" s="12">
        <v>160.330844556898</v>
      </c>
      <c r="O26" s="12">
        <v>377.5</v>
      </c>
      <c r="P26" s="12">
        <v>229.703307439254</v>
      </c>
      <c r="Q26" s="12">
        <v>477.987086444379</v>
      </c>
      <c r="R26" s="12">
        <v>174.81312087917</v>
      </c>
      <c r="S26" s="12">
        <v>478.0</v>
      </c>
      <c r="T26" s="12">
        <v>218.0</v>
      </c>
      <c r="U26" s="12">
        <v>118.520844748869</v>
      </c>
      <c r="V26" s="7">
        <v>140.110884585436</v>
      </c>
      <c r="W26" s="7">
        <v>1091.38543905679</v>
      </c>
      <c r="X26" s="7">
        <v>702.333333333333</v>
      </c>
    </row>
    <row r="27">
      <c r="A27" s="8">
        <v>40940.0</v>
      </c>
      <c r="B27" s="9">
        <f>IFERROR(__xludf.DUMMYFUNCTION("""COMPUTED_VALUE"""),1871.0)</f>
        <v>1871</v>
      </c>
      <c r="C27" s="12">
        <v>412.851618409545</v>
      </c>
      <c r="D27" s="12">
        <v>1992.30742124097</v>
      </c>
      <c r="E27" s="12">
        <v>657.082454119613</v>
      </c>
      <c r="F27" s="12">
        <v>1633.90140193723</v>
      </c>
      <c r="G27" s="12">
        <v>481.583916049194</v>
      </c>
      <c r="H27" s="12">
        <v>413.701882879058</v>
      </c>
      <c r="I27" s="12">
        <v>1466.0</v>
      </c>
      <c r="J27" s="12">
        <v>265.412029242778</v>
      </c>
      <c r="K27" s="12">
        <v>556.632265120895</v>
      </c>
      <c r="L27" s="13">
        <v>1055.38612956836</v>
      </c>
      <c r="M27" s="12">
        <v>170.055457512831</v>
      </c>
      <c r="N27" s="12">
        <v>566.104127561351</v>
      </c>
      <c r="O27" s="12">
        <v>934.681238666871</v>
      </c>
      <c r="P27" s="12">
        <v>1924.08950299575</v>
      </c>
      <c r="Q27" s="12">
        <v>413.826668457864</v>
      </c>
      <c r="R27" s="12">
        <v>788.555108344727</v>
      </c>
      <c r="S27" s="12">
        <v>1910.88606120059</v>
      </c>
      <c r="T27" s="12">
        <v>268.480095378814</v>
      </c>
      <c r="U27" s="12">
        <v>1980.6311579536</v>
      </c>
      <c r="V27" s="7">
        <v>386.957487994869</v>
      </c>
      <c r="W27" s="7">
        <v>820.777777777778</v>
      </c>
      <c r="X27" s="7">
        <v>713.666666666667</v>
      </c>
    </row>
    <row r="28">
      <c r="A28" s="8">
        <v>40969.0</v>
      </c>
      <c r="B28" s="9">
        <f>IFERROR(__xludf.DUMMYFUNCTION("""COMPUTED_VALUE"""),675.0)</f>
        <v>675</v>
      </c>
      <c r="C28" s="12">
        <v>478.246414422746</v>
      </c>
      <c r="D28" s="12">
        <v>265.103337092911</v>
      </c>
      <c r="E28" s="12">
        <v>686.230569636253</v>
      </c>
      <c r="F28" s="12">
        <v>686.926544746196</v>
      </c>
      <c r="G28" s="12">
        <v>790.166854076979</v>
      </c>
      <c r="H28" s="12">
        <v>413.727782953771</v>
      </c>
      <c r="I28" s="12">
        <v>198.913840234307</v>
      </c>
      <c r="J28" s="12">
        <v>1108.19249931819</v>
      </c>
      <c r="K28" s="12">
        <v>550.622298151462</v>
      </c>
      <c r="L28" s="13">
        <v>595.0</v>
      </c>
      <c r="M28" s="12">
        <v>864.426513172125</v>
      </c>
      <c r="N28" s="12">
        <v>789.238150556067</v>
      </c>
      <c r="O28" s="12">
        <v>729.837035344739</v>
      </c>
      <c r="P28" s="12">
        <v>323.509949424588</v>
      </c>
      <c r="Q28" s="12">
        <v>770.401208553497</v>
      </c>
      <c r="R28" s="12">
        <v>632.796793746771</v>
      </c>
      <c r="S28" s="12">
        <v>746.357354247603</v>
      </c>
      <c r="T28" s="12">
        <v>907.254657420227</v>
      </c>
      <c r="U28" s="12">
        <v>504.450336088359</v>
      </c>
      <c r="V28" s="7">
        <v>627.606591881877</v>
      </c>
      <c r="W28" s="7">
        <v>949.407407407407</v>
      </c>
      <c r="X28" s="7">
        <v>679.666666666667</v>
      </c>
    </row>
    <row r="29">
      <c r="A29" s="8">
        <v>41000.0</v>
      </c>
      <c r="B29" s="9">
        <f>IFERROR(__xludf.DUMMYFUNCTION("""COMPUTED_VALUE"""),512.0)</f>
        <v>512</v>
      </c>
      <c r="C29" s="12">
        <v>231.274255558692</v>
      </c>
      <c r="D29" s="12">
        <v>293.094372172163</v>
      </c>
      <c r="E29" s="12">
        <v>529.410595922589</v>
      </c>
      <c r="F29" s="12">
        <v>117.063886958172</v>
      </c>
      <c r="G29" s="12">
        <v>302.12429208189</v>
      </c>
      <c r="H29" s="12">
        <v>551.003301922106</v>
      </c>
      <c r="I29" s="12">
        <v>123.808427262343</v>
      </c>
      <c r="J29" s="12">
        <v>79.2961425647732</v>
      </c>
      <c r="K29" s="12">
        <v>367.104697797278</v>
      </c>
      <c r="L29" s="13">
        <v>595.0</v>
      </c>
      <c r="M29" s="12">
        <v>130.026970902116</v>
      </c>
      <c r="N29" s="12">
        <v>714.954429395414</v>
      </c>
      <c r="O29" s="12">
        <v>350.916482545457</v>
      </c>
      <c r="P29" s="12">
        <v>28.9506046207906</v>
      </c>
      <c r="Q29" s="12">
        <v>554.969326153826</v>
      </c>
      <c r="R29" s="12">
        <v>415.52546093203</v>
      </c>
      <c r="S29" s="12">
        <v>773.662681683031</v>
      </c>
      <c r="T29" s="12">
        <v>872.874810096593</v>
      </c>
      <c r="U29" s="12">
        <v>464.650250205826</v>
      </c>
      <c r="V29" s="7">
        <v>360.155057523143</v>
      </c>
      <c r="W29" s="7">
        <v>950.0</v>
      </c>
      <c r="X29" s="7">
        <v>559.0</v>
      </c>
    </row>
    <row r="30">
      <c r="A30" s="8">
        <v>41030.0</v>
      </c>
      <c r="B30" s="9">
        <f>IFERROR(__xludf.DUMMYFUNCTION("""COMPUTED_VALUE"""),386.0)</f>
        <v>386</v>
      </c>
      <c r="C30" s="12">
        <v>156.407618725307</v>
      </c>
      <c r="D30" s="12">
        <v>157.314723764994</v>
      </c>
      <c r="E30" s="12">
        <v>602.437319069714</v>
      </c>
      <c r="F30" s="12">
        <v>74.6604118083251</v>
      </c>
      <c r="G30" s="12">
        <v>190.143442613261</v>
      </c>
      <c r="H30" s="12">
        <v>196.280098030444</v>
      </c>
      <c r="I30" s="12">
        <v>496.88137103393</v>
      </c>
      <c r="J30" s="12">
        <v>283.804172638453</v>
      </c>
      <c r="K30" s="12">
        <v>442.450923322474</v>
      </c>
      <c r="L30" s="13">
        <v>595.0</v>
      </c>
      <c r="M30" s="12">
        <v>273.117693990738</v>
      </c>
      <c r="N30" s="12">
        <v>588.978004022406</v>
      </c>
      <c r="O30" s="12">
        <v>227.0</v>
      </c>
      <c r="P30" s="12">
        <v>168.582153488563</v>
      </c>
      <c r="Q30" s="12">
        <v>439.129163699848</v>
      </c>
      <c r="R30" s="12">
        <v>424.888003541902</v>
      </c>
      <c r="S30" s="12">
        <v>394.508867931435</v>
      </c>
      <c r="T30" s="12">
        <v>346.184970115446</v>
      </c>
      <c r="U30" s="12">
        <v>720.153016061171</v>
      </c>
      <c r="V30" s="7">
        <v>400.425265258858</v>
      </c>
      <c r="W30" s="7">
        <v>1058.92592592593</v>
      </c>
      <c r="X30" s="7">
        <v>555.833333333333</v>
      </c>
    </row>
    <row r="31">
      <c r="A31" s="8">
        <v>41061.0</v>
      </c>
      <c r="B31" s="9">
        <f>IFERROR(__xludf.DUMMYFUNCTION("""COMPUTED_VALUE"""),290.0)</f>
        <v>290</v>
      </c>
      <c r="C31" s="12">
        <v>129.550410068512</v>
      </c>
      <c r="D31" s="12">
        <v>187.551252141739</v>
      </c>
      <c r="E31" s="12">
        <v>329.038051617291</v>
      </c>
      <c r="F31" s="12">
        <v>26.6733339476127</v>
      </c>
      <c r="G31" s="12">
        <v>84.1312796398277</v>
      </c>
      <c r="H31" s="12">
        <v>266.867696471554</v>
      </c>
      <c r="I31" s="12">
        <v>710.99250820597</v>
      </c>
      <c r="J31" s="12">
        <v>183.148056960064</v>
      </c>
      <c r="K31" s="12">
        <v>314.312147969249</v>
      </c>
      <c r="L31" s="13">
        <v>377.0</v>
      </c>
      <c r="M31" s="12">
        <v>47.462268552111</v>
      </c>
      <c r="N31" s="12">
        <v>177.883331297308</v>
      </c>
      <c r="O31" s="12">
        <v>151.0</v>
      </c>
      <c r="P31" s="12">
        <v>94.582153488563</v>
      </c>
      <c r="Q31" s="12">
        <v>232.183185488609</v>
      </c>
      <c r="R31" s="12">
        <v>251.344005327507</v>
      </c>
      <c r="S31" s="12">
        <v>390.0</v>
      </c>
      <c r="T31" s="12">
        <v>180.474174336301</v>
      </c>
      <c r="U31" s="12">
        <v>206.905121780427</v>
      </c>
      <c r="V31" s="7">
        <v>135.010702772662</v>
      </c>
      <c r="W31" s="7">
        <v>515.666666666667</v>
      </c>
      <c r="X31" s="7">
        <v>517.5</v>
      </c>
    </row>
    <row r="32">
      <c r="A32" s="8">
        <v>41091.0</v>
      </c>
      <c r="B32" s="9">
        <f>IFERROR(__xludf.DUMMYFUNCTION("""COMPUTED_VALUE"""),291.0)</f>
        <v>291</v>
      </c>
      <c r="C32" s="12">
        <v>95.8605113931211</v>
      </c>
      <c r="D32" s="12">
        <v>-41.5193360877666</v>
      </c>
      <c r="E32" s="12">
        <v>257.79072905901</v>
      </c>
      <c r="F32" s="12">
        <v>28.4697290164041</v>
      </c>
      <c r="G32" s="12">
        <v>330.951582704933</v>
      </c>
      <c r="H32" s="12">
        <v>171.544547192947</v>
      </c>
      <c r="I32" s="12">
        <v>358.403318676464</v>
      </c>
      <c r="J32" s="12">
        <v>129.009190003868</v>
      </c>
      <c r="K32" s="12">
        <v>286.531953455139</v>
      </c>
      <c r="L32" s="13">
        <v>377.0</v>
      </c>
      <c r="M32" s="12">
        <v>322.075508521147</v>
      </c>
      <c r="N32" s="12">
        <v>130.978032534149</v>
      </c>
      <c r="O32" s="12">
        <v>138.5</v>
      </c>
      <c r="P32" s="12">
        <v>488.13148386754</v>
      </c>
      <c r="Q32" s="12">
        <v>176.20760360804</v>
      </c>
      <c r="R32" s="12">
        <v>73.0</v>
      </c>
      <c r="S32" s="12">
        <v>285.0</v>
      </c>
      <c r="T32" s="12">
        <v>422.0</v>
      </c>
      <c r="U32" s="12">
        <v>195.756944489921</v>
      </c>
      <c r="V32" s="7">
        <v>90.1872415165357</v>
      </c>
      <c r="W32" s="7">
        <v>285.0</v>
      </c>
      <c r="X32" s="7">
        <v>653.5</v>
      </c>
    </row>
    <row r="33">
      <c r="A33" s="8">
        <v>41122.0</v>
      </c>
      <c r="B33" s="9">
        <f>IFERROR(__xludf.DUMMYFUNCTION("""COMPUTED_VALUE"""),103.0)</f>
        <v>103</v>
      </c>
      <c r="C33" s="12">
        <v>157.00776614585</v>
      </c>
      <c r="D33" s="12">
        <v>75.1351039058171</v>
      </c>
      <c r="E33" s="12">
        <v>342.645585966343</v>
      </c>
      <c r="F33" s="12">
        <v>71.6987433239976</v>
      </c>
      <c r="G33" s="12">
        <v>214.905958746496</v>
      </c>
      <c r="H33" s="12">
        <v>246.848222358543</v>
      </c>
      <c r="I33" s="12">
        <v>352.836350880753</v>
      </c>
      <c r="J33" s="12">
        <v>192.484480954054</v>
      </c>
      <c r="K33" s="12">
        <v>299.174592508077</v>
      </c>
      <c r="L33" s="13">
        <v>262.0</v>
      </c>
      <c r="M33" s="12">
        <v>174.070763028085</v>
      </c>
      <c r="N33" s="12">
        <v>326.671284234962</v>
      </c>
      <c r="O33" s="12">
        <v>192.995847382545</v>
      </c>
      <c r="P33" s="12">
        <v>144.066091295678</v>
      </c>
      <c r="Q33" s="12">
        <v>37.8041212964708</v>
      </c>
      <c r="R33" s="12">
        <v>241.357463951772</v>
      </c>
      <c r="S33" s="12">
        <v>218.5</v>
      </c>
      <c r="T33" s="12">
        <v>353.0</v>
      </c>
      <c r="U33" s="12">
        <v>155.608357540478</v>
      </c>
      <c r="V33" s="7">
        <v>416.085903182486</v>
      </c>
      <c r="W33" s="7">
        <v>218.5</v>
      </c>
      <c r="X33" s="7">
        <v>653.5</v>
      </c>
    </row>
    <row r="34">
      <c r="A34" s="8">
        <v>41153.0</v>
      </c>
      <c r="B34" s="9">
        <f>IFERROR(__xludf.DUMMYFUNCTION("""COMPUTED_VALUE"""),155.0)</f>
        <v>155</v>
      </c>
      <c r="C34" s="12">
        <v>99.2324356853075</v>
      </c>
      <c r="D34" s="12">
        <v>72.5390968940129</v>
      </c>
      <c r="E34" s="12">
        <v>227.027261514327</v>
      </c>
      <c r="F34" s="12">
        <v>21.9588333985617</v>
      </c>
      <c r="G34" s="12">
        <v>120.335193967356</v>
      </c>
      <c r="H34" s="12">
        <v>178.278012373781</v>
      </c>
      <c r="I34" s="12">
        <v>180.933818936563</v>
      </c>
      <c r="J34" s="12">
        <v>163.149714027921</v>
      </c>
      <c r="K34" s="12">
        <v>170.387380509195</v>
      </c>
      <c r="L34" s="13">
        <v>169.0</v>
      </c>
      <c r="M34" s="12">
        <v>61.7632108675143</v>
      </c>
      <c r="N34" s="12">
        <v>179.141634312642</v>
      </c>
      <c r="O34" s="12">
        <v>173.720345638506</v>
      </c>
      <c r="P34" s="12">
        <v>305.768519061967</v>
      </c>
      <c r="Q34" s="12">
        <v>99.4996543352097</v>
      </c>
      <c r="R34" s="12">
        <v>124.0</v>
      </c>
      <c r="S34" s="12">
        <v>208.0</v>
      </c>
      <c r="T34" s="12">
        <v>193.0</v>
      </c>
      <c r="U34" s="12">
        <v>25.1489642403535</v>
      </c>
      <c r="V34" s="7">
        <v>154.342374550851</v>
      </c>
      <c r="W34" s="7">
        <v>152.0</v>
      </c>
      <c r="X34" s="7">
        <v>543.0</v>
      </c>
    </row>
    <row r="35">
      <c r="A35" s="8">
        <v>41183.0</v>
      </c>
      <c r="B35" s="9">
        <f>IFERROR(__xludf.DUMMYFUNCTION("""COMPUTED_VALUE"""),85.0)</f>
        <v>85</v>
      </c>
      <c r="C35" s="12">
        <v>14.8112602470516</v>
      </c>
      <c r="D35" s="12">
        <v>94.8213448459386</v>
      </c>
      <c r="E35" s="12">
        <v>187.118659601832</v>
      </c>
      <c r="F35" s="12">
        <v>52.1143628555206</v>
      </c>
      <c r="G35" s="12">
        <v>77.5897882096094</v>
      </c>
      <c r="H35" s="12">
        <v>154.013299371014</v>
      </c>
      <c r="I35" s="12">
        <v>123.894765441805</v>
      </c>
      <c r="J35" s="12">
        <v>86.6401944697132</v>
      </c>
      <c r="K35" s="12">
        <v>105.263897378436</v>
      </c>
      <c r="L35" s="13">
        <v>130.0</v>
      </c>
      <c r="M35" s="12">
        <v>32.9393147324379</v>
      </c>
      <c r="N35" s="12">
        <v>191.223869096941</v>
      </c>
      <c r="O35" s="12">
        <v>139.5</v>
      </c>
      <c r="P35" s="12">
        <v>46.3597155838116</v>
      </c>
      <c r="Q35" s="12">
        <v>251.535069470407</v>
      </c>
      <c r="R35" s="12">
        <v>146.0</v>
      </c>
      <c r="S35" s="12">
        <v>151.0</v>
      </c>
      <c r="T35" s="12">
        <v>381.0</v>
      </c>
      <c r="U35" s="12">
        <v>48.7853757892232</v>
      </c>
      <c r="V35" s="7">
        <v>185.604267402826</v>
      </c>
      <c r="W35" s="7">
        <v>151.0</v>
      </c>
      <c r="X35" s="7">
        <v>487.5</v>
      </c>
    </row>
    <row r="36">
      <c r="A36" s="8">
        <v>41214.0</v>
      </c>
      <c r="B36" s="9">
        <f>IFERROR(__xludf.DUMMYFUNCTION("""COMPUTED_VALUE"""),50.0)</f>
        <v>50</v>
      </c>
      <c r="C36" s="12">
        <v>66.1365365602474</v>
      </c>
      <c r="D36" s="12">
        <v>32.1349617870805</v>
      </c>
      <c r="E36" s="12">
        <v>165.360390659244</v>
      </c>
      <c r="F36" s="12">
        <v>210.0</v>
      </c>
      <c r="G36" s="12">
        <v>168.496091750597</v>
      </c>
      <c r="H36" s="12">
        <v>146.108232960425</v>
      </c>
      <c r="I36" s="12">
        <v>110.848098825232</v>
      </c>
      <c r="J36" s="12">
        <v>119.084070676689</v>
      </c>
      <c r="K36" s="12">
        <v>105.263897378436</v>
      </c>
      <c r="L36" s="13">
        <v>96.0</v>
      </c>
      <c r="M36" s="12">
        <v>67.7687076785397</v>
      </c>
      <c r="N36" s="12">
        <v>226.000446664394</v>
      </c>
      <c r="O36" s="12">
        <v>117.504761779773</v>
      </c>
      <c r="P36" s="12">
        <v>172.910621818052</v>
      </c>
      <c r="Q36" s="12">
        <v>40.174702973088</v>
      </c>
      <c r="R36" s="12">
        <v>102.569410312515</v>
      </c>
      <c r="S36" s="12">
        <v>136.105843181004</v>
      </c>
      <c r="T36" s="12">
        <v>146.0</v>
      </c>
      <c r="U36" s="12">
        <v>312.18413957476</v>
      </c>
      <c r="V36" s="7">
        <v>-15.9902548774124</v>
      </c>
      <c r="W36" s="7">
        <v>139.5</v>
      </c>
      <c r="X36" s="7">
        <v>414.5</v>
      </c>
    </row>
    <row r="37">
      <c r="A37" s="8">
        <v>41244.0</v>
      </c>
      <c r="B37" s="9">
        <f>IFERROR(__xludf.DUMMYFUNCTION("""COMPUTED_VALUE"""),18.0)</f>
        <v>18</v>
      </c>
      <c r="C37" s="12">
        <v>35.8771406900472</v>
      </c>
      <c r="D37" s="12">
        <v>57.1879916919179</v>
      </c>
      <c r="E37" s="12">
        <v>165.844202595566</v>
      </c>
      <c r="F37" s="12">
        <v>46.4226268597357</v>
      </c>
      <c r="G37" s="12">
        <v>99.3156398199138</v>
      </c>
      <c r="H37" s="12">
        <v>120.717113883321</v>
      </c>
      <c r="I37" s="12">
        <v>41.7345096161147</v>
      </c>
      <c r="J37" s="12">
        <v>39.8666819125302</v>
      </c>
      <c r="K37" s="12">
        <v>105.263897378436</v>
      </c>
      <c r="L37" s="13">
        <v>94.0</v>
      </c>
      <c r="M37" s="12">
        <v>55.554875098156</v>
      </c>
      <c r="N37" s="12">
        <v>192.369063805272</v>
      </c>
      <c r="O37" s="12">
        <v>114.009523559547</v>
      </c>
      <c r="P37" s="12">
        <v>95.046043293609</v>
      </c>
      <c r="Q37" s="12">
        <v>110.773318140082</v>
      </c>
      <c r="R37" s="12">
        <v>111.093601489213</v>
      </c>
      <c r="S37" s="12">
        <v>179.211686362008</v>
      </c>
      <c r="T37" s="12">
        <v>99.0</v>
      </c>
      <c r="U37" s="12">
        <v>115.482688034946</v>
      </c>
      <c r="V37" s="7">
        <v>18.262931599512</v>
      </c>
      <c r="W37" s="7">
        <v>127.0</v>
      </c>
      <c r="X37" s="7">
        <v>361.0</v>
      </c>
    </row>
    <row r="38">
      <c r="A38" s="8">
        <v>41275.0</v>
      </c>
      <c r="B38" s="9">
        <f>IFERROR(__xludf.DUMMYFUNCTION("""COMPUTED_VALUE"""),125.0)</f>
        <v>125</v>
      </c>
      <c r="C38" s="12">
        <v>44.1005426998234</v>
      </c>
      <c r="D38" s="12">
        <v>87.6839612132384</v>
      </c>
      <c r="E38" s="12">
        <v>213.656639478746</v>
      </c>
      <c r="F38" s="12">
        <v>75.2411116835701</v>
      </c>
      <c r="G38" s="12">
        <v>74.1350067379407</v>
      </c>
      <c r="H38" s="12">
        <v>146.885754595227</v>
      </c>
      <c r="I38" s="12">
        <v>242.618834383063</v>
      </c>
      <c r="J38" s="12">
        <v>309.174375069325</v>
      </c>
      <c r="K38" s="12">
        <v>105.263897378436</v>
      </c>
      <c r="L38" s="13">
        <v>119.029672345383</v>
      </c>
      <c r="M38" s="12">
        <v>42.1229779261335</v>
      </c>
      <c r="N38" s="12">
        <v>162.798914913531</v>
      </c>
      <c r="O38" s="12">
        <v>153.948837569591</v>
      </c>
      <c r="P38" s="12">
        <v>33.9510484666423</v>
      </c>
      <c r="Q38" s="12">
        <v>-46.6751180776694</v>
      </c>
      <c r="R38" s="12">
        <v>50.8575577613084</v>
      </c>
      <c r="S38" s="12">
        <v>127.0</v>
      </c>
      <c r="T38" s="12">
        <v>56.0</v>
      </c>
      <c r="U38" s="12">
        <v>185.905670587105</v>
      </c>
      <c r="V38" s="7">
        <v>-58.0966084423819</v>
      </c>
      <c r="W38" s="7">
        <v>120.0</v>
      </c>
      <c r="X38" s="7">
        <v>503.86</v>
      </c>
    </row>
    <row r="39">
      <c r="A39" s="8">
        <v>41306.0</v>
      </c>
      <c r="B39" s="9">
        <f>IFERROR(__xludf.DUMMYFUNCTION("""COMPUTED_VALUE"""),213.0)</f>
        <v>213</v>
      </c>
      <c r="C39" s="12">
        <v>52.2423671754449</v>
      </c>
      <c r="D39" s="12">
        <v>54.3690959148985</v>
      </c>
      <c r="E39" s="12">
        <v>170.085979597444</v>
      </c>
      <c r="F39" s="12">
        <v>133.486817345201</v>
      </c>
      <c r="G39" s="12">
        <v>162.687592024229</v>
      </c>
      <c r="H39" s="12">
        <v>202.373190890855</v>
      </c>
      <c r="I39" s="12">
        <v>24.2491074191999</v>
      </c>
      <c r="J39" s="12">
        <v>73.8360263476258</v>
      </c>
      <c r="K39" s="12">
        <v>105.263897378436</v>
      </c>
      <c r="L39" s="13">
        <v>80.0</v>
      </c>
      <c r="M39" s="12">
        <v>105.892954413486</v>
      </c>
      <c r="N39" s="12">
        <v>133.643071230124</v>
      </c>
      <c r="O39" s="12">
        <v>64.7336835446204</v>
      </c>
      <c r="P39" s="12">
        <v>67.6157782283761</v>
      </c>
      <c r="Q39" s="12">
        <v>-87.8268523778723</v>
      </c>
      <c r="R39" s="12">
        <v>10.7042900231129</v>
      </c>
      <c r="S39" s="12">
        <v>45.3285499820904</v>
      </c>
      <c r="T39" s="12">
        <v>145.0</v>
      </c>
      <c r="U39" s="12">
        <v>131.445116444632</v>
      </c>
      <c r="V39" s="7">
        <v>-46.6111058300655</v>
      </c>
      <c r="W39" s="7">
        <v>207.066666666667</v>
      </c>
      <c r="X39" s="7">
        <v>400.011264614715</v>
      </c>
    </row>
    <row r="40">
      <c r="A40" s="8">
        <v>41334.0</v>
      </c>
      <c r="B40" s="9">
        <f>IFERROR(__xludf.DUMMYFUNCTION("""COMPUTED_VALUE"""),12.0)</f>
        <v>12</v>
      </c>
      <c r="C40" s="12">
        <v>176.224570595052</v>
      </c>
      <c r="D40" s="12">
        <v>172.397573943485</v>
      </c>
      <c r="E40" s="12">
        <v>254.804377088598</v>
      </c>
      <c r="F40" s="12">
        <v>373.435761158414</v>
      </c>
      <c r="G40" s="12">
        <v>196.110302583507</v>
      </c>
      <c r="H40" s="12">
        <v>108.442957510609</v>
      </c>
      <c r="I40" s="12">
        <v>168.599549866959</v>
      </c>
      <c r="J40" s="12">
        <v>97.6853481589651</v>
      </c>
      <c r="K40" s="12">
        <v>105.263897378436</v>
      </c>
      <c r="L40" s="13">
        <v>56.5</v>
      </c>
      <c r="M40" s="12">
        <v>79.5802725864181</v>
      </c>
      <c r="N40" s="12">
        <v>314.366851882346</v>
      </c>
      <c r="O40" s="12">
        <v>363.646827245757</v>
      </c>
      <c r="P40" s="12">
        <v>75.546915763383</v>
      </c>
      <c r="Q40" s="12">
        <v>121.782358902584</v>
      </c>
      <c r="R40" s="12">
        <v>305.7732567471</v>
      </c>
      <c r="S40" s="12">
        <v>244.0</v>
      </c>
      <c r="T40" s="12">
        <v>42.0</v>
      </c>
      <c r="U40" s="12">
        <v>48.9027341370461</v>
      </c>
      <c r="V40" s="7">
        <v>147.559341679962</v>
      </c>
      <c r="W40" s="7">
        <v>121.0</v>
      </c>
      <c r="X40" s="7">
        <v>650.03710964066</v>
      </c>
    </row>
    <row r="41">
      <c r="A41" s="8">
        <v>41365.0</v>
      </c>
      <c r="B41" s="9">
        <f>IFERROR(__xludf.DUMMYFUNCTION("""COMPUTED_VALUE"""),115.0)</f>
        <v>115</v>
      </c>
      <c r="C41" s="12">
        <v>48.5532118262043</v>
      </c>
      <c r="D41" s="12">
        <v>22.229536110794</v>
      </c>
      <c r="E41" s="12">
        <v>211.243922333247</v>
      </c>
      <c r="F41" s="12">
        <v>138.924267404238</v>
      </c>
      <c r="G41" s="12">
        <v>154.276531525029</v>
      </c>
      <c r="H41" s="12">
        <v>98.7052227148127</v>
      </c>
      <c r="I41" s="12">
        <v>-75.8382090075624</v>
      </c>
      <c r="J41" s="12">
        <v>49.6233381142596</v>
      </c>
      <c r="K41" s="12">
        <v>105.263897378436</v>
      </c>
      <c r="L41" s="13">
        <v>56.5</v>
      </c>
      <c r="M41" s="12">
        <v>94.2383786413156</v>
      </c>
      <c r="N41" s="12">
        <v>-137.86761090179</v>
      </c>
      <c r="O41" s="12">
        <v>-351.138130157526</v>
      </c>
      <c r="P41" s="12">
        <v>86.582153488563</v>
      </c>
      <c r="Q41" s="12">
        <v>-302.233561669064</v>
      </c>
      <c r="R41" s="12">
        <v>81.9117020111248</v>
      </c>
      <c r="S41" s="12">
        <v>-233.999484202437</v>
      </c>
      <c r="T41" s="12">
        <v>106.0</v>
      </c>
      <c r="U41" s="12">
        <v>17.3564781436573</v>
      </c>
      <c r="V41" s="7">
        <v>-467.42670726129</v>
      </c>
      <c r="W41" s="7">
        <v>102.5</v>
      </c>
      <c r="X41" s="7">
        <v>395.972588486064</v>
      </c>
    </row>
    <row r="42">
      <c r="A42" s="8">
        <v>41395.0</v>
      </c>
      <c r="B42" s="9">
        <f>IFERROR(__xludf.DUMMYFUNCTION("""COMPUTED_VALUE"""),12.0)</f>
        <v>12</v>
      </c>
      <c r="C42" s="12">
        <v>114.416866242967</v>
      </c>
      <c r="D42" s="12">
        <v>73.2318244093518</v>
      </c>
      <c r="E42" s="12">
        <v>246.661447824919</v>
      </c>
      <c r="F42" s="12">
        <v>99.447790914186</v>
      </c>
      <c r="G42" s="12">
        <v>151.722532327893</v>
      </c>
      <c r="H42" s="12">
        <v>113.819542880964</v>
      </c>
      <c r="I42" s="12">
        <v>-46.7384537850037</v>
      </c>
      <c r="J42" s="12">
        <v>87.9011589571438</v>
      </c>
      <c r="K42" s="12">
        <v>105.263897378436</v>
      </c>
      <c r="L42" s="13">
        <v>56.5</v>
      </c>
      <c r="M42" s="12">
        <v>73.5672910923801</v>
      </c>
      <c r="N42" s="12">
        <v>-41.375622017631</v>
      </c>
      <c r="O42" s="12">
        <v>-21.8428612674794</v>
      </c>
      <c r="P42" s="12">
        <v>-40.7470223164497</v>
      </c>
      <c r="Q42" s="12">
        <v>-16.2470648522639</v>
      </c>
      <c r="R42" s="12">
        <v>-11.8494149547576</v>
      </c>
      <c r="S42" s="12">
        <v>23.9928249731356</v>
      </c>
      <c r="T42" s="12">
        <v>110.0</v>
      </c>
      <c r="U42" s="12">
        <v>-75.4859387211843</v>
      </c>
      <c r="V42" s="7">
        <v>-80.3565894975803</v>
      </c>
      <c r="W42" s="7">
        <v>121.0</v>
      </c>
      <c r="X42" s="7">
        <v>365.505632307358</v>
      </c>
    </row>
    <row r="43">
      <c r="A43" s="8">
        <v>41426.0</v>
      </c>
      <c r="B43" s="9">
        <f>IFERROR(__xludf.DUMMYFUNCTION("""COMPUTED_VALUE"""),100.0)</f>
        <v>100</v>
      </c>
      <c r="C43" s="12">
        <v>61.8407469610487</v>
      </c>
      <c r="D43" s="12">
        <v>54.8443069910268</v>
      </c>
      <c r="E43" s="12">
        <v>244.090889364254</v>
      </c>
      <c r="F43" s="12">
        <v>25.1058583606963</v>
      </c>
      <c r="G43" s="12">
        <v>108.780460945112</v>
      </c>
      <c r="H43" s="12">
        <v>113.539968722448</v>
      </c>
      <c r="I43" s="12">
        <v>55.6255348842774</v>
      </c>
      <c r="J43" s="12">
        <v>98.4886874611367</v>
      </c>
      <c r="K43" s="12">
        <v>105.263897378436</v>
      </c>
      <c r="L43" s="13">
        <v>47.0</v>
      </c>
      <c r="M43" s="12">
        <v>91.5741145127182</v>
      </c>
      <c r="N43" s="12">
        <v>176.31219299324</v>
      </c>
      <c r="O43" s="12">
        <v>49.0571413572802</v>
      </c>
      <c r="P43" s="12">
        <v>55.3200981060737</v>
      </c>
      <c r="Q43" s="12">
        <v>70.1645382039286</v>
      </c>
      <c r="R43" s="12">
        <v>248.561608935281</v>
      </c>
      <c r="S43" s="12">
        <v>175.270118172049</v>
      </c>
      <c r="T43" s="12">
        <v>96.0</v>
      </c>
      <c r="U43" s="12">
        <v>58.595046144167</v>
      </c>
      <c r="V43" s="7">
        <v>106.039373689859</v>
      </c>
      <c r="W43" s="7">
        <v>105.0</v>
      </c>
      <c r="X43" s="7">
        <v>362.657529495355</v>
      </c>
    </row>
    <row r="44">
      <c r="A44" s="8">
        <v>41456.0</v>
      </c>
      <c r="B44" s="9">
        <f>IFERROR(__xludf.DUMMYFUNCTION("""COMPUTED_VALUE"""),120.0)</f>
        <v>120</v>
      </c>
      <c r="C44" s="12">
        <v>136.617153107964</v>
      </c>
      <c r="D44" s="12">
        <v>104.354505974454</v>
      </c>
      <c r="E44" s="12">
        <v>259.626895019409</v>
      </c>
      <c r="F44" s="12">
        <v>43.6223111689529</v>
      </c>
      <c r="G44" s="12">
        <v>148.081278384284</v>
      </c>
      <c r="H44" s="12">
        <v>82.0914084700104</v>
      </c>
      <c r="I44" s="12">
        <v>63.2990001964947</v>
      </c>
      <c r="J44" s="12">
        <v>111.362472811975</v>
      </c>
      <c r="K44" s="12">
        <v>105.263897378436</v>
      </c>
      <c r="L44" s="13">
        <v>40.0</v>
      </c>
      <c r="M44" s="12">
        <v>93.0828664637765</v>
      </c>
      <c r="N44" s="12">
        <v>250.470740433794</v>
      </c>
      <c r="O44" s="12">
        <v>91.0</v>
      </c>
      <c r="P44" s="12">
        <v>137.372766491068</v>
      </c>
      <c r="Q44" s="12">
        <v>95.0641834340097</v>
      </c>
      <c r="R44" s="12">
        <v>186.0</v>
      </c>
      <c r="S44" s="12">
        <v>164.473651101833</v>
      </c>
      <c r="T44" s="12">
        <v>254.0</v>
      </c>
      <c r="U44" s="12">
        <v>268.005429926095</v>
      </c>
      <c r="V44" s="7">
        <v>150.923982716714</v>
      </c>
      <c r="W44" s="7">
        <v>96.0</v>
      </c>
      <c r="X44" s="7">
        <v>362.657529495355</v>
      </c>
    </row>
    <row r="45">
      <c r="A45" s="8">
        <v>41487.0</v>
      </c>
      <c r="B45" s="9">
        <f>IFERROR(__xludf.DUMMYFUNCTION("""COMPUTED_VALUE"""),105.0)</f>
        <v>105</v>
      </c>
      <c r="C45" s="12">
        <v>110.098224834607</v>
      </c>
      <c r="D45" s="12">
        <v>51.507056080874</v>
      </c>
      <c r="E45" s="12">
        <v>167.196821103214</v>
      </c>
      <c r="F45" s="12">
        <v>12.7948359413671</v>
      </c>
      <c r="G45" s="12">
        <v>97.6350067379407</v>
      </c>
      <c r="H45" s="12">
        <v>113.920782100673</v>
      </c>
      <c r="I45" s="12">
        <v>73.2222673847774</v>
      </c>
      <c r="J45" s="12">
        <v>177.626378201537</v>
      </c>
      <c r="K45" s="12">
        <v>105.263897378436</v>
      </c>
      <c r="L45" s="13">
        <v>33.0</v>
      </c>
      <c r="M45" s="12">
        <v>64.8204769395851</v>
      </c>
      <c r="N45" s="12">
        <v>194.705144468302</v>
      </c>
      <c r="O45" s="12">
        <v>93.5</v>
      </c>
      <c r="P45" s="12">
        <v>152.951856484329</v>
      </c>
      <c r="Q45" s="12">
        <v>16.9086030984895</v>
      </c>
      <c r="R45" s="12">
        <v>53.0</v>
      </c>
      <c r="S45" s="12">
        <v>110.705966410553</v>
      </c>
      <c r="T45" s="12">
        <v>112.5</v>
      </c>
      <c r="U45" s="12">
        <v>305.681523814833</v>
      </c>
      <c r="V45" s="7">
        <v>111.936874537334</v>
      </c>
      <c r="W45" s="7">
        <v>91.0</v>
      </c>
      <c r="X45" s="7">
        <v>353.995156853617</v>
      </c>
    </row>
    <row r="46">
      <c r="A46" s="8">
        <v>41518.0</v>
      </c>
      <c r="B46" s="9">
        <f>IFERROR(__xludf.DUMMYFUNCTION("""COMPUTED_VALUE"""),103.0)</f>
        <v>103</v>
      </c>
      <c r="C46" s="12">
        <v>120.962802365557</v>
      </c>
      <c r="D46" s="12">
        <v>125.426259196623</v>
      </c>
      <c r="E46" s="12">
        <v>191.916251139277</v>
      </c>
      <c r="F46" s="12">
        <v>49.0803262311267</v>
      </c>
      <c r="G46" s="12">
        <v>134.603348433048</v>
      </c>
      <c r="H46" s="12">
        <v>47.0458434239173</v>
      </c>
      <c r="I46" s="12">
        <v>-69.223560443902</v>
      </c>
      <c r="J46" s="12">
        <v>135.448539097749</v>
      </c>
      <c r="K46" s="12">
        <v>105.263897378436</v>
      </c>
      <c r="L46" s="13">
        <v>33.0</v>
      </c>
      <c r="M46" s="12">
        <v>84.367994974598</v>
      </c>
      <c r="N46" s="12">
        <v>64.5505985392443</v>
      </c>
      <c r="O46" s="12">
        <v>-63.7857199101992</v>
      </c>
      <c r="P46" s="12">
        <v>12.7966428514654</v>
      </c>
      <c r="Q46" s="12">
        <v>-11.0993215721194</v>
      </c>
      <c r="R46" s="12">
        <v>-34.4037194324173</v>
      </c>
      <c r="S46" s="12">
        <v>34.5507963667308</v>
      </c>
      <c r="T46" s="12">
        <v>91.5</v>
      </c>
      <c r="U46" s="12">
        <v>71.5899803056189</v>
      </c>
      <c r="V46" s="7">
        <v>-59.772643934178</v>
      </c>
      <c r="W46" s="7">
        <v>72.5</v>
      </c>
      <c r="X46" s="7">
        <v>72.5</v>
      </c>
    </row>
    <row r="47">
      <c r="A47" s="8">
        <v>41548.0</v>
      </c>
      <c r="B47" s="9">
        <f>IFERROR(__xludf.DUMMYFUNCTION("""COMPUTED_VALUE"""),111.0)</f>
        <v>111</v>
      </c>
      <c r="C47" s="12">
        <v>136.424277842641</v>
      </c>
      <c r="D47" s="12">
        <v>74.8022718796743</v>
      </c>
      <c r="E47" s="12">
        <v>174.158352190884</v>
      </c>
      <c r="F47" s="12">
        <v>17.3281760442494</v>
      </c>
      <c r="G47" s="12">
        <v>103.202566571494</v>
      </c>
      <c r="H47" s="12">
        <v>80.8700468699647</v>
      </c>
      <c r="I47" s="12">
        <v>115.352819597211</v>
      </c>
      <c r="J47" s="12">
        <v>148.419456515417</v>
      </c>
      <c r="K47" s="12">
        <v>105.263897378436</v>
      </c>
      <c r="L47" s="13">
        <v>16.0</v>
      </c>
      <c r="M47" s="12">
        <v>45.1142577013861</v>
      </c>
      <c r="N47" s="12">
        <v>510.179522812308</v>
      </c>
      <c r="O47" s="12">
        <v>60.0238088988667</v>
      </c>
      <c r="P47" s="12">
        <v>46.3329189659069</v>
      </c>
      <c r="Q47" s="12">
        <v>71.659795875785</v>
      </c>
      <c r="R47" s="12">
        <v>204.953211672317</v>
      </c>
      <c r="S47" s="12">
        <v>118.495593468173</v>
      </c>
      <c r="T47" s="12">
        <v>44.5</v>
      </c>
      <c r="U47" s="12">
        <v>133.140865905721</v>
      </c>
      <c r="V47" s="7">
        <v>81.806203927134</v>
      </c>
      <c r="W47" s="7">
        <v>93.5</v>
      </c>
      <c r="X47" s="7">
        <v>93.5</v>
      </c>
    </row>
    <row r="48">
      <c r="A48" s="8">
        <v>41579.0</v>
      </c>
      <c r="B48" s="9">
        <f>IFERROR(__xludf.DUMMYFUNCTION("""COMPUTED_VALUE"""),129.0)</f>
        <v>129</v>
      </c>
      <c r="C48" s="12">
        <v>38.1029108893354</v>
      </c>
      <c r="D48" s="12">
        <v>140.332079876629</v>
      </c>
      <c r="E48" s="12">
        <v>101.518304643061</v>
      </c>
      <c r="F48" s="12">
        <v>13.403817998461</v>
      </c>
      <c r="G48" s="12">
        <v>108.641419879705</v>
      </c>
      <c r="H48" s="12">
        <v>95.2172819738006</v>
      </c>
      <c r="I48" s="12">
        <v>183.241214857065</v>
      </c>
      <c r="J48" s="12">
        <v>85.9352394386736</v>
      </c>
      <c r="K48" s="12">
        <v>105.263897378436</v>
      </c>
      <c r="L48" s="13">
        <v>11.0</v>
      </c>
      <c r="M48" s="12">
        <v>62.6949364554177</v>
      </c>
      <c r="N48" s="12">
        <v>271.312131748149</v>
      </c>
      <c r="O48" s="12">
        <v>161.490410253567</v>
      </c>
      <c r="P48" s="12">
        <v>330.167469571281</v>
      </c>
      <c r="Q48" s="12">
        <v>115.948973207194</v>
      </c>
      <c r="R48" s="12">
        <v>-19.4960775341445</v>
      </c>
      <c r="S48" s="12">
        <v>163.921262102348</v>
      </c>
      <c r="T48" s="12">
        <v>78.5</v>
      </c>
      <c r="U48" s="12">
        <v>42.7704240926771</v>
      </c>
      <c r="V48" s="7">
        <v>158.347054657748</v>
      </c>
      <c r="W48" s="7">
        <v>75.0</v>
      </c>
      <c r="X48" s="7">
        <v>75.0</v>
      </c>
    </row>
    <row r="49">
      <c r="A49" s="8">
        <v>41609.0</v>
      </c>
      <c r="B49" s="9">
        <f>IFERROR(__xludf.DUMMYFUNCTION("""COMPUTED_VALUE"""),106.0)</f>
        <v>106</v>
      </c>
      <c r="C49" s="12">
        <v>92.4506179216934</v>
      </c>
      <c r="D49" s="12">
        <v>131.623269160541</v>
      </c>
      <c r="E49" s="12">
        <v>98.5536104444171</v>
      </c>
      <c r="F49" s="12">
        <v>18.7508049425961</v>
      </c>
      <c r="G49" s="12">
        <v>156.975359090671</v>
      </c>
      <c r="H49" s="12">
        <v>-30.9446604747192</v>
      </c>
      <c r="I49" s="12">
        <v>-41.5328159121409</v>
      </c>
      <c r="J49" s="12">
        <v>81.0565465218414</v>
      </c>
      <c r="K49" s="12">
        <v>105.263897378436</v>
      </c>
      <c r="L49" s="13">
        <v>14.0</v>
      </c>
      <c r="M49" s="12">
        <v>93.7657508159518</v>
      </c>
      <c r="N49" s="12">
        <v>163.062364516967</v>
      </c>
      <c r="O49" s="12">
        <v>156.219180963776</v>
      </c>
      <c r="P49" s="12">
        <v>159.969189516092</v>
      </c>
      <c r="Q49" s="12">
        <v>119.178864711056</v>
      </c>
      <c r="R49" s="12">
        <v>13.7956126583148</v>
      </c>
      <c r="S49" s="12">
        <v>121.710581073674</v>
      </c>
      <c r="T49" s="12">
        <v>99.0</v>
      </c>
      <c r="U49" s="12">
        <v>0.645916238743776</v>
      </c>
      <c r="V49" s="7">
        <v>118.772729144399</v>
      </c>
      <c r="W49" s="7">
        <v>93.5</v>
      </c>
      <c r="X49" s="7">
        <v>93.5</v>
      </c>
    </row>
    <row r="50">
      <c r="A50" s="8">
        <v>41640.0</v>
      </c>
      <c r="B50" s="9">
        <f>IFERROR(__xludf.DUMMYFUNCTION("""COMPUTED_VALUE"""),132.0)</f>
        <v>132</v>
      </c>
      <c r="C50" s="12">
        <v>126.268983053015</v>
      </c>
      <c r="D50" s="12">
        <v>162.329429423677</v>
      </c>
      <c r="E50" s="12">
        <v>113.801330157979</v>
      </c>
      <c r="F50" s="12">
        <v>23.0243288388623</v>
      </c>
      <c r="G50" s="12">
        <v>177.969264558219</v>
      </c>
      <c r="H50" s="12">
        <v>153.406870730404</v>
      </c>
      <c r="I50" s="12">
        <v>159.878445086274</v>
      </c>
      <c r="J50" s="12">
        <v>125.551625813475</v>
      </c>
      <c r="K50" s="12">
        <v>105.263897378436</v>
      </c>
      <c r="L50" s="13">
        <v>11.0</v>
      </c>
      <c r="M50" s="12">
        <v>112.053788493351</v>
      </c>
      <c r="N50" s="12">
        <v>253.070241636815</v>
      </c>
      <c r="O50" s="12">
        <v>116.009523559547</v>
      </c>
      <c r="P50" s="12">
        <v>164.540267940095</v>
      </c>
      <c r="Q50" s="12">
        <v>138.493989699439</v>
      </c>
      <c r="R50" s="12">
        <v>117.735404599349</v>
      </c>
      <c r="S50" s="12">
        <v>169.627637697021</v>
      </c>
      <c r="T50" s="12">
        <v>107.5</v>
      </c>
      <c r="U50" s="12">
        <v>105.474550707506</v>
      </c>
      <c r="V50" s="7">
        <v>152.061573886953</v>
      </c>
      <c r="W50" s="7">
        <v>96.0</v>
      </c>
      <c r="X50" s="7">
        <v>96.0</v>
      </c>
    </row>
    <row r="51">
      <c r="A51" s="8">
        <v>41671.0</v>
      </c>
      <c r="B51" s="9">
        <f>IFERROR(__xludf.DUMMYFUNCTION("""COMPUTED_VALUE"""),509.0)</f>
        <v>509</v>
      </c>
      <c r="C51" s="12">
        <v>247.122444148489</v>
      </c>
      <c r="D51" s="12">
        <v>316.649329742662</v>
      </c>
      <c r="E51" s="12">
        <v>266.353498323338</v>
      </c>
      <c r="F51" s="12">
        <v>194.350211087774</v>
      </c>
      <c r="G51" s="12">
        <v>287.962204346481</v>
      </c>
      <c r="H51" s="12">
        <v>212.132477995896</v>
      </c>
      <c r="I51" s="12">
        <v>285.001287146221</v>
      </c>
      <c r="J51" s="12">
        <v>272.005925377759</v>
      </c>
      <c r="K51" s="12">
        <v>135.451005845641</v>
      </c>
      <c r="L51" s="13">
        <v>9.5</v>
      </c>
      <c r="M51" s="12">
        <v>223.29075944158</v>
      </c>
      <c r="N51" s="12">
        <v>429.526139777656</v>
      </c>
      <c r="O51" s="12">
        <v>123.0</v>
      </c>
      <c r="P51" s="12">
        <v>154.435444406071</v>
      </c>
      <c r="Q51" s="12">
        <v>218.845174653477</v>
      </c>
      <c r="R51" s="12">
        <v>274.938596512877</v>
      </c>
      <c r="S51" s="12">
        <v>331.477559535836</v>
      </c>
      <c r="T51" s="12">
        <v>226.0</v>
      </c>
      <c r="U51" s="12">
        <v>297.757158345442</v>
      </c>
      <c r="V51" s="7">
        <v>291.056008029837</v>
      </c>
      <c r="W51" s="7">
        <v>164.733333333333</v>
      </c>
      <c r="X51" s="7">
        <v>538.505366512346</v>
      </c>
    </row>
    <row r="52">
      <c r="A52" s="8">
        <v>41699.0</v>
      </c>
      <c r="B52" s="9">
        <f>IFERROR(__xludf.DUMMYFUNCTION("""COMPUTED_VALUE"""),99.0)</f>
        <v>99</v>
      </c>
      <c r="C52" s="12">
        <v>75.0813026453933</v>
      </c>
      <c r="D52" s="12">
        <v>207.983395701833</v>
      </c>
      <c r="E52" s="12">
        <v>60.2677858829602</v>
      </c>
      <c r="F52" s="12">
        <v>57.6393690110982</v>
      </c>
      <c r="G52" s="12">
        <v>202.015077294638</v>
      </c>
      <c r="H52" s="12">
        <v>113.950324419197</v>
      </c>
      <c r="I52" s="12">
        <v>258.940651542053</v>
      </c>
      <c r="J52" s="12">
        <v>83.3705418113342</v>
      </c>
      <c r="K52" s="12">
        <v>105.263897378436</v>
      </c>
      <c r="L52" s="13">
        <v>29.696432285444</v>
      </c>
      <c r="M52" s="12">
        <v>88.9134977765685</v>
      </c>
      <c r="N52" s="12">
        <v>484.646684001362</v>
      </c>
      <c r="O52" s="12">
        <v>95.0380942381868</v>
      </c>
      <c r="P52" s="12">
        <v>133.289841312707</v>
      </c>
      <c r="Q52" s="12">
        <v>-52.0391556141544</v>
      </c>
      <c r="R52" s="12">
        <v>33.4179519492746</v>
      </c>
      <c r="S52" s="12">
        <v>96.169151268679</v>
      </c>
      <c r="T52" s="12">
        <v>120.0</v>
      </c>
      <c r="U52" s="12">
        <v>-32.5659237871706</v>
      </c>
      <c r="V52" s="7">
        <v>53.9275311080145</v>
      </c>
      <c r="W52" s="7">
        <v>109.5</v>
      </c>
      <c r="X52" s="7">
        <v>209.669367283951</v>
      </c>
    </row>
    <row r="53">
      <c r="A53" s="8">
        <v>41730.0</v>
      </c>
      <c r="B53" s="9">
        <f>IFERROR(__xludf.DUMMYFUNCTION("""COMPUTED_VALUE"""),327.0)</f>
        <v>327</v>
      </c>
      <c r="C53" s="12">
        <v>67.5776790233637</v>
      </c>
      <c r="D53" s="12">
        <v>111.740197773441</v>
      </c>
      <c r="E53" s="12">
        <v>9.41988786744741</v>
      </c>
      <c r="F53" s="12">
        <v>8.80591854958375</v>
      </c>
      <c r="G53" s="12">
        <v>233.560517246284</v>
      </c>
      <c r="H53" s="12">
        <v>346.540052731112</v>
      </c>
      <c r="I53" s="12">
        <v>274.161030500059</v>
      </c>
      <c r="J53" s="12">
        <v>33.9795148809395</v>
      </c>
      <c r="K53" s="12">
        <v>105.263897378436</v>
      </c>
      <c r="L53" s="13">
        <v>128.65761208239</v>
      </c>
      <c r="M53" s="12">
        <v>110.045863957463</v>
      </c>
      <c r="N53" s="12">
        <v>89.8994452650018</v>
      </c>
      <c r="O53" s="12">
        <v>106.5</v>
      </c>
      <c r="P53" s="12">
        <v>172.416084643437</v>
      </c>
      <c r="Q53" s="12">
        <v>-2.50087375992052</v>
      </c>
      <c r="R53" s="12">
        <v>483.88883343956</v>
      </c>
      <c r="S53" s="12">
        <v>106.5</v>
      </c>
      <c r="T53" s="12">
        <v>156.0</v>
      </c>
      <c r="U53" s="12">
        <v>184.019771185899</v>
      </c>
      <c r="V53" s="7">
        <v>354.364874518711</v>
      </c>
      <c r="W53" s="7">
        <v>112.866666666667</v>
      </c>
      <c r="X53" s="7">
        <v>109.5</v>
      </c>
    </row>
    <row r="54">
      <c r="A54" s="8">
        <v>41760.0</v>
      </c>
      <c r="B54" s="9">
        <f>IFERROR(__xludf.DUMMYFUNCTION("""COMPUTED_VALUE"""),257.0)</f>
        <v>257</v>
      </c>
      <c r="C54" s="12">
        <v>242.163390224348</v>
      </c>
      <c r="D54" s="12">
        <v>386.237923423259</v>
      </c>
      <c r="E54" s="12">
        <v>248.54915101741</v>
      </c>
      <c r="F54" s="12">
        <v>144.306641030663</v>
      </c>
      <c r="G54" s="12">
        <v>302.978373245714</v>
      </c>
      <c r="H54" s="12">
        <v>223.130567706222</v>
      </c>
      <c r="I54" s="12">
        <v>8.98831254469809</v>
      </c>
      <c r="J54" s="12">
        <v>136.803929136807</v>
      </c>
      <c r="K54" s="12">
        <v>167.791665515864</v>
      </c>
      <c r="L54" s="13">
        <v>50.5</v>
      </c>
      <c r="M54" s="12">
        <v>132.952771791478</v>
      </c>
      <c r="N54" s="12">
        <v>-30.3235222369328</v>
      </c>
      <c r="O54" s="12">
        <v>-303.419062867651</v>
      </c>
      <c r="P54" s="12">
        <v>80.0718151048159</v>
      </c>
      <c r="Q54" s="12">
        <v>-171.23815875819</v>
      </c>
      <c r="R54" s="12">
        <v>147.25060127601</v>
      </c>
      <c r="S54" s="12">
        <v>-157.360083837229</v>
      </c>
      <c r="T54" s="12">
        <v>152.0</v>
      </c>
      <c r="U54" s="12">
        <v>272.480820364548</v>
      </c>
      <c r="V54" s="7">
        <v>19.2821329717116</v>
      </c>
      <c r="W54" s="7">
        <v>93.0</v>
      </c>
      <c r="X54" s="7">
        <v>93.0</v>
      </c>
    </row>
    <row r="55">
      <c r="A55" s="8">
        <v>41791.0</v>
      </c>
      <c r="B55" s="9"/>
      <c r="C55" s="12">
        <v>289.387401250054</v>
      </c>
      <c r="D55" s="12">
        <v>523.034306124592</v>
      </c>
      <c r="E55" s="12">
        <v>485.531389185794</v>
      </c>
      <c r="F55" s="12">
        <v>274.14389265656</v>
      </c>
      <c r="G55" s="12">
        <v>341.265698792811</v>
      </c>
      <c r="H55" s="12">
        <v>421.187550631931</v>
      </c>
      <c r="I55" s="12">
        <v>576.77927031507</v>
      </c>
      <c r="J55" s="12">
        <v>367.545664059489</v>
      </c>
      <c r="K55" s="12">
        <v>123.142872984215</v>
      </c>
      <c r="L55" s="13">
        <v>463.414828116419</v>
      </c>
      <c r="M55" s="12">
        <v>345.348454530728</v>
      </c>
      <c r="N55" s="12">
        <v>262.311855110691</v>
      </c>
      <c r="O55" s="12">
        <v>386.190987514269</v>
      </c>
      <c r="P55" s="12">
        <v>372.908136948362</v>
      </c>
      <c r="Q55" s="12">
        <v>96.0980488931044</v>
      </c>
      <c r="R55" s="12">
        <v>303.314557903586</v>
      </c>
      <c r="S55" s="12">
        <v>168.5</v>
      </c>
      <c r="T55" s="12">
        <v>214.5</v>
      </c>
      <c r="U55" s="12">
        <v>14.4626132798273</v>
      </c>
      <c r="V55" s="7">
        <v>325.35951662852</v>
      </c>
      <c r="W55" s="7">
        <v>106.5</v>
      </c>
      <c r="X55" s="7">
        <v>106.5</v>
      </c>
    </row>
    <row r="56">
      <c r="A56" s="8">
        <v>41821.0</v>
      </c>
      <c r="B56" s="9"/>
      <c r="C56" s="12">
        <v>98.2092191829334</v>
      </c>
      <c r="D56" s="12">
        <v>-86.4785344187863</v>
      </c>
      <c r="E56" s="12">
        <v>5.44293481427871</v>
      </c>
      <c r="F56" s="12">
        <v>37.5</v>
      </c>
      <c r="G56" s="12">
        <v>169.577280442692</v>
      </c>
      <c r="H56" s="12">
        <v>189.288819979026</v>
      </c>
      <c r="I56" s="12">
        <v>87.7140820156485</v>
      </c>
      <c r="J56" s="12">
        <v>81.0295832418474</v>
      </c>
      <c r="K56" s="12">
        <v>105.263897378436</v>
      </c>
      <c r="L56" s="13">
        <v>181.026666666667</v>
      </c>
      <c r="M56" s="12">
        <v>49.8417921472262</v>
      </c>
      <c r="N56" s="12">
        <v>3.56751231193712</v>
      </c>
      <c r="O56" s="12">
        <v>156.0</v>
      </c>
      <c r="P56" s="12">
        <v>-42.417846511437</v>
      </c>
      <c r="Q56" s="12">
        <v>-206.723728060294</v>
      </c>
      <c r="R56" s="12">
        <v>390.288323464382</v>
      </c>
      <c r="S56" s="12">
        <v>156.0</v>
      </c>
      <c r="T56" s="12">
        <v>242.0</v>
      </c>
      <c r="U56" s="12">
        <v>-197.205125876479</v>
      </c>
      <c r="V56" s="7">
        <v>97.2804890915829</v>
      </c>
      <c r="W56" s="7">
        <v>123.0</v>
      </c>
      <c r="X56" s="7">
        <v>123.0</v>
      </c>
    </row>
    <row r="57">
      <c r="A57" s="8">
        <v>41852.0</v>
      </c>
      <c r="B57" s="9">
        <f>IFERROR(__xludf.DUMMYFUNCTION("""COMPUTED_VALUE"""),26.0)</f>
        <v>26</v>
      </c>
      <c r="C57" s="12">
        <v>15.0</v>
      </c>
      <c r="D57" s="12">
        <v>-87.1296528927314</v>
      </c>
      <c r="E57" s="12">
        <v>5.44293481427871</v>
      </c>
      <c r="F57" s="12">
        <v>3.75</v>
      </c>
      <c r="G57" s="12">
        <v>108.0</v>
      </c>
      <c r="H57" s="12">
        <v>-61.05</v>
      </c>
      <c r="I57" s="12">
        <v>130.027350929027</v>
      </c>
      <c r="J57" s="12">
        <v>41.0</v>
      </c>
      <c r="K57" s="12">
        <v>105.263897378436</v>
      </c>
      <c r="L57" s="13">
        <v>264.0</v>
      </c>
      <c r="M57" s="12">
        <v>67.0</v>
      </c>
      <c r="N57" s="12">
        <v>9.45355584691539</v>
      </c>
      <c r="O57" s="12">
        <v>156.0</v>
      </c>
      <c r="P57" s="12">
        <v>-23.417846511437</v>
      </c>
      <c r="Q57" s="12">
        <v>-228.383935662658</v>
      </c>
      <c r="R57" s="12">
        <v>52.5</v>
      </c>
      <c r="S57" s="12">
        <v>156.0</v>
      </c>
      <c r="T57" s="12">
        <v>229.0</v>
      </c>
      <c r="U57" s="12">
        <v>-200.587700146552</v>
      </c>
      <c r="V57" s="7">
        <v>-33.2554104664559</v>
      </c>
      <c r="W57" s="7">
        <v>139.5</v>
      </c>
      <c r="X57" s="7">
        <v>206.0</v>
      </c>
    </row>
    <row r="58">
      <c r="A58" s="8">
        <v>41883.0</v>
      </c>
      <c r="B58" s="9">
        <f>IFERROR(__xludf.DUMMYFUNCTION("""COMPUTED_VALUE"""),115.0)</f>
        <v>115</v>
      </c>
      <c r="C58" s="12">
        <v>3.90118535755634</v>
      </c>
      <c r="D58" s="12">
        <v>-95.1296528927314</v>
      </c>
      <c r="E58" s="12">
        <v>14.9577368466316</v>
      </c>
      <c r="F58" s="12">
        <v>0.0</v>
      </c>
      <c r="G58" s="12">
        <v>136.5</v>
      </c>
      <c r="H58" s="12">
        <v>87.074609521419</v>
      </c>
      <c r="I58" s="12">
        <v>0.0</v>
      </c>
      <c r="J58" s="12">
        <v>52.0</v>
      </c>
      <c r="K58" s="12">
        <v>105.263897378436</v>
      </c>
      <c r="L58" s="13">
        <v>249.0</v>
      </c>
      <c r="M58" s="12">
        <v>65.0</v>
      </c>
      <c r="N58" s="12">
        <v>0.0</v>
      </c>
      <c r="O58" s="12">
        <v>312.5</v>
      </c>
      <c r="P58" s="12">
        <v>-115.417846511437</v>
      </c>
      <c r="Q58" s="12">
        <v>-237.797055662658</v>
      </c>
      <c r="R58" s="12">
        <v>93.5</v>
      </c>
      <c r="S58" s="12">
        <v>312.5</v>
      </c>
      <c r="T58" s="12">
        <v>227.0</v>
      </c>
      <c r="U58" s="12">
        <v>-200.587700146552</v>
      </c>
      <c r="V58" s="7">
        <v>-28.25</v>
      </c>
      <c r="W58" s="7">
        <v>139.5</v>
      </c>
      <c r="X58" s="7">
        <v>198.0</v>
      </c>
    </row>
    <row r="59">
      <c r="A59" s="8">
        <v>41913.0</v>
      </c>
      <c r="B59" s="9">
        <f>IFERROR(__xludf.DUMMYFUNCTION("""COMPUTED_VALUE"""),39.0)</f>
        <v>39</v>
      </c>
      <c r="C59" s="12">
        <v>158.13685525717</v>
      </c>
      <c r="D59" s="12">
        <v>-82.1673829518672</v>
      </c>
      <c r="E59" s="12">
        <v>29.2591902232921</v>
      </c>
      <c r="F59" s="12">
        <v>1.51267087987358</v>
      </c>
      <c r="G59" s="12">
        <v>206.574562954877</v>
      </c>
      <c r="H59" s="12">
        <v>9.0</v>
      </c>
      <c r="I59" s="12">
        <v>-1.0</v>
      </c>
      <c r="J59" s="12">
        <v>112.54578779914</v>
      </c>
      <c r="K59" s="12">
        <v>115.094842811914</v>
      </c>
      <c r="L59" s="13">
        <v>220.313127113503</v>
      </c>
      <c r="M59" s="12">
        <v>53.5203148876109</v>
      </c>
      <c r="N59" s="12">
        <v>190.269297093948</v>
      </c>
      <c r="O59" s="12">
        <v>72.5238088988667</v>
      </c>
      <c r="P59" s="12">
        <v>-137.417846511437</v>
      </c>
      <c r="Q59" s="12">
        <v>-23.3212135151207</v>
      </c>
      <c r="R59" s="12">
        <v>65.7340037230338</v>
      </c>
      <c r="S59" s="12">
        <v>106.029215905021</v>
      </c>
      <c r="T59" s="12">
        <v>205.0</v>
      </c>
      <c r="U59" s="12">
        <v>-15.2950074381308</v>
      </c>
      <c r="V59" s="7">
        <v>130.9231060591</v>
      </c>
      <c r="W59" s="7">
        <v>156.0</v>
      </c>
      <c r="X59" s="7">
        <v>156.0</v>
      </c>
    </row>
    <row r="60">
      <c r="A60" s="8">
        <v>41944.0</v>
      </c>
      <c r="B60" s="9">
        <f>IFERROR(__xludf.DUMMYFUNCTION("""COMPUTED_VALUE"""),104.0)</f>
        <v>104</v>
      </c>
      <c r="C60" s="12">
        <v>51.7778396269196</v>
      </c>
      <c r="D60" s="12">
        <v>-70.3423296008756</v>
      </c>
      <c r="E60" s="12">
        <v>36.5147199469925</v>
      </c>
      <c r="F60" s="12">
        <v>2.99946682798485</v>
      </c>
      <c r="G60" s="12">
        <v>121.744982127263</v>
      </c>
      <c r="H60" s="12">
        <v>11.8</v>
      </c>
      <c r="I60" s="12">
        <v>21.2681239684812</v>
      </c>
      <c r="J60" s="12">
        <v>98.0446339438367</v>
      </c>
      <c r="K60" s="12">
        <v>133.444678979788</v>
      </c>
      <c r="L60" s="13">
        <v>200.887257531529</v>
      </c>
      <c r="M60" s="12">
        <v>117.823020199009</v>
      </c>
      <c r="N60" s="12">
        <v>351.267026176784</v>
      </c>
      <c r="O60" s="12">
        <v>139.08571203592</v>
      </c>
      <c r="P60" s="12">
        <v>-86.417846511437</v>
      </c>
      <c r="Q60" s="12">
        <v>80.4660429188939</v>
      </c>
      <c r="R60" s="12">
        <v>13.8945614457781</v>
      </c>
      <c r="S60" s="12">
        <v>141.578212367263</v>
      </c>
      <c r="T60" s="12">
        <v>267.0</v>
      </c>
      <c r="U60" s="12">
        <v>145.426236128258</v>
      </c>
      <c r="V60" s="7">
        <v>197.157591694988</v>
      </c>
      <c r="W60" s="7">
        <v>156.0</v>
      </c>
      <c r="X60" s="7">
        <v>156.0</v>
      </c>
    </row>
    <row r="61">
      <c r="A61" s="8">
        <v>41974.0</v>
      </c>
      <c r="B61" s="9">
        <f>IFERROR(__xludf.DUMMYFUNCTION("""COMPUTED_VALUE"""),224.0)</f>
        <v>224</v>
      </c>
      <c r="C61" s="12">
        <v>134.64424044283</v>
      </c>
      <c r="D61" s="12">
        <v>29.9459423581033</v>
      </c>
      <c r="E61" s="12">
        <v>41.6441191737033</v>
      </c>
      <c r="F61" s="12">
        <v>13.1879434259397</v>
      </c>
      <c r="G61" s="12">
        <v>100.594405115722</v>
      </c>
      <c r="H61" s="12">
        <v>-16.52</v>
      </c>
      <c r="I61" s="12">
        <v>71.6114895117918</v>
      </c>
      <c r="J61" s="12">
        <v>178.449206159855</v>
      </c>
      <c r="K61" s="12">
        <v>170.848034180274</v>
      </c>
      <c r="L61" s="13">
        <v>277.739414771146</v>
      </c>
      <c r="M61" s="12">
        <v>113.973519670948</v>
      </c>
      <c r="N61" s="12">
        <v>401.683741929065</v>
      </c>
      <c r="O61" s="12">
        <v>128.59999737524</v>
      </c>
      <c r="P61" s="12">
        <v>-130.717972418887</v>
      </c>
      <c r="Q61" s="12">
        <v>288.743202849144</v>
      </c>
      <c r="R61" s="12">
        <v>31.2682826431623</v>
      </c>
      <c r="S61" s="12">
        <v>251.722706801086</v>
      </c>
      <c r="T61" s="12">
        <v>237.5</v>
      </c>
      <c r="U61" s="12">
        <v>417.138854578729</v>
      </c>
      <c r="V61" s="7">
        <v>239.737274014482</v>
      </c>
      <c r="W61" s="7">
        <v>156.0</v>
      </c>
      <c r="X61" s="7">
        <v>156.0</v>
      </c>
    </row>
    <row r="62">
      <c r="A62" s="8">
        <v>42005.0</v>
      </c>
      <c r="B62" s="9">
        <f>IFERROR(__xludf.DUMMYFUNCTION("""COMPUTED_VALUE"""),164.0)</f>
        <v>164</v>
      </c>
      <c r="C62" s="12">
        <v>210.902114540568</v>
      </c>
      <c r="D62" s="12">
        <v>110.466690510742</v>
      </c>
      <c r="E62" s="12">
        <v>260.915407274252</v>
      </c>
      <c r="F62" s="12">
        <v>13.6431701810057</v>
      </c>
      <c r="G62" s="12">
        <v>187.428134752827</v>
      </c>
      <c r="H62" s="12">
        <v>1.0</v>
      </c>
      <c r="I62" s="12">
        <v>-13.0</v>
      </c>
      <c r="J62" s="12">
        <v>316.921132247998</v>
      </c>
      <c r="K62" s="12">
        <v>336.670615069978</v>
      </c>
      <c r="L62" s="13">
        <v>502.532675607197</v>
      </c>
      <c r="M62" s="12">
        <v>252.78179670751</v>
      </c>
      <c r="N62" s="12">
        <v>489.704786386204</v>
      </c>
      <c r="O62" s="12">
        <v>135.061903137054</v>
      </c>
      <c r="P62" s="12">
        <v>-146.219303650386</v>
      </c>
      <c r="Q62" s="12">
        <v>338.03208100043</v>
      </c>
      <c r="R62" s="12">
        <v>286.191789928048</v>
      </c>
      <c r="S62" s="12">
        <v>305.3460090159</v>
      </c>
      <c r="T62" s="12">
        <v>162.0</v>
      </c>
      <c r="U62" s="12">
        <v>266.837886244645</v>
      </c>
      <c r="V62" s="7">
        <v>334.375827797413</v>
      </c>
      <c r="W62" s="7">
        <v>157.5</v>
      </c>
      <c r="X62" s="7">
        <v>157.5</v>
      </c>
    </row>
    <row r="63">
      <c r="A63" s="8">
        <v>42036.0</v>
      </c>
      <c r="B63" s="9">
        <f>IFERROR(__xludf.DUMMYFUNCTION("""COMPUTED_VALUE"""),173.0)</f>
        <v>173</v>
      </c>
      <c r="C63" s="12">
        <v>146.384108114248</v>
      </c>
      <c r="D63" s="12">
        <v>-73.4405078680657</v>
      </c>
      <c r="E63" s="12">
        <v>54.9350572176915</v>
      </c>
      <c r="F63" s="12">
        <v>19.8754065452089</v>
      </c>
      <c r="G63" s="12">
        <v>135.837842313181</v>
      </c>
      <c r="H63" s="12">
        <v>16.0</v>
      </c>
      <c r="I63" s="12">
        <v>21.5805511575197</v>
      </c>
      <c r="J63" s="12">
        <v>104.250436322576</v>
      </c>
      <c r="K63" s="12">
        <v>142.827025283142</v>
      </c>
      <c r="L63" s="13">
        <v>506.939899708089</v>
      </c>
      <c r="M63" s="12">
        <v>82.3206932872189</v>
      </c>
      <c r="N63" s="12">
        <v>629.566165445002</v>
      </c>
      <c r="O63" s="12">
        <v>83.0285706786401</v>
      </c>
      <c r="P63" s="12">
        <v>-124.417846511437</v>
      </c>
      <c r="Q63" s="12">
        <v>310.405860135016</v>
      </c>
      <c r="R63" s="12">
        <v>214.280804467641</v>
      </c>
      <c r="S63" s="12">
        <v>490.247278447547</v>
      </c>
      <c r="T63" s="12">
        <v>348.0</v>
      </c>
      <c r="U63" s="12">
        <v>391.582580543972</v>
      </c>
      <c r="V63" s="7">
        <v>640.528976647518</v>
      </c>
      <c r="W63" s="7">
        <v>159.0</v>
      </c>
      <c r="X63" s="7">
        <v>159.0</v>
      </c>
    </row>
    <row r="64">
      <c r="A64" s="8">
        <v>42064.0</v>
      </c>
      <c r="B64" s="9">
        <f>IFERROR(__xludf.DUMMYFUNCTION("""COMPUTED_VALUE"""),230.0)</f>
        <v>230</v>
      </c>
      <c r="C64" s="12">
        <v>280.061131197961</v>
      </c>
      <c r="D64" s="12">
        <v>753.586492882685</v>
      </c>
      <c r="E64" s="12">
        <v>92.0271686662343</v>
      </c>
      <c r="F64" s="12">
        <v>21.9735996775447</v>
      </c>
      <c r="G64" s="12">
        <v>169.435314256816</v>
      </c>
      <c r="H64" s="12">
        <v>58.5122423157378</v>
      </c>
      <c r="I64" s="12">
        <v>2.92364300931952</v>
      </c>
      <c r="J64" s="12">
        <v>125.410163036874</v>
      </c>
      <c r="K64" s="12">
        <v>143.894157977498</v>
      </c>
      <c r="L64" s="13">
        <v>142.781081437813</v>
      </c>
      <c r="M64" s="12">
        <v>52.0799414423768</v>
      </c>
      <c r="N64" s="12">
        <v>246.775294643204</v>
      </c>
      <c r="O64" s="12">
        <v>213.629890317417</v>
      </c>
      <c r="P64" s="12">
        <v>-146.417846511437</v>
      </c>
      <c r="Q64" s="12">
        <v>194.662786109912</v>
      </c>
      <c r="R64" s="12">
        <v>291.374405956854</v>
      </c>
      <c r="S64" s="12">
        <v>163.255583567907</v>
      </c>
      <c r="T64" s="12">
        <v>198.0</v>
      </c>
      <c r="U64" s="12">
        <v>69.3267505436646</v>
      </c>
      <c r="V64" s="7">
        <v>210.499044177782</v>
      </c>
      <c r="W64" s="7">
        <v>124.5</v>
      </c>
      <c r="X64" s="7">
        <v>183.6</v>
      </c>
    </row>
    <row r="65">
      <c r="A65" s="8">
        <v>42095.0</v>
      </c>
      <c r="B65" s="9">
        <f>IFERROR(__xludf.DUMMYFUNCTION("""COMPUTED_VALUE"""),437.0)</f>
        <v>437</v>
      </c>
      <c r="C65" s="12">
        <v>191.550800176123</v>
      </c>
      <c r="D65" s="12">
        <v>258.492656057519</v>
      </c>
      <c r="E65" s="12">
        <v>197.458517997302</v>
      </c>
      <c r="F65" s="12">
        <v>39.1736698903277</v>
      </c>
      <c r="G65" s="12">
        <v>217.14631093796</v>
      </c>
      <c r="H65" s="12">
        <v>42.66</v>
      </c>
      <c r="I65" s="12">
        <v>-42.0</v>
      </c>
      <c r="J65" s="12">
        <v>131.464664998616</v>
      </c>
      <c r="K65" s="12">
        <v>308.162025801653</v>
      </c>
      <c r="L65" s="13">
        <v>514.78896326484</v>
      </c>
      <c r="M65" s="12">
        <v>118.984087641852</v>
      </c>
      <c r="N65" s="12">
        <v>198.20062511051</v>
      </c>
      <c r="O65" s="12">
        <v>203.642350994515</v>
      </c>
      <c r="P65" s="12">
        <v>-105.417846511437</v>
      </c>
      <c r="Q65" s="12">
        <v>71.8736226733174</v>
      </c>
      <c r="R65" s="12">
        <v>455.0</v>
      </c>
      <c r="S65" s="12">
        <v>137.93362238874</v>
      </c>
      <c r="T65" s="12">
        <v>296.0</v>
      </c>
      <c r="U65" s="12">
        <v>4.03758788945652</v>
      </c>
      <c r="V65" s="7">
        <v>195.68373300699</v>
      </c>
      <c r="W65" s="7">
        <v>124.5</v>
      </c>
      <c r="X65" s="7">
        <v>198.0</v>
      </c>
    </row>
    <row r="66">
      <c r="A66" s="8">
        <v>42125.0</v>
      </c>
      <c r="B66" s="9">
        <f>IFERROR(__xludf.DUMMYFUNCTION("""COMPUTED_VALUE"""),430.0)</f>
        <v>430</v>
      </c>
      <c r="C66" s="12">
        <v>397.698341856605</v>
      </c>
      <c r="D66" s="12">
        <v>331.84915799286</v>
      </c>
      <c r="E66" s="12">
        <v>467.373654619819</v>
      </c>
      <c r="F66" s="12">
        <v>5032.8</v>
      </c>
      <c r="G66" s="12">
        <v>346.834630398562</v>
      </c>
      <c r="H66" s="12">
        <v>11.08</v>
      </c>
      <c r="I66" s="12">
        <v>-4.38851048820819</v>
      </c>
      <c r="J66" s="12">
        <v>211.50436501678</v>
      </c>
      <c r="K66" s="12">
        <v>289.590123780044</v>
      </c>
      <c r="L66" s="13">
        <v>475.923578619809</v>
      </c>
      <c r="M66" s="12">
        <v>74.9346340162623</v>
      </c>
      <c r="N66" s="12">
        <v>739.864986529834</v>
      </c>
      <c r="O66" s="12">
        <v>238.745854782704</v>
      </c>
      <c r="P66" s="12">
        <v>-132.417846511437</v>
      </c>
      <c r="Q66" s="12">
        <v>498.767242157979</v>
      </c>
      <c r="R66" s="12">
        <v>403.0</v>
      </c>
      <c r="S66" s="12">
        <v>705.876844483464</v>
      </c>
      <c r="T66" s="12">
        <v>212.0</v>
      </c>
      <c r="U66" s="12">
        <v>598.262425387701</v>
      </c>
      <c r="V66" s="7">
        <v>757.731896107782</v>
      </c>
      <c r="W66" s="7">
        <v>104.0</v>
      </c>
      <c r="X66" s="7">
        <v>392.0</v>
      </c>
    </row>
    <row r="67">
      <c r="A67" s="8">
        <v>42156.0</v>
      </c>
      <c r="B67" s="9">
        <f>IFERROR(__xludf.DUMMYFUNCTION("""COMPUTED_VALUE"""),303.0)</f>
        <v>303</v>
      </c>
      <c r="C67" s="12">
        <v>474.82364262501</v>
      </c>
      <c r="D67" s="12">
        <v>548.56612766983</v>
      </c>
      <c r="E67" s="12">
        <v>343.713168432395</v>
      </c>
      <c r="F67" s="12">
        <v>4403.66831531743</v>
      </c>
      <c r="G67" s="12">
        <v>339.498251736671</v>
      </c>
      <c r="H67" s="12">
        <v>77.85</v>
      </c>
      <c r="I67" s="12">
        <v>304.694570767844</v>
      </c>
      <c r="J67" s="12">
        <v>254.910366945063</v>
      </c>
      <c r="K67" s="12">
        <v>309.301902241924</v>
      </c>
      <c r="L67" s="13">
        <v>364.274414771146</v>
      </c>
      <c r="M67" s="12">
        <v>58.6342508099949</v>
      </c>
      <c r="N67" s="12">
        <v>1494.72722549</v>
      </c>
      <c r="O67" s="12">
        <v>464.708299046866</v>
      </c>
      <c r="P67" s="12">
        <v>152.013708127432</v>
      </c>
      <c r="Q67" s="12">
        <v>887.266774307974</v>
      </c>
      <c r="R67" s="12">
        <v>215.0</v>
      </c>
      <c r="S67" s="12">
        <v>1545.39745964005</v>
      </c>
      <c r="T67" s="12">
        <v>153.0</v>
      </c>
      <c r="U67" s="12">
        <v>1518.34913519916</v>
      </c>
      <c r="V67" s="7">
        <v>1577.04276904204</v>
      </c>
      <c r="W67" s="7">
        <v>166.333333333333</v>
      </c>
      <c r="X67" s="7">
        <v>476.0</v>
      </c>
    </row>
    <row r="68">
      <c r="A68" s="8">
        <v>42186.0</v>
      </c>
      <c r="B68" s="9">
        <f>IFERROR(__xludf.DUMMYFUNCTION("""COMPUTED_VALUE"""),313.0)</f>
        <v>313</v>
      </c>
      <c r="C68" s="12">
        <v>270.338083382637</v>
      </c>
      <c r="D68" s="12">
        <v>485.618680296046</v>
      </c>
      <c r="E68" s="12">
        <v>330.049496739337</v>
      </c>
      <c r="F68" s="12">
        <v>3879.81445764619</v>
      </c>
      <c r="G68" s="12">
        <v>306.839461211885</v>
      </c>
      <c r="H68" s="12">
        <v>113.838655834408</v>
      </c>
      <c r="I68" s="12">
        <v>278.270334218835</v>
      </c>
      <c r="J68" s="12">
        <v>94.6620291107965</v>
      </c>
      <c r="K68" s="12">
        <v>274.87729674195</v>
      </c>
      <c r="L68" s="13">
        <v>436.867105477771</v>
      </c>
      <c r="M68" s="12">
        <v>61.4136436010679</v>
      </c>
      <c r="N68" s="12">
        <v>211.930829348981</v>
      </c>
      <c r="O68" s="12">
        <v>130.157134295805</v>
      </c>
      <c r="P68" s="12">
        <v>176.221030403541</v>
      </c>
      <c r="Q68" s="12">
        <v>77.4105470159869</v>
      </c>
      <c r="R68" s="12">
        <v>296.5</v>
      </c>
      <c r="S68" s="12">
        <v>71.0</v>
      </c>
      <c r="T68" s="12">
        <v>176.0</v>
      </c>
      <c r="U68" s="12">
        <v>-28.6010440297774</v>
      </c>
      <c r="V68" s="7">
        <v>113.66553331363</v>
      </c>
      <c r="W68" s="7">
        <v>297.0</v>
      </c>
      <c r="X68" s="7">
        <v>476.0</v>
      </c>
    </row>
    <row r="69">
      <c r="A69" s="8">
        <v>42217.0</v>
      </c>
      <c r="B69" s="9">
        <f>IFERROR(__xludf.DUMMYFUNCTION("""COMPUTED_VALUE"""),758.0)</f>
        <v>758</v>
      </c>
      <c r="C69" s="12">
        <v>592.348322163633</v>
      </c>
      <c r="D69" s="12">
        <v>449.807822359222</v>
      </c>
      <c r="E69" s="12">
        <v>871.781649158094</v>
      </c>
      <c r="F69" s="12">
        <v>3460.05</v>
      </c>
      <c r="G69" s="12">
        <v>218.379040810386</v>
      </c>
      <c r="H69" s="12">
        <v>326.252834390941</v>
      </c>
      <c r="I69" s="12">
        <v>293.182900205267</v>
      </c>
      <c r="J69" s="12">
        <v>138.67865469868</v>
      </c>
      <c r="K69" s="12">
        <v>301.478216505601</v>
      </c>
      <c r="L69" s="13">
        <v>490.039447168953</v>
      </c>
      <c r="M69" s="12">
        <v>48.1219798398993</v>
      </c>
      <c r="N69" s="12">
        <v>966.111661130753</v>
      </c>
      <c r="O69" s="12">
        <v>150.401162904215</v>
      </c>
      <c r="P69" s="12">
        <v>371.95395706438</v>
      </c>
      <c r="Q69" s="12">
        <v>574.182250879799</v>
      </c>
      <c r="R69" s="12">
        <v>148.0</v>
      </c>
      <c r="S69" s="12">
        <v>966.678260017996</v>
      </c>
      <c r="T69" s="12">
        <v>165.0</v>
      </c>
      <c r="U69" s="12">
        <v>806.730344360697</v>
      </c>
      <c r="V69" s="7">
        <v>985.463498684616</v>
      </c>
      <c r="W69" s="7">
        <v>528.0</v>
      </c>
      <c r="X69" s="7">
        <v>776.0</v>
      </c>
    </row>
    <row r="70">
      <c r="A70" s="8">
        <v>42248.0</v>
      </c>
      <c r="B70" s="9">
        <f>IFERROR(__xludf.DUMMYFUNCTION("""COMPUTED_VALUE"""),523.0)</f>
        <v>523</v>
      </c>
      <c r="C70" s="12">
        <v>660.153320989038</v>
      </c>
      <c r="D70" s="12">
        <v>992.898661381982</v>
      </c>
      <c r="E70" s="12">
        <v>390.018228268273</v>
      </c>
      <c r="F70" s="12">
        <v>1048.45388385752</v>
      </c>
      <c r="G70" s="12">
        <v>418.440388501056</v>
      </c>
      <c r="H70" s="12">
        <v>370.942702506359</v>
      </c>
      <c r="I70" s="12">
        <v>468.551404748472</v>
      </c>
      <c r="J70" s="12">
        <v>529.301390076505</v>
      </c>
      <c r="K70" s="12">
        <v>569.463341410735</v>
      </c>
      <c r="L70" s="13">
        <v>718.712709037834</v>
      </c>
      <c r="M70" s="12">
        <v>328.718337776793</v>
      </c>
      <c r="N70" s="12">
        <v>674.309555900118</v>
      </c>
      <c r="O70" s="12">
        <v>583.288999033899</v>
      </c>
      <c r="P70" s="12">
        <v>442.582153488563</v>
      </c>
      <c r="Q70" s="12">
        <v>925.232062131658</v>
      </c>
      <c r="R70" s="12">
        <v>563.060268698094</v>
      </c>
      <c r="S70" s="12">
        <v>669.163267186266</v>
      </c>
      <c r="T70" s="12">
        <v>165.0</v>
      </c>
      <c r="U70" s="12">
        <v>658.387503674716</v>
      </c>
      <c r="V70" s="7">
        <v>706.874570007724</v>
      </c>
      <c r="W70" s="7">
        <v>576.0</v>
      </c>
      <c r="X70" s="7">
        <v>626.0</v>
      </c>
    </row>
    <row r="71">
      <c r="A71" s="8">
        <v>42278.0</v>
      </c>
      <c r="B71" s="9">
        <f>IFERROR(__xludf.DUMMYFUNCTION("""COMPUTED_VALUE"""),308.0)</f>
        <v>308</v>
      </c>
      <c r="C71" s="12">
        <v>402.865906651159</v>
      </c>
      <c r="D71" s="12">
        <v>465.168293576119</v>
      </c>
      <c r="E71" s="12">
        <v>398.233234590955</v>
      </c>
      <c r="F71" s="12">
        <v>2937.70773464865</v>
      </c>
      <c r="G71" s="12">
        <v>178.439776606596</v>
      </c>
      <c r="H71" s="12">
        <v>568.624216193494</v>
      </c>
      <c r="I71" s="12">
        <v>409.538849972961</v>
      </c>
      <c r="J71" s="12">
        <v>284.491584017129</v>
      </c>
      <c r="K71" s="12">
        <v>341.045487048321</v>
      </c>
      <c r="L71" s="13">
        <v>711.799063556752</v>
      </c>
      <c r="M71" s="12">
        <v>52.7932508228395</v>
      </c>
      <c r="N71" s="12">
        <v>367.20637815167</v>
      </c>
      <c r="O71" s="12">
        <v>166.058384162704</v>
      </c>
      <c r="P71" s="12">
        <v>518.676653613017</v>
      </c>
      <c r="Q71" s="12">
        <v>301.173534788249</v>
      </c>
      <c r="R71" s="12">
        <v>265.546800744607</v>
      </c>
      <c r="S71" s="12">
        <v>288.924890840263</v>
      </c>
      <c r="T71" s="12">
        <v>368.0</v>
      </c>
      <c r="U71" s="12">
        <v>349.478257979175</v>
      </c>
      <c r="V71" s="7">
        <v>537.511626699717</v>
      </c>
      <c r="W71" s="7">
        <v>428.0</v>
      </c>
      <c r="X71" s="7">
        <v>627.657529495355</v>
      </c>
    </row>
    <row r="72">
      <c r="A72" s="8">
        <v>42309.0</v>
      </c>
      <c r="B72" s="9">
        <f>IFERROR(__xludf.DUMMYFUNCTION("""COMPUTED_VALUE"""),1141.0)</f>
        <v>1141</v>
      </c>
      <c r="C72" s="12">
        <v>369.16156955988</v>
      </c>
      <c r="D72" s="12">
        <v>602.468766422018</v>
      </c>
      <c r="E72" s="12">
        <v>970.666926729838</v>
      </c>
      <c r="F72" s="12">
        <v>1009.71307419085</v>
      </c>
      <c r="G72" s="12">
        <v>1084.7766385957</v>
      </c>
      <c r="H72" s="12">
        <v>753.671350603818</v>
      </c>
      <c r="I72" s="12">
        <v>966.302763662379</v>
      </c>
      <c r="J72" s="12">
        <v>1204.7484303881</v>
      </c>
      <c r="K72" s="12">
        <v>1482.77423722271</v>
      </c>
      <c r="L72" s="13">
        <v>674.134448201783</v>
      </c>
      <c r="M72" s="12">
        <v>1035.11935263991</v>
      </c>
      <c r="N72" s="12">
        <v>654.464854578385</v>
      </c>
      <c r="O72" s="12">
        <v>381.249206391396</v>
      </c>
      <c r="P72" s="12">
        <v>165.912928034233</v>
      </c>
      <c r="Q72" s="12">
        <v>250.498674843695</v>
      </c>
      <c r="R72" s="12">
        <v>900.0</v>
      </c>
      <c r="S72" s="12">
        <v>315.381950374481</v>
      </c>
      <c r="T72" s="12">
        <v>249.0</v>
      </c>
      <c r="U72" s="12">
        <v>556.571738291048</v>
      </c>
      <c r="V72" s="7">
        <v>424.501138888818</v>
      </c>
      <c r="W72" s="7">
        <v>846.266666666667</v>
      </c>
      <c r="X72" s="7">
        <v>871.999188711295</v>
      </c>
    </row>
    <row r="73">
      <c r="A73" s="8">
        <v>42339.0</v>
      </c>
      <c r="B73" s="9">
        <f>IFERROR(__xludf.DUMMYFUNCTION("""COMPUTED_VALUE"""),22972.0)</f>
        <v>22972</v>
      </c>
      <c r="C73" s="12">
        <v>22899.9669163609</v>
      </c>
      <c r="D73" s="12">
        <v>18982.354432438</v>
      </c>
      <c r="E73" s="12">
        <v>21683.173720087</v>
      </c>
      <c r="F73" s="12">
        <v>44738.5271932514</v>
      </c>
      <c r="G73" s="12">
        <v>22926.1180580255</v>
      </c>
      <c r="H73" s="12">
        <v>556.652777796743</v>
      </c>
      <c r="I73" s="12">
        <v>543.920161058111</v>
      </c>
      <c r="J73" s="12">
        <v>23145.6228362623</v>
      </c>
      <c r="K73" s="12">
        <v>22483.3624199695</v>
      </c>
      <c r="L73" s="13">
        <v>723.856354518917</v>
      </c>
      <c r="M73" s="12">
        <v>22976.4727874987</v>
      </c>
      <c r="N73" s="12">
        <v>22976.9494958596</v>
      </c>
      <c r="O73" s="12">
        <v>23096.931241884</v>
      </c>
      <c r="P73" s="12">
        <v>566.582153488563</v>
      </c>
      <c r="Q73" s="12">
        <v>22941.4295031483</v>
      </c>
      <c r="R73" s="12">
        <v>22910.0723297739</v>
      </c>
      <c r="S73" s="12">
        <v>22976.4002736339</v>
      </c>
      <c r="T73" s="12">
        <v>23059.1088216977</v>
      </c>
      <c r="U73" s="12">
        <v>22972.3042816522</v>
      </c>
      <c r="V73" s="7">
        <v>23030.0952126626</v>
      </c>
      <c r="W73" s="7">
        <v>18454.685703726</v>
      </c>
      <c r="X73" s="7">
        <v>20568.6031517397</v>
      </c>
    </row>
    <row r="74">
      <c r="A74" s="8">
        <v>42370.0</v>
      </c>
      <c r="B74" s="9">
        <f>IFERROR(__xludf.DUMMYFUNCTION("""COMPUTED_VALUE"""),3188.0)</f>
        <v>3188</v>
      </c>
      <c r="C74" s="12">
        <v>3003.03577035321</v>
      </c>
      <c r="D74" s="12">
        <v>5104.74039961314</v>
      </c>
      <c r="E74" s="12">
        <v>3114.18936801333</v>
      </c>
      <c r="F74" s="12">
        <v>3121.19122813422</v>
      </c>
      <c r="G74" s="12">
        <v>3187.99914676555</v>
      </c>
      <c r="H74" s="12">
        <v>509.332671137849</v>
      </c>
      <c r="I74" s="12">
        <v>328.607123502843</v>
      </c>
      <c r="J74" s="12">
        <v>3181.82454380555</v>
      </c>
      <c r="K74" s="12">
        <v>3038.37904837579</v>
      </c>
      <c r="L74" s="13">
        <v>664.136287657643</v>
      </c>
      <c r="M74" s="12">
        <v>2852.25930958387</v>
      </c>
      <c r="N74" s="12">
        <v>3960.54066978137</v>
      </c>
      <c r="O74" s="12">
        <v>3161.18004009328</v>
      </c>
      <c r="P74" s="12">
        <v>1851.58215348856</v>
      </c>
      <c r="Q74" s="12">
        <v>2985.56725949333</v>
      </c>
      <c r="R74" s="12">
        <v>3126.39780711162</v>
      </c>
      <c r="S74" s="12">
        <v>3267.72531210781</v>
      </c>
      <c r="T74" s="12">
        <v>2893.08281550805</v>
      </c>
      <c r="U74" s="12">
        <v>3314.89459873309</v>
      </c>
      <c r="V74" s="7">
        <v>3264.18237631627</v>
      </c>
      <c r="W74" s="7">
        <v>1217.72592592593</v>
      </c>
      <c r="X74" s="7">
        <v>1363.99756613388</v>
      </c>
    </row>
    <row r="75">
      <c r="A75" s="8">
        <v>42401.0</v>
      </c>
      <c r="B75" s="9">
        <f>IFERROR(__xludf.DUMMYFUNCTION("""COMPUTED_VALUE"""),801.0)</f>
        <v>801</v>
      </c>
      <c r="C75" s="12">
        <v>566.976164099944</v>
      </c>
      <c r="D75" s="12">
        <v>689.124904413462</v>
      </c>
      <c r="E75" s="12">
        <v>475.730535259475</v>
      </c>
      <c r="F75" s="12">
        <v>500.238124505699</v>
      </c>
      <c r="G75" s="12">
        <v>593.48262024082</v>
      </c>
      <c r="H75" s="12">
        <v>805.284809391778</v>
      </c>
      <c r="I75" s="12">
        <v>450.768659687336</v>
      </c>
      <c r="J75" s="12">
        <v>615.775980614009</v>
      </c>
      <c r="K75" s="12">
        <v>788.598304216709</v>
      </c>
      <c r="L75" s="13">
        <v>609.843478327897</v>
      </c>
      <c r="M75" s="12">
        <v>505.683695392715</v>
      </c>
      <c r="N75" s="12">
        <v>773.78661538471</v>
      </c>
      <c r="O75" s="12">
        <v>638.080905369394</v>
      </c>
      <c r="P75" s="12">
        <v>563.435287643836</v>
      </c>
      <c r="Q75" s="12">
        <v>867.744684164174</v>
      </c>
      <c r="R75" s="12">
        <v>737.215000769108</v>
      </c>
      <c r="S75" s="12">
        <v>759.09634097522</v>
      </c>
      <c r="T75" s="12">
        <v>517.0</v>
      </c>
      <c r="U75" s="12">
        <v>798.371457574457</v>
      </c>
      <c r="V75" s="7">
        <v>782.896381869427</v>
      </c>
      <c r="W75" s="7">
        <v>965.466666666667</v>
      </c>
      <c r="X75" s="7">
        <v>705.494132215218</v>
      </c>
    </row>
    <row r="76">
      <c r="A76" s="8">
        <v>42430.0</v>
      </c>
      <c r="B76" s="9">
        <f>IFERROR(__xludf.DUMMYFUNCTION("""COMPUTED_VALUE"""),1933.0)</f>
        <v>1933</v>
      </c>
      <c r="C76" s="12">
        <v>1676.81660559376</v>
      </c>
      <c r="D76" s="12">
        <v>1616.33615293132</v>
      </c>
      <c r="E76" s="12">
        <v>343.272924550997</v>
      </c>
      <c r="F76" s="12">
        <v>46.1570175256333</v>
      </c>
      <c r="G76" s="12">
        <v>1288.44239102676</v>
      </c>
      <c r="H76" s="12">
        <v>1305.31869820417</v>
      </c>
      <c r="I76" s="12">
        <v>1729.98901719638</v>
      </c>
      <c r="J76" s="12">
        <v>135.489067323865</v>
      </c>
      <c r="K76" s="12">
        <v>353.392842985411</v>
      </c>
      <c r="L76" s="13">
        <v>873.58565078534</v>
      </c>
      <c r="M76" s="12">
        <v>91.3298931711345</v>
      </c>
      <c r="N76" s="12">
        <v>400.374803960631</v>
      </c>
      <c r="O76" s="12">
        <v>729.954381250905</v>
      </c>
      <c r="P76" s="12">
        <v>1026.58215348856</v>
      </c>
      <c r="Q76" s="12">
        <v>1601.93429804992</v>
      </c>
      <c r="R76" s="12">
        <v>688.0</v>
      </c>
      <c r="S76" s="12">
        <v>348.304623024568</v>
      </c>
      <c r="T76" s="12">
        <v>534.0</v>
      </c>
      <c r="U76" s="12">
        <v>197.453207635084</v>
      </c>
      <c r="V76" s="7">
        <v>392.907832430532</v>
      </c>
      <c r="W76" s="7">
        <v>2161.6</v>
      </c>
      <c r="X76" s="7">
        <v>309.5</v>
      </c>
    </row>
    <row r="77">
      <c r="A77" s="8">
        <v>42461.0</v>
      </c>
      <c r="B77" s="9">
        <f>IFERROR(__xludf.DUMMYFUNCTION("""COMPUTED_VALUE"""),677.0)</f>
        <v>677</v>
      </c>
      <c r="C77" s="12">
        <v>630.276853705783</v>
      </c>
      <c r="D77" s="12">
        <v>510.48984877016</v>
      </c>
      <c r="E77" s="12">
        <v>402.439751208891</v>
      </c>
      <c r="F77" s="12">
        <v>323.117404661025</v>
      </c>
      <c r="G77" s="12">
        <v>568.569631917961</v>
      </c>
      <c r="H77" s="12">
        <v>487.997571159684</v>
      </c>
      <c r="I77" s="12">
        <v>705.02921524394</v>
      </c>
      <c r="J77" s="12">
        <v>456.714797853348</v>
      </c>
      <c r="K77" s="12">
        <v>584.451408754251</v>
      </c>
      <c r="L77" s="13">
        <v>384.879866277452</v>
      </c>
      <c r="M77" s="12">
        <v>328.30738769782</v>
      </c>
      <c r="N77" s="12">
        <v>676.997395528447</v>
      </c>
      <c r="O77" s="12">
        <v>621.765890751311</v>
      </c>
      <c r="P77" s="12">
        <v>481.303415091117</v>
      </c>
      <c r="Q77" s="12">
        <v>580.578927502026</v>
      </c>
      <c r="R77" s="12">
        <v>627.53497542116</v>
      </c>
      <c r="S77" s="12">
        <v>689.771426642192</v>
      </c>
      <c r="T77" s="12">
        <v>990.0</v>
      </c>
      <c r="U77" s="12">
        <v>648.345466658198</v>
      </c>
      <c r="V77" s="7">
        <v>745.747822438265</v>
      </c>
      <c r="W77" s="7">
        <v>784.466666666666</v>
      </c>
      <c r="X77" s="7">
        <v>187.5</v>
      </c>
    </row>
    <row r="78">
      <c r="A78" s="8">
        <v>42491.0</v>
      </c>
      <c r="B78" s="9">
        <f>IFERROR(__xludf.DUMMYFUNCTION("""COMPUTED_VALUE"""),355.0)</f>
        <v>355</v>
      </c>
      <c r="C78" s="12">
        <v>381.801406385033</v>
      </c>
      <c r="D78" s="12">
        <v>255.212488505336</v>
      </c>
      <c r="E78" s="12">
        <v>452.402175556065</v>
      </c>
      <c r="F78" s="12">
        <v>104.73336931819</v>
      </c>
      <c r="G78" s="12">
        <v>433.113210634829</v>
      </c>
      <c r="H78" s="12">
        <v>644.232345078383</v>
      </c>
      <c r="I78" s="12">
        <v>434.81859907095</v>
      </c>
      <c r="J78" s="12">
        <v>201.823974580347</v>
      </c>
      <c r="K78" s="12">
        <v>367.099354109451</v>
      </c>
      <c r="L78" s="13">
        <v>730.753197275696</v>
      </c>
      <c r="M78" s="12">
        <v>119.624569125897</v>
      </c>
      <c r="N78" s="12">
        <v>329.295121276792</v>
      </c>
      <c r="O78" s="12">
        <v>542.966053678168</v>
      </c>
      <c r="P78" s="12">
        <v>-61.3716550710938</v>
      </c>
      <c r="Q78" s="12">
        <v>485.458654549687</v>
      </c>
      <c r="R78" s="12">
        <v>323.0</v>
      </c>
      <c r="S78" s="12">
        <v>279.0</v>
      </c>
      <c r="T78" s="12">
        <v>523.0</v>
      </c>
      <c r="U78" s="12">
        <v>165.219546100447</v>
      </c>
      <c r="V78" s="7">
        <v>343.76099134662</v>
      </c>
      <c r="W78" s="7">
        <v>1303.06666666667</v>
      </c>
      <c r="X78" s="7">
        <v>199.747578426808</v>
      </c>
    </row>
    <row r="79">
      <c r="A79" s="8">
        <v>42522.0</v>
      </c>
      <c r="B79" s="9">
        <f>IFERROR(__xludf.DUMMYFUNCTION("""COMPUTED_VALUE"""),202.0)</f>
        <v>202</v>
      </c>
      <c r="C79" s="12">
        <v>479.772946540342</v>
      </c>
      <c r="D79" s="12">
        <v>316.385989108193</v>
      </c>
      <c r="E79" s="12">
        <v>638.203864637917</v>
      </c>
      <c r="F79" s="12">
        <v>248.768683817531</v>
      </c>
      <c r="G79" s="12">
        <v>531.656817683133</v>
      </c>
      <c r="H79" s="12">
        <v>137.668049212485</v>
      </c>
      <c r="I79" s="12">
        <v>-8.91327024712742</v>
      </c>
      <c r="J79" s="12">
        <v>368.818944277522</v>
      </c>
      <c r="K79" s="12">
        <v>443.240621399069</v>
      </c>
      <c r="L79" s="13">
        <v>-377.298339928462</v>
      </c>
      <c r="M79" s="12">
        <v>488.252214866226</v>
      </c>
      <c r="N79" s="12">
        <v>589.482610467596</v>
      </c>
      <c r="O79" s="12">
        <v>247.54285601796</v>
      </c>
      <c r="P79" s="12">
        <v>-79.2828563607455</v>
      </c>
      <c r="Q79" s="12">
        <v>424.368393922062</v>
      </c>
      <c r="R79" s="12">
        <v>476.057946695834</v>
      </c>
      <c r="S79" s="12">
        <v>432.307721620452</v>
      </c>
      <c r="T79" s="12">
        <v>515.0</v>
      </c>
      <c r="U79" s="12">
        <v>468.445826781429</v>
      </c>
      <c r="V79" s="7">
        <v>599.484427376014</v>
      </c>
      <c r="W79" s="7">
        <v>215.0</v>
      </c>
      <c r="X79" s="7">
        <v>215.0</v>
      </c>
    </row>
    <row r="80">
      <c r="A80" s="8">
        <v>42552.0</v>
      </c>
      <c r="B80" s="9">
        <f>IFERROR(__xludf.DUMMYFUNCTION("""COMPUTED_VALUE"""),178.0)</f>
        <v>178</v>
      </c>
      <c r="C80" s="12">
        <v>545.560819903582</v>
      </c>
      <c r="D80" s="12">
        <v>230.683841395056</v>
      </c>
      <c r="E80" s="12">
        <v>320.495045131491</v>
      </c>
      <c r="F80" s="12">
        <v>29.8322548279154</v>
      </c>
      <c r="G80" s="12">
        <v>384.998867528613</v>
      </c>
      <c r="H80" s="12">
        <v>426.785672794931</v>
      </c>
      <c r="I80" s="12">
        <v>137.886995605453</v>
      </c>
      <c r="J80" s="12">
        <v>221.638449400309</v>
      </c>
      <c r="K80" s="12">
        <v>298.384281940892</v>
      </c>
      <c r="L80" s="13">
        <v>162.484304993554</v>
      </c>
      <c r="M80" s="12">
        <v>189.717846089786</v>
      </c>
      <c r="N80" s="12">
        <v>485.88384472197</v>
      </c>
      <c r="O80" s="12">
        <v>339.738884085856</v>
      </c>
      <c r="P80" s="12">
        <v>45.438932610663</v>
      </c>
      <c r="Q80" s="12">
        <v>499.531787543768</v>
      </c>
      <c r="R80" s="12">
        <v>172.0</v>
      </c>
      <c r="S80" s="12">
        <v>301.441808560973</v>
      </c>
      <c r="T80" s="12">
        <v>525.0</v>
      </c>
      <c r="U80" s="12">
        <v>403.960773166592</v>
      </c>
      <c r="V80" s="7">
        <v>541.015977908208</v>
      </c>
      <c r="W80" s="7">
        <v>383.081481481481</v>
      </c>
      <c r="X80" s="7">
        <v>237.0</v>
      </c>
    </row>
    <row r="81">
      <c r="A81" s="8">
        <v>42583.0</v>
      </c>
      <c r="B81" s="9">
        <f>IFERROR(__xludf.DUMMYFUNCTION("""COMPUTED_VALUE"""),100.0)</f>
        <v>100</v>
      </c>
      <c r="C81" s="12">
        <v>137.273080187611</v>
      </c>
      <c r="D81" s="12">
        <v>212.316683943983</v>
      </c>
      <c r="E81" s="12">
        <v>310.849621474355</v>
      </c>
      <c r="F81" s="12">
        <v>16.598931286944</v>
      </c>
      <c r="G81" s="12">
        <v>254.168938786447</v>
      </c>
      <c r="H81" s="12">
        <v>376.56092016826</v>
      </c>
      <c r="I81" s="12">
        <v>273.920756649424</v>
      </c>
      <c r="J81" s="12">
        <v>68.9048733519036</v>
      </c>
      <c r="K81" s="12">
        <v>295.933996606642</v>
      </c>
      <c r="L81" s="13">
        <v>288.097993390955</v>
      </c>
      <c r="M81" s="12">
        <v>248.586225795165</v>
      </c>
      <c r="N81" s="12">
        <v>304.865331296686</v>
      </c>
      <c r="O81" s="12">
        <v>290.0</v>
      </c>
      <c r="P81" s="12">
        <v>215.425105673687</v>
      </c>
      <c r="Q81" s="12">
        <v>204.775578047064</v>
      </c>
      <c r="R81" s="12">
        <v>199.0</v>
      </c>
      <c r="S81" s="12">
        <v>290.0</v>
      </c>
      <c r="T81" s="12">
        <v>237.0</v>
      </c>
      <c r="U81" s="12">
        <v>246.072030068354</v>
      </c>
      <c r="V81" s="7">
        <v>246.180484466875</v>
      </c>
      <c r="W81" s="7">
        <v>279.0</v>
      </c>
      <c r="X81" s="7">
        <v>279.0</v>
      </c>
    </row>
    <row r="82">
      <c r="A82" s="8">
        <v>42614.0</v>
      </c>
      <c r="B82" s="9">
        <f>IFERROR(__xludf.DUMMYFUNCTION("""COMPUTED_VALUE"""),161.0)</f>
        <v>161</v>
      </c>
      <c r="C82" s="12">
        <v>108.975587883786</v>
      </c>
      <c r="D82" s="12">
        <v>359.584132986442</v>
      </c>
      <c r="E82" s="12">
        <v>280.569740569058</v>
      </c>
      <c r="F82" s="12">
        <v>1.43301189046887</v>
      </c>
      <c r="G82" s="12">
        <v>83.2159012568777</v>
      </c>
      <c r="H82" s="12">
        <v>419.493449926922</v>
      </c>
      <c r="I82" s="12">
        <v>308.724919592957</v>
      </c>
      <c r="J82" s="12">
        <v>97.293526834734</v>
      </c>
      <c r="K82" s="12">
        <v>283.523243277251</v>
      </c>
      <c r="L82" s="13">
        <v>141.724136054034</v>
      </c>
      <c r="M82" s="12">
        <v>285.947546159757</v>
      </c>
      <c r="N82" s="12">
        <v>262.075679227537</v>
      </c>
      <c r="O82" s="12">
        <v>290.0</v>
      </c>
      <c r="P82" s="12">
        <v>397.133873478714</v>
      </c>
      <c r="Q82" s="12">
        <v>71.1925866585272</v>
      </c>
      <c r="R82" s="12">
        <v>244.0</v>
      </c>
      <c r="S82" s="12">
        <v>290.0</v>
      </c>
      <c r="T82" s="12">
        <v>186.0</v>
      </c>
      <c r="U82" s="12">
        <v>64.8832951028</v>
      </c>
      <c r="V82" s="7">
        <v>275.363425560862</v>
      </c>
      <c r="W82" s="7">
        <v>290.0</v>
      </c>
      <c r="X82" s="7">
        <v>340.0</v>
      </c>
    </row>
    <row r="83">
      <c r="A83" s="8">
        <v>42644.0</v>
      </c>
      <c r="B83" s="9">
        <f>IFERROR(__xludf.DUMMYFUNCTION("""COMPUTED_VALUE"""),1081.0)</f>
        <v>1081</v>
      </c>
      <c r="C83" s="12">
        <v>932.704918520466</v>
      </c>
      <c r="D83" s="12">
        <v>147.755141429436</v>
      </c>
      <c r="E83" s="12">
        <v>303.945250571643</v>
      </c>
      <c r="F83" s="12">
        <v>5.33870795791948</v>
      </c>
      <c r="G83" s="12">
        <v>557.641185721485</v>
      </c>
      <c r="H83" s="12">
        <v>925.72626145259</v>
      </c>
      <c r="I83" s="12">
        <v>493.434511686645</v>
      </c>
      <c r="J83" s="12">
        <v>177.778040712484</v>
      </c>
      <c r="K83" s="12">
        <v>379.928044530812</v>
      </c>
      <c r="L83" s="13">
        <v>1006.90142489811</v>
      </c>
      <c r="M83" s="12">
        <v>612.916626526089</v>
      </c>
      <c r="N83" s="12">
        <v>190.822085920353</v>
      </c>
      <c r="O83" s="12">
        <v>908.716561297222</v>
      </c>
      <c r="P83" s="12">
        <v>1189.84002342723</v>
      </c>
      <c r="Q83" s="12">
        <v>365.426453929132</v>
      </c>
      <c r="R83" s="12">
        <v>623.611269383427</v>
      </c>
      <c r="S83" s="12">
        <v>283.5</v>
      </c>
      <c r="T83" s="12">
        <v>994.0</v>
      </c>
      <c r="U83" s="12">
        <v>176.836914612519</v>
      </c>
      <c r="V83" s="7">
        <v>1130.47786715303</v>
      </c>
      <c r="W83" s="7">
        <v>512.837037037037</v>
      </c>
      <c r="X83" s="7">
        <v>477.79236988022</v>
      </c>
    </row>
    <row r="84">
      <c r="A84" s="8">
        <v>42675.0</v>
      </c>
      <c r="B84" s="9">
        <f>IFERROR(__xludf.DUMMYFUNCTION("""COMPUTED_VALUE"""),61683.0)</f>
        <v>61683</v>
      </c>
      <c r="C84" s="12">
        <v>61682.9996474527</v>
      </c>
      <c r="D84" s="12">
        <v>75973.2889062635</v>
      </c>
      <c r="E84" s="12">
        <v>73972.1876593869</v>
      </c>
      <c r="F84" s="12">
        <v>80369.8745527967</v>
      </c>
      <c r="G84" s="12">
        <v>61683.0029903911</v>
      </c>
      <c r="H84" s="12">
        <v>1008.61591040641</v>
      </c>
      <c r="I84" s="12">
        <v>-28281.9488957394</v>
      </c>
      <c r="J84" s="12">
        <v>69278.255143856</v>
      </c>
      <c r="K84" s="12">
        <v>61674.0687634354</v>
      </c>
      <c r="L84" s="13">
        <v>-29706.9406419372</v>
      </c>
      <c r="M84" s="12">
        <v>69165.8589885191</v>
      </c>
      <c r="N84" s="12">
        <v>61706.1147327608</v>
      </c>
      <c r="O84" s="12">
        <v>62112.2463563788</v>
      </c>
      <c r="P84" s="12">
        <v>287.605096024228</v>
      </c>
      <c r="Q84" s="12">
        <v>61672.758369351</v>
      </c>
      <c r="R84" s="12">
        <v>61642.3012414328</v>
      </c>
      <c r="S84" s="12">
        <v>61675.8242010581</v>
      </c>
      <c r="T84" s="12">
        <v>61679.8691584936</v>
      </c>
      <c r="U84" s="12">
        <v>61683.0009235992</v>
      </c>
      <c r="V84" s="7">
        <v>61788.2624939011</v>
      </c>
      <c r="W84" s="7">
        <v>61735.9875457875</v>
      </c>
      <c r="X84" s="7">
        <v>62278.1097710245</v>
      </c>
    </row>
    <row r="85">
      <c r="A85" s="8">
        <v>42705.0</v>
      </c>
      <c r="B85" s="9">
        <f>IFERROR(__xludf.DUMMYFUNCTION("""COMPUTED_VALUE"""),15625.0)</f>
        <v>15625</v>
      </c>
      <c r="C85" s="12">
        <v>9137.14006274519</v>
      </c>
      <c r="D85" s="12">
        <v>2230.38003805522</v>
      </c>
      <c r="E85" s="12">
        <v>8691.69499374453</v>
      </c>
      <c r="F85" s="12">
        <v>15461.3120487788</v>
      </c>
      <c r="G85" s="12">
        <v>15593.0280945498</v>
      </c>
      <c r="H85" s="12">
        <v>1112.62206533376</v>
      </c>
      <c r="I85" s="12">
        <v>-1115.9682358372</v>
      </c>
      <c r="J85" s="12">
        <v>15625.8403260864</v>
      </c>
      <c r="K85" s="12">
        <v>15600.5339876872</v>
      </c>
      <c r="L85" s="13">
        <v>-1605.67400192347</v>
      </c>
      <c r="M85" s="12">
        <v>15408.1811504868</v>
      </c>
      <c r="N85" s="12">
        <v>9725.73756086798</v>
      </c>
      <c r="O85" s="12">
        <v>15692.3856884181</v>
      </c>
      <c r="P85" s="12">
        <v>4641.08352930137</v>
      </c>
      <c r="Q85" s="12">
        <v>15644.6276800004</v>
      </c>
      <c r="R85" s="12">
        <v>15829.388113357</v>
      </c>
      <c r="S85" s="12">
        <v>15598.7660250123</v>
      </c>
      <c r="T85" s="12">
        <v>14457.9932096889</v>
      </c>
      <c r="U85" s="12">
        <v>17122.6191816203</v>
      </c>
      <c r="V85" s="7">
        <v>15734.0552126203</v>
      </c>
      <c r="W85" s="7">
        <v>435.0</v>
      </c>
      <c r="X85" s="7">
        <v>9097.12570321355</v>
      </c>
    </row>
    <row r="86">
      <c r="A86" s="8">
        <v>42736.0</v>
      </c>
      <c r="B86" s="9">
        <f>IFERROR(__xludf.DUMMYFUNCTION("""COMPUTED_VALUE"""),1978.0)</f>
        <v>1978</v>
      </c>
      <c r="C86" s="12">
        <v>2962.70540339255</v>
      </c>
      <c r="D86" s="12">
        <v>147.556762361968</v>
      </c>
      <c r="E86" s="12">
        <v>2668.9945980823</v>
      </c>
      <c r="F86" s="12">
        <v>832.037562966536</v>
      </c>
      <c r="G86" s="12">
        <v>1693.01286210271</v>
      </c>
      <c r="H86" s="12">
        <v>663.448588402134</v>
      </c>
      <c r="I86" s="12">
        <v>375.321473154519</v>
      </c>
      <c r="J86" s="12">
        <v>867.698458987664</v>
      </c>
      <c r="K86" s="12">
        <v>1215.11203839879</v>
      </c>
      <c r="L86" s="13">
        <v>-1171.39249315752</v>
      </c>
      <c r="M86" s="12">
        <v>1299.97886029524</v>
      </c>
      <c r="N86" s="12">
        <v>1032.33265078831</v>
      </c>
      <c r="O86" s="12">
        <v>909.681651802761</v>
      </c>
      <c r="P86" s="12">
        <v>84.7246900261403</v>
      </c>
      <c r="Q86" s="12">
        <v>1364.10071041762</v>
      </c>
      <c r="R86" s="12">
        <v>1236.72395623782</v>
      </c>
      <c r="S86" s="12">
        <v>518.413850871697</v>
      </c>
      <c r="T86" s="12">
        <v>1497.50546409706</v>
      </c>
      <c r="U86" s="12">
        <v>4964.58761392333</v>
      </c>
      <c r="V86" s="7">
        <v>762.569379786615</v>
      </c>
      <c r="W86" s="7">
        <v>1361.78059388853</v>
      </c>
      <c r="X86" s="7">
        <v>278.0</v>
      </c>
    </row>
    <row r="87">
      <c r="A87" s="8">
        <v>42767.0</v>
      </c>
      <c r="B87" s="9">
        <f>IFERROR(__xludf.DUMMYFUNCTION("""COMPUTED_VALUE"""),12133.0)</f>
        <v>12133</v>
      </c>
      <c r="C87" s="12">
        <v>12199.9302163752</v>
      </c>
      <c r="D87" s="12">
        <v>3081.92375044634</v>
      </c>
      <c r="E87" s="12">
        <v>3682.52105287537</v>
      </c>
      <c r="F87" s="12">
        <v>11939.3011132305</v>
      </c>
      <c r="G87" s="12">
        <v>12132.9833537289</v>
      </c>
      <c r="H87" s="12">
        <v>3268.2312827434</v>
      </c>
      <c r="I87" s="12">
        <v>2319.04500296959</v>
      </c>
      <c r="J87" s="12">
        <v>12133.2233062772</v>
      </c>
      <c r="K87" s="12">
        <v>12127.0306591981</v>
      </c>
      <c r="L87" s="13">
        <v>1864.49987002525</v>
      </c>
      <c r="M87" s="12">
        <v>12229.2540799025</v>
      </c>
      <c r="N87" s="12">
        <v>13383.3825657693</v>
      </c>
      <c r="O87" s="12">
        <v>12201.24529492</v>
      </c>
      <c r="P87" s="12">
        <v>2521.14219816172</v>
      </c>
      <c r="Q87" s="12">
        <v>12210.6505114756</v>
      </c>
      <c r="R87" s="12">
        <v>4688.50719858441</v>
      </c>
      <c r="S87" s="12">
        <v>12153.497771032</v>
      </c>
      <c r="T87" s="12">
        <v>4083.49471502115</v>
      </c>
      <c r="U87" s="12">
        <v>12133.0017177345</v>
      </c>
      <c r="V87" s="7">
        <v>12164.5423595251</v>
      </c>
      <c r="W87" s="7">
        <v>405.0</v>
      </c>
      <c r="X87" s="7">
        <v>312.0</v>
      </c>
    </row>
    <row r="88">
      <c r="A88" s="8">
        <v>42795.0</v>
      </c>
      <c r="B88" s="9">
        <f>IFERROR(__xludf.DUMMYFUNCTION("""COMPUTED_VALUE"""),7316.0)</f>
        <v>7316</v>
      </c>
      <c r="C88" s="12">
        <v>8545.98537624924</v>
      </c>
      <c r="D88" s="12">
        <v>6486.45281425714</v>
      </c>
      <c r="E88" s="12">
        <v>8585.55013776697</v>
      </c>
      <c r="F88" s="12">
        <v>7199.35774716459</v>
      </c>
      <c r="G88" s="12">
        <v>6998.27219661268</v>
      </c>
      <c r="H88" s="12">
        <v>3114.0103062838</v>
      </c>
      <c r="I88" s="12">
        <v>37780.7250618956</v>
      </c>
      <c r="J88" s="12">
        <v>7307.64428740817</v>
      </c>
      <c r="K88" s="12">
        <v>7311.55163998937</v>
      </c>
      <c r="L88" s="13">
        <v>38520.7891374787</v>
      </c>
      <c r="M88" s="12">
        <v>6965.96740978272</v>
      </c>
      <c r="N88" s="12">
        <v>6066.6647185995</v>
      </c>
      <c r="O88" s="12">
        <v>7371.88735331976</v>
      </c>
      <c r="P88" s="12">
        <v>3366.53478782608</v>
      </c>
      <c r="Q88" s="12">
        <v>7403.89362737397</v>
      </c>
      <c r="R88" s="12">
        <v>7370.46598995574</v>
      </c>
      <c r="S88" s="12">
        <v>6220.04146913926</v>
      </c>
      <c r="T88" s="12">
        <v>5215.80047489436</v>
      </c>
      <c r="U88" s="12">
        <v>10330.6624824737</v>
      </c>
      <c r="V88" s="7">
        <v>6845.89106272783</v>
      </c>
      <c r="W88" s="7">
        <v>2953.0</v>
      </c>
      <c r="X88" s="7">
        <v>1093.16666666667</v>
      </c>
    </row>
    <row r="89">
      <c r="A89" s="8">
        <v>42826.0</v>
      </c>
      <c r="B89" s="9">
        <f>IFERROR(__xludf.DUMMYFUNCTION("""COMPUTED_VALUE"""),5654.0)</f>
        <v>5654</v>
      </c>
      <c r="C89" s="12">
        <v>6155.74543508074</v>
      </c>
      <c r="D89" s="12">
        <v>888.341604316875</v>
      </c>
      <c r="E89" s="12">
        <v>5753.16900292306</v>
      </c>
      <c r="F89" s="12">
        <v>7763.4158798018</v>
      </c>
      <c r="G89" s="12">
        <v>7124.35996121978</v>
      </c>
      <c r="H89" s="12">
        <v>3639.26801776599</v>
      </c>
      <c r="I89" s="12">
        <v>3883.77592081459</v>
      </c>
      <c r="J89" s="12">
        <v>6114.41347043759</v>
      </c>
      <c r="K89" s="12">
        <v>7539.71826334198</v>
      </c>
      <c r="L89" s="13">
        <v>3193.45671953372</v>
      </c>
      <c r="M89" s="12">
        <v>5725.14743251395</v>
      </c>
      <c r="N89" s="12">
        <v>6023.09084857427</v>
      </c>
      <c r="O89" s="12">
        <v>5887.15322811368</v>
      </c>
      <c r="P89" s="12">
        <v>49466.5017719852</v>
      </c>
      <c r="Q89" s="12">
        <v>5310.61293488802</v>
      </c>
      <c r="R89" s="12">
        <v>5878.6580150809</v>
      </c>
      <c r="S89" s="12">
        <v>5615.02670079655</v>
      </c>
      <c r="T89" s="12">
        <v>5129.57077897868</v>
      </c>
      <c r="U89" s="12">
        <v>7655.87704642149</v>
      </c>
      <c r="V89" s="7">
        <v>5813.108404688</v>
      </c>
      <c r="W89" s="7">
        <v>2587.16666666667</v>
      </c>
      <c r="X89" s="7">
        <v>1310.66666666667</v>
      </c>
    </row>
    <row r="90">
      <c r="A90" s="8">
        <v>42856.0</v>
      </c>
      <c r="B90" s="9">
        <f>IFERROR(__xludf.DUMMYFUNCTION("""COMPUTED_VALUE"""),3421.0)</f>
        <v>3421</v>
      </c>
      <c r="C90" s="12">
        <v>2717.84664375797</v>
      </c>
      <c r="D90" s="12">
        <v>3581.68769007744</v>
      </c>
      <c r="E90" s="12">
        <v>3879.06523775309</v>
      </c>
      <c r="F90" s="12">
        <v>3982.45002457091</v>
      </c>
      <c r="G90" s="12">
        <v>3721.79131521167</v>
      </c>
      <c r="H90" s="12">
        <v>3396.23928582076</v>
      </c>
      <c r="I90" s="12">
        <v>2955.47748064555</v>
      </c>
      <c r="J90" s="12">
        <v>3479.45098758475</v>
      </c>
      <c r="K90" s="12">
        <v>3887.6045921884</v>
      </c>
      <c r="L90" s="13">
        <v>3078.94131771543</v>
      </c>
      <c r="M90" s="12">
        <v>3546.30655886937</v>
      </c>
      <c r="N90" s="12">
        <v>5421.2690939938</v>
      </c>
      <c r="O90" s="12">
        <v>3461.38358215994</v>
      </c>
      <c r="P90" s="12">
        <v>3388.62644261189</v>
      </c>
      <c r="Q90" s="12">
        <v>3540.38027483862</v>
      </c>
      <c r="R90" s="12">
        <v>7011.55870215203</v>
      </c>
      <c r="S90" s="12">
        <v>3656.03443516772</v>
      </c>
      <c r="T90" s="12">
        <v>6126.49245676729</v>
      </c>
      <c r="U90" s="12">
        <v>7431.76497158169</v>
      </c>
      <c r="V90" s="7">
        <v>4074.52617900649</v>
      </c>
      <c r="W90" s="7">
        <v>2703.85524850787</v>
      </c>
      <c r="X90" s="7">
        <v>1483.5</v>
      </c>
    </row>
    <row r="91">
      <c r="A91" s="8">
        <v>42887.0</v>
      </c>
      <c r="B91" s="9">
        <f>IFERROR(__xludf.DUMMYFUNCTION("""COMPUTED_VALUE"""),2710.0)</f>
        <v>2710</v>
      </c>
      <c r="C91" s="12">
        <v>2814.82236806848</v>
      </c>
      <c r="D91" s="12">
        <v>2977.44570174396</v>
      </c>
      <c r="E91" s="12">
        <v>2472.51468442609</v>
      </c>
      <c r="F91" s="12">
        <v>4926.25904557147</v>
      </c>
      <c r="G91" s="12">
        <v>2532.33060895739</v>
      </c>
      <c r="H91" s="12">
        <v>3167.73628284646</v>
      </c>
      <c r="I91" s="12">
        <v>3103.85409702293</v>
      </c>
      <c r="J91" s="12">
        <v>2578.69995042524</v>
      </c>
      <c r="K91" s="12">
        <v>2493.31908934764</v>
      </c>
      <c r="L91" s="13">
        <v>2070.90081088672</v>
      </c>
      <c r="M91" s="12">
        <v>2626.59571744341</v>
      </c>
      <c r="N91" s="12">
        <v>4042.87344712762</v>
      </c>
      <c r="O91" s="12">
        <v>2887.25712298396</v>
      </c>
      <c r="P91" s="12">
        <v>2747.27221744202</v>
      </c>
      <c r="Q91" s="12">
        <v>2945.40474287352</v>
      </c>
      <c r="R91" s="12">
        <v>2811.94131839247</v>
      </c>
      <c r="S91" s="12">
        <v>2903.32906577965</v>
      </c>
      <c r="T91" s="12">
        <v>4729.67641852701</v>
      </c>
      <c r="U91" s="12">
        <v>2402.86947962256</v>
      </c>
      <c r="V91" s="7">
        <v>1886.4973817963</v>
      </c>
      <c r="W91" s="7">
        <v>2034.55752837098</v>
      </c>
      <c r="X91" s="7">
        <v>1769.66666666667</v>
      </c>
    </row>
    <row r="92">
      <c r="A92" s="8">
        <v>42917.0</v>
      </c>
      <c r="B92" s="9">
        <f>IFERROR(__xludf.DUMMYFUNCTION("""COMPUTED_VALUE"""),1085.0)</f>
        <v>1085</v>
      </c>
      <c r="C92" s="12">
        <v>1375.94820348028</v>
      </c>
      <c r="D92" s="12">
        <v>6784.33726712022</v>
      </c>
      <c r="E92" s="12">
        <v>1968.75011927965</v>
      </c>
      <c r="F92" s="12">
        <v>1376.52448667723</v>
      </c>
      <c r="G92" s="12">
        <v>717.65746144747</v>
      </c>
      <c r="H92" s="12">
        <v>1662.77680893323</v>
      </c>
      <c r="I92" s="12">
        <v>1745.27671896206</v>
      </c>
      <c r="J92" s="12">
        <v>1339.29605569375</v>
      </c>
      <c r="K92" s="12">
        <v>1225.44495846368</v>
      </c>
      <c r="L92" s="13">
        <v>1616.33114465943</v>
      </c>
      <c r="M92" s="12">
        <v>702.750509216373</v>
      </c>
      <c r="N92" s="12">
        <v>4464.94574280022</v>
      </c>
      <c r="O92" s="12">
        <v>3857.05714135728</v>
      </c>
      <c r="P92" s="12">
        <v>3771.69068586473</v>
      </c>
      <c r="Q92" s="12">
        <v>8704.32026467698</v>
      </c>
      <c r="R92" s="12">
        <v>706.158261386954</v>
      </c>
      <c r="S92" s="12">
        <v>5417.77461333395</v>
      </c>
      <c r="T92" s="12">
        <v>1719.89324245357</v>
      </c>
      <c r="U92" s="12">
        <v>9239.66356847326</v>
      </c>
      <c r="V92" s="7">
        <v>6292.83961398208</v>
      </c>
      <c r="W92" s="7">
        <v>2724.40402949116</v>
      </c>
      <c r="X92" s="7">
        <v>2041.0</v>
      </c>
    </row>
    <row r="93">
      <c r="A93" s="8">
        <v>42948.0</v>
      </c>
      <c r="B93" s="9">
        <f>IFERROR(__xludf.DUMMYFUNCTION("""COMPUTED_VALUE"""),1276.0)</f>
        <v>1276</v>
      </c>
      <c r="C93" s="12">
        <v>1347.42392368977</v>
      </c>
      <c r="D93" s="12">
        <v>2879.76215014363</v>
      </c>
      <c r="E93" s="12">
        <v>4109.18003643604</v>
      </c>
      <c r="F93" s="12">
        <v>5542.14703276703</v>
      </c>
      <c r="G93" s="12">
        <v>1412.55022343362</v>
      </c>
      <c r="H93" s="12">
        <v>1747.38747074479</v>
      </c>
      <c r="I93" s="12">
        <v>701.245575432498</v>
      </c>
      <c r="J93" s="12">
        <v>1281.07245337032</v>
      </c>
      <c r="K93" s="12">
        <v>1305.62208730543</v>
      </c>
      <c r="L93" s="13">
        <v>902.0</v>
      </c>
      <c r="M93" s="12">
        <v>1290.46548622941</v>
      </c>
      <c r="N93" s="12">
        <v>11469.8672381439</v>
      </c>
      <c r="O93" s="12">
        <v>5718.11510597018</v>
      </c>
      <c r="P93" s="12">
        <v>4726.24638135748</v>
      </c>
      <c r="Q93" s="12">
        <v>-8558.48552837764</v>
      </c>
      <c r="R93" s="12">
        <v>2033.40965811353</v>
      </c>
      <c r="S93" s="12">
        <v>5177.11737941764</v>
      </c>
      <c r="T93" s="12">
        <v>16849.8773127526</v>
      </c>
      <c r="U93" s="12">
        <v>8374.70223582503</v>
      </c>
      <c r="V93" s="7">
        <v>8744.10892876724</v>
      </c>
      <c r="W93" s="7">
        <v>2334.64878479047</v>
      </c>
      <c r="X93" s="7">
        <v>1933.0</v>
      </c>
    </row>
    <row r="94">
      <c r="A94" s="14">
        <v>42979.0</v>
      </c>
      <c r="B94" s="9">
        <f>IFERROR(__xludf.DUMMYFUNCTION("""COMPUTED_VALUE"""),3572.0)</f>
        <v>3572</v>
      </c>
      <c r="C94" s="12">
        <v>4778.94706928457</v>
      </c>
      <c r="D94" s="12">
        <v>3762.50006607394</v>
      </c>
      <c r="E94" s="12">
        <v>2351.47272716196</v>
      </c>
      <c r="F94" s="12">
        <v>2399.28914225659</v>
      </c>
      <c r="G94" s="12">
        <v>2453.15796108131</v>
      </c>
      <c r="H94" s="12">
        <v>3218.96194836139</v>
      </c>
      <c r="I94" s="12">
        <v>3378.13416855858</v>
      </c>
      <c r="J94" s="12">
        <v>4563.97652308429</v>
      </c>
      <c r="K94" s="12">
        <v>3698.60759539836</v>
      </c>
      <c r="L94" s="13">
        <v>3015.76633937867</v>
      </c>
      <c r="M94" s="12">
        <v>4197.66268344716</v>
      </c>
      <c r="N94" s="12">
        <v>2462.94161466109</v>
      </c>
      <c r="O94" s="12">
        <v>5654.07618847637</v>
      </c>
      <c r="P94" s="12">
        <v>19692.7060656314</v>
      </c>
      <c r="Q94" s="12">
        <v>5591.04175775607</v>
      </c>
      <c r="R94" s="12">
        <v>1283.54494902771</v>
      </c>
      <c r="S94" s="12">
        <v>5655.69349089607</v>
      </c>
      <c r="T94" s="12">
        <v>1130.0</v>
      </c>
      <c r="U94" s="12">
        <v>3165.51939185581</v>
      </c>
      <c r="V94" s="7">
        <v>3635.99635561598</v>
      </c>
      <c r="W94" s="7">
        <v>4202.3354248954</v>
      </c>
      <c r="X94" s="7">
        <v>3443.0</v>
      </c>
    </row>
    <row r="95">
      <c r="A95" s="14">
        <v>43009.0</v>
      </c>
      <c r="B95" s="9">
        <f>IFERROR(__xludf.DUMMYFUNCTION("""COMPUTED_VALUE"""),2924.0)</f>
        <v>2924</v>
      </c>
      <c r="C95" s="12">
        <v>3471.95977984222</v>
      </c>
      <c r="D95" s="12">
        <v>3788.07607338077</v>
      </c>
      <c r="E95" s="12">
        <v>11221.1698100773</v>
      </c>
      <c r="F95" s="12">
        <v>8427.45217059187</v>
      </c>
      <c r="G95" s="12">
        <v>3466.2641555223</v>
      </c>
      <c r="H95" s="12">
        <v>1391.37471501666</v>
      </c>
      <c r="I95" s="12">
        <v>4684.1215690343</v>
      </c>
      <c r="J95" s="12">
        <v>21149.0870912874</v>
      </c>
      <c r="K95" s="12">
        <v>20295.7471636276</v>
      </c>
      <c r="L95" s="13">
        <v>4427.39472312398</v>
      </c>
      <c r="M95" s="12">
        <v>20649.5507940678</v>
      </c>
      <c r="N95" s="12">
        <v>6734.26411799682</v>
      </c>
      <c r="O95" s="12">
        <v>5657.5714266966</v>
      </c>
      <c r="P95" s="12">
        <v>10032.1525604003</v>
      </c>
      <c r="Q95" s="12">
        <v>9628.25811933779</v>
      </c>
      <c r="R95" s="12">
        <v>2231.0212249179</v>
      </c>
      <c r="S95" s="12">
        <v>6087.38705688445</v>
      </c>
      <c r="T95" s="12">
        <v>1019.0</v>
      </c>
      <c r="U95" s="12">
        <v>7317.0809089123</v>
      </c>
      <c r="V95" s="7">
        <v>8412.71811236962</v>
      </c>
      <c r="W95" s="7">
        <v>100578.461538462</v>
      </c>
      <c r="X95" s="7">
        <v>292012.8</v>
      </c>
    </row>
    <row r="96">
      <c r="A96" s="14">
        <v>43040.0</v>
      </c>
      <c r="B96" s="9">
        <f>IFERROR(__xludf.DUMMYFUNCTION("""COMPUTED_VALUE"""),6310.0)</f>
        <v>6310</v>
      </c>
      <c r="C96" s="12">
        <v>3962.28304818787</v>
      </c>
      <c r="D96" s="12">
        <v>5027.61546218176</v>
      </c>
      <c r="E96" s="12">
        <v>31301.2944767279</v>
      </c>
      <c r="F96" s="12">
        <v>28273.9743608343</v>
      </c>
      <c r="G96" s="12">
        <v>3716.43787896937</v>
      </c>
      <c r="H96" s="12">
        <v>30072.5225209545</v>
      </c>
      <c r="I96" s="12">
        <v>3295.34660026507</v>
      </c>
      <c r="J96" s="12">
        <v>14588.8541172642</v>
      </c>
      <c r="K96" s="12">
        <v>11505.9717198327</v>
      </c>
      <c r="L96" s="13">
        <v>11971.1168731496</v>
      </c>
      <c r="M96" s="12">
        <v>12025.3803894957</v>
      </c>
      <c r="N96" s="12">
        <v>5140.72778029264</v>
      </c>
      <c r="O96" s="12">
        <v>5710.0</v>
      </c>
      <c r="P96" s="12">
        <v>7097.44194982929</v>
      </c>
      <c r="Q96" s="12">
        <v>251114.345039356</v>
      </c>
      <c r="R96" s="12">
        <v>27800.6241697655</v>
      </c>
      <c r="S96" s="12">
        <v>5710.0</v>
      </c>
      <c r="T96" s="12">
        <v>4538.0</v>
      </c>
      <c r="U96" s="12">
        <v>9523.2596243188</v>
      </c>
      <c r="V96" s="7">
        <v>32794.8610812218</v>
      </c>
      <c r="W96" s="7">
        <v>19698.0</v>
      </c>
      <c r="X96" s="7">
        <v>3443.0</v>
      </c>
    </row>
    <row r="97">
      <c r="A97" s="14">
        <v>43070.0</v>
      </c>
      <c r="B97" s="9">
        <f>IFERROR(__xludf.DUMMYFUNCTION("""COMPUTED_VALUE"""),2267.0)</f>
        <v>2267</v>
      </c>
      <c r="C97" s="12">
        <v>4444.60888820258</v>
      </c>
      <c r="D97" s="12">
        <v>4311.80678383305</v>
      </c>
      <c r="E97" s="12">
        <v>10283.6208735314</v>
      </c>
      <c r="F97" s="12">
        <v>10042.6686061209</v>
      </c>
      <c r="G97" s="12">
        <v>9422.12181331097</v>
      </c>
      <c r="H97" s="12">
        <v>6305.18327761611</v>
      </c>
      <c r="I97" s="12">
        <v>-10796.8423240518</v>
      </c>
      <c r="J97" s="12">
        <v>8678.93146084153</v>
      </c>
      <c r="K97" s="12">
        <v>2555.20396809607</v>
      </c>
      <c r="L97" s="12">
        <v>1979.0</v>
      </c>
      <c r="M97" s="12">
        <v>7921.83331918347</v>
      </c>
      <c r="N97" s="12">
        <v>32975.1935839678</v>
      </c>
      <c r="O97" s="12">
        <v>295.476010411696</v>
      </c>
      <c r="P97" s="12">
        <v>28362.9217331466</v>
      </c>
      <c r="Q97" s="12">
        <v>9734.30930150895</v>
      </c>
      <c r="R97" s="12">
        <v>4687.08142763879</v>
      </c>
      <c r="S97" s="12">
        <v>27097.8402640049</v>
      </c>
      <c r="T97" s="12">
        <v>32708.5476722087</v>
      </c>
      <c r="U97" s="12">
        <v>32799.6696751837</v>
      </c>
      <c r="V97" s="7">
        <v>43773.642338586</v>
      </c>
      <c r="W97" s="7">
        <v>2549.5</v>
      </c>
      <c r="X97" s="7">
        <v>32253.0132971577</v>
      </c>
    </row>
    <row r="98">
      <c r="A98" s="19">
        <v>43101.0</v>
      </c>
      <c r="B98" s="43">
        <f>IFERROR(__xludf.DUMMYFUNCTION("""COMPUTED_VALUE"""),2194.0)</f>
        <v>2194</v>
      </c>
      <c r="C98" s="12">
        <v>6325.46568422647</v>
      </c>
      <c r="D98" s="12">
        <v>3520.11672875328</v>
      </c>
      <c r="E98" s="12">
        <v>10111.7217039927</v>
      </c>
      <c r="F98" s="12">
        <v>7271.58366887762</v>
      </c>
      <c r="G98" s="12">
        <v>2440.22736175202</v>
      </c>
      <c r="H98" s="12">
        <v>4679.21499335202</v>
      </c>
      <c r="I98" s="12">
        <v>1374.5705713896</v>
      </c>
      <c r="J98" s="12">
        <v>7224.32533754602</v>
      </c>
      <c r="K98" s="12">
        <v>3586.71935535285</v>
      </c>
      <c r="L98" s="12">
        <v>4392.45815425502</v>
      </c>
      <c r="M98" s="12">
        <v>3883.60976865192</v>
      </c>
      <c r="N98" s="12">
        <v>2207.24110739902</v>
      </c>
      <c r="O98" s="12">
        <v>-1938.41202831696</v>
      </c>
      <c r="P98" s="12">
        <v>18218.094103036</v>
      </c>
      <c r="Q98" s="12">
        <v>101478.039272849</v>
      </c>
      <c r="R98" s="12">
        <v>798.634769168133</v>
      </c>
      <c r="S98" s="12">
        <v>1900.98852177484</v>
      </c>
      <c r="T98" s="12">
        <v>14296.0</v>
      </c>
      <c r="U98" s="12">
        <v>10687.6364679333</v>
      </c>
      <c r="V98" s="7">
        <v>17442.767239184</v>
      </c>
      <c r="W98" s="7">
        <v>3824.73333333333</v>
      </c>
      <c r="X98" s="7">
        <v>3701.11075056316</v>
      </c>
    </row>
    <row r="99">
      <c r="A99" s="19">
        <v>43132.0</v>
      </c>
      <c r="B99" s="9">
        <f>IFERROR(__xludf.DUMMYFUNCTION("""COMPUTED_VALUE"""),4642.0)</f>
        <v>4642</v>
      </c>
      <c r="C99" s="12">
        <v>2937.26735896591</v>
      </c>
      <c r="D99" s="12">
        <v>1838.62726830917</v>
      </c>
      <c r="E99" s="12">
        <v>2523.7095256937</v>
      </c>
      <c r="F99" s="12">
        <v>4818.9865378772</v>
      </c>
      <c r="G99" s="12">
        <v>1591.03288263308</v>
      </c>
      <c r="H99" s="12">
        <v>3899.18882099171</v>
      </c>
      <c r="I99" s="12">
        <v>2025.87593971696</v>
      </c>
      <c r="J99" s="12">
        <v>2490.97268465567</v>
      </c>
      <c r="K99" s="12">
        <v>1481.35995863087</v>
      </c>
      <c r="L99" s="12">
        <v>1936.46096896402</v>
      </c>
      <c r="M99" s="12">
        <v>1354.43817077855</v>
      </c>
      <c r="N99" s="12">
        <v>4842.31859660643</v>
      </c>
      <c r="O99" s="12">
        <v>1005.93746696237</v>
      </c>
      <c r="P99" s="12">
        <v>8005.51638421322</v>
      </c>
      <c r="Q99" s="12">
        <v>17944.2115533001</v>
      </c>
      <c r="R99" s="12">
        <v>582.417956830702</v>
      </c>
      <c r="S99" s="12">
        <v>1053.56330881738</v>
      </c>
      <c r="T99" s="12">
        <v>1527.0</v>
      </c>
      <c r="U99" s="12">
        <v>5067.05338736711</v>
      </c>
      <c r="V99" s="7">
        <v>3535.73345803838</v>
      </c>
      <c r="W99" s="7">
        <v>2549.5</v>
      </c>
      <c r="X99" s="7">
        <v>2549.5</v>
      </c>
    </row>
    <row r="100">
      <c r="A100" s="15">
        <v>43160.0</v>
      </c>
      <c r="B100" s="9">
        <f>IFERROR(__xludf.DUMMYFUNCTION("""COMPUTED_VALUE"""),1889.0)</f>
        <v>1889</v>
      </c>
      <c r="C100" s="12">
        <v>1908.84520890272</v>
      </c>
      <c r="D100" s="12">
        <v>4410.25179291819</v>
      </c>
      <c r="E100" s="12">
        <v>964.027850603092</v>
      </c>
      <c r="F100" s="12">
        <v>2100.5380654727</v>
      </c>
      <c r="G100" s="12">
        <v>2748.90112621925</v>
      </c>
      <c r="H100" s="12">
        <v>7652.35552095609</v>
      </c>
      <c r="I100" s="12">
        <v>3293.52447455037</v>
      </c>
      <c r="J100" s="12">
        <v>2587.53665243362</v>
      </c>
      <c r="K100" s="12">
        <v>2055.65768115053</v>
      </c>
      <c r="L100" s="12">
        <v>3977.01472355838</v>
      </c>
      <c r="M100" s="12">
        <v>1993.93991022451</v>
      </c>
      <c r="N100" s="12">
        <v>6584.23636794083</v>
      </c>
      <c r="O100" s="12">
        <v>1868.74252311938</v>
      </c>
      <c r="P100" s="12">
        <v>3765.24954165738</v>
      </c>
      <c r="Q100" s="12">
        <v>5734.33949302848</v>
      </c>
      <c r="R100" s="12">
        <v>2442.22287333578</v>
      </c>
      <c r="S100" s="12">
        <v>3070.52921590502</v>
      </c>
      <c r="T100" s="12">
        <v>1719.0</v>
      </c>
      <c r="U100" s="12">
        <v>4050.80743991534</v>
      </c>
      <c r="V100" s="7">
        <v>5162.59783419926</v>
      </c>
      <c r="W100" s="7">
        <v>3087.5</v>
      </c>
      <c r="X100" s="7">
        <v>2866.48964028582</v>
      </c>
    </row>
    <row r="101">
      <c r="A101" s="15">
        <v>43191.0</v>
      </c>
      <c r="B101" s="9">
        <f>IFERROR(__xludf.DUMMYFUNCTION("""COMPUTED_VALUE"""),2553.0)</f>
        <v>2553</v>
      </c>
      <c r="C101" s="12">
        <v>2297.84947540912</v>
      </c>
      <c r="D101" s="12">
        <v>1738.64792074293</v>
      </c>
      <c r="E101" s="12">
        <v>1417.89873014847</v>
      </c>
      <c r="F101" s="12">
        <v>1210.07741300255</v>
      </c>
      <c r="G101" s="12">
        <v>1539.49126965692</v>
      </c>
      <c r="H101" s="12">
        <v>68941.1728804363</v>
      </c>
      <c r="I101" s="12">
        <v>2992.45471488401</v>
      </c>
      <c r="J101" s="12">
        <v>2360.03807737281</v>
      </c>
      <c r="K101" s="12">
        <v>867.980962263403</v>
      </c>
      <c r="L101" s="12">
        <v>2626.96300365781</v>
      </c>
      <c r="M101" s="12">
        <v>1169.70500112577</v>
      </c>
      <c r="N101" s="12">
        <v>3318.84315153657</v>
      </c>
      <c r="O101" s="12">
        <v>285.288616064948</v>
      </c>
      <c r="P101" s="12">
        <v>7388.87197211422</v>
      </c>
      <c r="Q101" s="12">
        <v>11888.8491884694</v>
      </c>
      <c r="R101" s="12">
        <v>6216.25474274548</v>
      </c>
      <c r="S101" s="12">
        <v>2245.74910888902</v>
      </c>
      <c r="T101" s="12">
        <v>4229.0</v>
      </c>
      <c r="U101" s="12">
        <v>6447.62582971672</v>
      </c>
      <c r="V101" s="7">
        <v>12523.8342081272</v>
      </c>
      <c r="W101" s="7">
        <v>3543.5</v>
      </c>
      <c r="X101" s="7">
        <v>3296.34001499628</v>
      </c>
    </row>
    <row r="102">
      <c r="A102" s="48">
        <v>43221.0</v>
      </c>
      <c r="B102" s="9">
        <f>IFERROR(__xludf.DUMMYFUNCTION("""COMPUTED_VALUE"""),6143.0)</f>
        <v>6143</v>
      </c>
      <c r="C102" s="12">
        <v>4880.69489395382</v>
      </c>
      <c r="D102" s="12">
        <v>3050.20383795729</v>
      </c>
      <c r="E102" s="12">
        <v>6175.31972710575</v>
      </c>
      <c r="F102" s="12">
        <v>5948.80383662304</v>
      </c>
      <c r="G102" s="12">
        <v>1677.73345042389</v>
      </c>
      <c r="H102" s="12">
        <v>53432.2619705752</v>
      </c>
      <c r="I102" s="12">
        <v>2834.28223895574</v>
      </c>
      <c r="J102" s="12">
        <v>7057.33394729637</v>
      </c>
      <c r="K102" s="12">
        <v>5873.77452610652</v>
      </c>
      <c r="L102" s="12">
        <v>247.0</v>
      </c>
      <c r="M102" s="12">
        <v>4947.90959002946</v>
      </c>
      <c r="N102" s="12">
        <v>442.784359373509</v>
      </c>
      <c r="O102" s="12">
        <v>-3236.36124998578</v>
      </c>
      <c r="P102" s="12">
        <v>13616.5809587807</v>
      </c>
      <c r="Q102" s="12">
        <v>65947.5153034155</v>
      </c>
      <c r="R102" s="12">
        <v>880.506877432841</v>
      </c>
      <c r="S102" s="12">
        <v>-1921.09247858338</v>
      </c>
      <c r="T102" s="12">
        <v>3683.0</v>
      </c>
      <c r="U102" s="12">
        <v>19722.3846963374</v>
      </c>
      <c r="V102" s="7">
        <v>6058.86216563851</v>
      </c>
      <c r="W102" s="7">
        <v>2194.0</v>
      </c>
      <c r="X102" s="7">
        <v>1757.60987563842</v>
      </c>
    </row>
    <row r="103">
      <c r="A103" s="15">
        <v>43252.0</v>
      </c>
      <c r="B103" s="9">
        <f>IFERROR(__xludf.DUMMYFUNCTION("""COMPUTED_VALUE"""),3711.0)</f>
        <v>3711</v>
      </c>
      <c r="C103" s="7">
        <v>9435.30722781305</v>
      </c>
      <c r="D103" s="7">
        <v>5982.19222912677</v>
      </c>
      <c r="E103" s="7">
        <v>31191.8789664207</v>
      </c>
      <c r="F103" s="7">
        <v>28070.0836876531</v>
      </c>
      <c r="G103" s="7">
        <v>11559.6924214448</v>
      </c>
      <c r="H103" s="7">
        <v>55942.0027886601</v>
      </c>
      <c r="I103" s="7">
        <v>4218.41887291066</v>
      </c>
      <c r="J103" s="7">
        <v>-24767.9694104989</v>
      </c>
      <c r="K103" s="7">
        <v>17951.0504612213</v>
      </c>
      <c r="L103" s="7">
        <v>3084.68256374715</v>
      </c>
      <c r="M103" s="7">
        <v>-26054.9021481738</v>
      </c>
      <c r="N103" s="7">
        <v>-23151.4649670488</v>
      </c>
      <c r="O103" s="7">
        <v>16126.4206651299</v>
      </c>
      <c r="P103" s="7">
        <v>35688.3752838142</v>
      </c>
      <c r="Q103" s="7">
        <v>343242.798366137</v>
      </c>
      <c r="R103" s="7">
        <v>19279.8039396005</v>
      </c>
      <c r="S103" s="7">
        <v>41598.9431670274</v>
      </c>
      <c r="T103" s="7">
        <v>11357.545049398</v>
      </c>
      <c r="U103" s="7">
        <v>43990.4865184185</v>
      </c>
      <c r="V103" s="7">
        <v>51833.4378503751</v>
      </c>
      <c r="W103" s="7">
        <v>3433.33333333333</v>
      </c>
      <c r="X103" s="7">
        <v>2504.08613921001</v>
      </c>
    </row>
    <row r="104">
      <c r="A104" s="15">
        <v>43282.0</v>
      </c>
      <c r="B104" s="9">
        <f>IFERROR(__xludf.DUMMYFUNCTION("""COMPUTED_VALUE"""),7279.0)</f>
        <v>7279</v>
      </c>
      <c r="C104" s="7">
        <v>6942.0894683779</v>
      </c>
      <c r="D104" s="7">
        <v>1969.40054946604</v>
      </c>
      <c r="E104" s="7">
        <v>7869.15788906686</v>
      </c>
      <c r="F104" s="7">
        <v>8408.73146941842</v>
      </c>
      <c r="G104" s="7">
        <v>7073.49019899365</v>
      </c>
      <c r="H104" s="7">
        <v>17233.2134347355</v>
      </c>
      <c r="I104" s="7">
        <v>5664.75493284178</v>
      </c>
      <c r="J104" s="7">
        <v>9916.73167967803</v>
      </c>
      <c r="K104" s="7">
        <v>5406.89541007788</v>
      </c>
      <c r="L104" s="7">
        <v>2008.29621199133</v>
      </c>
      <c r="M104" s="7">
        <v>9471.88663023539</v>
      </c>
      <c r="N104" s="7">
        <v>50504.6614404954</v>
      </c>
      <c r="O104" s="7">
        <v>5895.14797876156</v>
      </c>
      <c r="P104" s="7">
        <v>31933.26373996</v>
      </c>
      <c r="Q104" s="7">
        <v>26053.8671227099</v>
      </c>
      <c r="R104" s="7">
        <v>8941.88195845943</v>
      </c>
      <c r="S104" s="7">
        <v>43419.3271846771</v>
      </c>
      <c r="T104" s="7">
        <v>12067.018180187</v>
      </c>
      <c r="U104" s="7">
        <v>43716.7800668332</v>
      </c>
      <c r="V104" s="7">
        <v>46691.0121663363</v>
      </c>
      <c r="W104" s="7">
        <v>10305.3333333333</v>
      </c>
      <c r="X104" s="7">
        <v>5031.95522022023</v>
      </c>
    </row>
    <row r="105">
      <c r="A105" s="17">
        <v>43313.0</v>
      </c>
      <c r="B105" s="9"/>
      <c r="C105" s="7">
        <v>18349.0048082521</v>
      </c>
      <c r="D105" s="7">
        <v>2726.77560976062</v>
      </c>
      <c r="E105" s="7">
        <v>9432.32032902373</v>
      </c>
      <c r="F105" s="7">
        <v>16061.2189764284</v>
      </c>
      <c r="G105" s="7">
        <v>14275.570551702</v>
      </c>
      <c r="H105" s="7">
        <v>284.465592491493</v>
      </c>
      <c r="I105" s="7">
        <v>5395.80301800912</v>
      </c>
      <c r="J105" s="7">
        <v>15042.1181219311</v>
      </c>
      <c r="K105" s="7">
        <v>14105.1135475043</v>
      </c>
      <c r="L105" s="7">
        <v>5312.61023710891</v>
      </c>
      <c r="M105" s="7">
        <v>15139.0880830031</v>
      </c>
      <c r="N105" s="7">
        <v>26453.7067103301</v>
      </c>
      <c r="O105" s="7">
        <v>13986.410196463</v>
      </c>
      <c r="P105" s="7">
        <v>11015.46090819</v>
      </c>
      <c r="Q105" s="7">
        <v>34478.2986228569</v>
      </c>
      <c r="R105" s="7">
        <v>15852.1188799153</v>
      </c>
      <c r="S105" s="7">
        <v>22370.1089070977</v>
      </c>
      <c r="T105" s="7">
        <v>1488.0</v>
      </c>
      <c r="U105" s="7">
        <v>22942.6141024651</v>
      </c>
      <c r="V105" s="7">
        <v>24592.5124690016</v>
      </c>
      <c r="W105" s="7">
        <v>4376.36145301047</v>
      </c>
      <c r="X105" s="7">
        <v>1764.16156843163</v>
      </c>
    </row>
    <row r="106">
      <c r="A106" s="15">
        <v>43344.0</v>
      </c>
      <c r="B106" s="9"/>
    </row>
    <row r="107">
      <c r="A107" s="15">
        <v>43374.0</v>
      </c>
    </row>
    <row r="108">
      <c r="A108" s="15">
        <v>43405.0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0</v>
      </c>
      <c r="B1" s="21" t="s">
        <v>1</v>
      </c>
      <c r="C1" s="3" t="s">
        <v>218</v>
      </c>
      <c r="D1" s="3" t="s">
        <v>219</v>
      </c>
      <c r="E1" s="3" t="s">
        <v>220</v>
      </c>
      <c r="F1" s="3" t="s">
        <v>221</v>
      </c>
      <c r="G1" s="3" t="s">
        <v>222</v>
      </c>
      <c r="H1" s="3" t="s">
        <v>223</v>
      </c>
      <c r="I1" s="3" t="s">
        <v>224</v>
      </c>
      <c r="J1" s="3" t="s">
        <v>225</v>
      </c>
      <c r="K1" s="3" t="s">
        <v>226</v>
      </c>
      <c r="L1" s="37" t="s">
        <v>227</v>
      </c>
      <c r="M1" s="37" t="s">
        <v>228</v>
      </c>
      <c r="N1" s="37" t="s">
        <v>229</v>
      </c>
      <c r="O1" s="37" t="s">
        <v>230</v>
      </c>
      <c r="P1" s="37" t="s">
        <v>231</v>
      </c>
      <c r="Q1" s="37" t="s">
        <v>232</v>
      </c>
      <c r="R1" s="6" t="s">
        <v>233</v>
      </c>
      <c r="S1" s="37" t="s">
        <v>234</v>
      </c>
      <c r="T1" s="37" t="s">
        <v>235</v>
      </c>
      <c r="U1" s="37" t="s">
        <v>236</v>
      </c>
      <c r="V1" s="6" t="s">
        <v>237</v>
      </c>
      <c r="W1" s="7" t="s">
        <v>238</v>
      </c>
      <c r="X1" s="7" t="s">
        <v>239</v>
      </c>
    </row>
    <row r="2">
      <c r="A2" s="8">
        <v>40179.0</v>
      </c>
      <c r="B2" s="52">
        <f>IFERROR(__xludf.DUMMYFUNCTION("IMPORTRANGE(""https://docs.google.com/spreadsheets/d/1oPTPmoJ9phtMOkp-nMB7WHnPESomLzqUj9t0gcE9bYA"",""Current Region!M2:M150"")"),193.0)</f>
        <v>193</v>
      </c>
      <c r="C2" s="10" t="s">
        <v>26</v>
      </c>
      <c r="D2" s="10" t="s">
        <v>26</v>
      </c>
      <c r="E2" s="10" t="s">
        <v>26</v>
      </c>
      <c r="F2" s="10" t="s">
        <v>26</v>
      </c>
      <c r="G2" s="10" t="s">
        <v>26</v>
      </c>
      <c r="H2" s="10" t="s">
        <v>26</v>
      </c>
      <c r="I2" s="10" t="s">
        <v>26</v>
      </c>
      <c r="J2" s="10" t="s">
        <v>26</v>
      </c>
      <c r="K2" s="10" t="s">
        <v>26</v>
      </c>
      <c r="L2" s="11" t="s">
        <v>26</v>
      </c>
      <c r="M2" s="10" t="s">
        <v>26</v>
      </c>
      <c r="N2" s="10" t="s">
        <v>26</v>
      </c>
      <c r="O2" s="10" t="s">
        <v>26</v>
      </c>
      <c r="P2" s="10" t="s">
        <v>26</v>
      </c>
      <c r="Q2" s="10" t="s">
        <v>26</v>
      </c>
      <c r="R2" s="10" t="s">
        <v>26</v>
      </c>
      <c r="S2" s="10" t="s">
        <v>26</v>
      </c>
      <c r="T2" s="10" t="s">
        <v>26</v>
      </c>
      <c r="U2" s="10" t="s">
        <v>26</v>
      </c>
      <c r="V2" s="7" t="s">
        <v>26</v>
      </c>
      <c r="W2" s="7" t="s">
        <v>26</v>
      </c>
      <c r="X2" s="7" t="s">
        <v>26</v>
      </c>
    </row>
    <row r="3">
      <c r="A3" s="8">
        <v>40210.0</v>
      </c>
      <c r="B3" s="52">
        <f>IFERROR(__xludf.DUMMYFUNCTION("""COMPUTED_VALUE"""),273.0)</f>
        <v>273</v>
      </c>
      <c r="C3" s="10" t="s">
        <v>26</v>
      </c>
      <c r="D3" s="10" t="s">
        <v>26</v>
      </c>
      <c r="E3" s="10" t="s">
        <v>26</v>
      </c>
      <c r="F3" s="10" t="s">
        <v>26</v>
      </c>
      <c r="G3" s="10" t="s">
        <v>26</v>
      </c>
      <c r="H3" s="10" t="s">
        <v>26</v>
      </c>
      <c r="I3" s="10" t="s">
        <v>26</v>
      </c>
      <c r="J3" s="10" t="s">
        <v>26</v>
      </c>
      <c r="K3" s="10" t="s">
        <v>26</v>
      </c>
      <c r="L3" s="11" t="s">
        <v>26</v>
      </c>
      <c r="M3" s="10" t="s">
        <v>26</v>
      </c>
      <c r="N3" s="10" t="s">
        <v>26</v>
      </c>
      <c r="O3" s="10" t="s">
        <v>26</v>
      </c>
      <c r="P3" s="10" t="s">
        <v>26</v>
      </c>
      <c r="Q3" s="10" t="s">
        <v>26</v>
      </c>
      <c r="R3" s="10" t="s">
        <v>26</v>
      </c>
      <c r="S3" s="10" t="s">
        <v>26</v>
      </c>
      <c r="T3" s="10" t="s">
        <v>26</v>
      </c>
      <c r="U3" s="10" t="s">
        <v>26</v>
      </c>
      <c r="V3" s="7" t="s">
        <v>26</v>
      </c>
      <c r="W3" s="7" t="s">
        <v>26</v>
      </c>
      <c r="X3" s="7" t="s">
        <v>26</v>
      </c>
    </row>
    <row r="4">
      <c r="A4" s="8">
        <v>40238.0</v>
      </c>
      <c r="B4" s="52">
        <f>IFERROR(__xludf.DUMMYFUNCTION("""COMPUTED_VALUE"""),462.0)</f>
        <v>462</v>
      </c>
      <c r="C4" s="10" t="s">
        <v>26</v>
      </c>
      <c r="D4" s="10" t="s">
        <v>26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26</v>
      </c>
      <c r="J4" s="10" t="s">
        <v>26</v>
      </c>
      <c r="K4" s="10" t="s">
        <v>26</v>
      </c>
      <c r="L4" s="11" t="s">
        <v>26</v>
      </c>
      <c r="M4" s="10" t="s">
        <v>26</v>
      </c>
      <c r="N4" s="10" t="s">
        <v>26</v>
      </c>
      <c r="O4" s="10" t="s">
        <v>26</v>
      </c>
      <c r="P4" s="10" t="s">
        <v>26</v>
      </c>
      <c r="Q4" s="10" t="s">
        <v>26</v>
      </c>
      <c r="R4" s="10" t="s">
        <v>26</v>
      </c>
      <c r="S4" s="10" t="s">
        <v>26</v>
      </c>
      <c r="T4" s="10" t="s">
        <v>26</v>
      </c>
      <c r="U4" s="10" t="s">
        <v>26</v>
      </c>
      <c r="V4" s="7" t="s">
        <v>26</v>
      </c>
      <c r="W4" s="7" t="s">
        <v>26</v>
      </c>
      <c r="X4" s="7" t="s">
        <v>26</v>
      </c>
    </row>
    <row r="5">
      <c r="A5" s="8">
        <v>40269.0</v>
      </c>
      <c r="B5" s="52">
        <f>IFERROR(__xludf.DUMMYFUNCTION("""COMPUTED_VALUE"""),293.0)</f>
        <v>293</v>
      </c>
      <c r="C5" s="10" t="s">
        <v>26</v>
      </c>
      <c r="D5" s="10" t="s">
        <v>26</v>
      </c>
      <c r="E5" s="10" t="s">
        <v>26</v>
      </c>
      <c r="F5" s="10" t="s">
        <v>26</v>
      </c>
      <c r="G5" s="10" t="s">
        <v>26</v>
      </c>
      <c r="H5" s="10" t="s">
        <v>26</v>
      </c>
      <c r="I5" s="10" t="s">
        <v>26</v>
      </c>
      <c r="J5" s="10" t="s">
        <v>26</v>
      </c>
      <c r="K5" s="10" t="s">
        <v>26</v>
      </c>
      <c r="L5" s="11" t="s">
        <v>26</v>
      </c>
      <c r="M5" s="10" t="s">
        <v>26</v>
      </c>
      <c r="N5" s="10" t="s">
        <v>26</v>
      </c>
      <c r="O5" s="10" t="s">
        <v>26</v>
      </c>
      <c r="P5" s="10" t="s">
        <v>26</v>
      </c>
      <c r="Q5" s="10" t="s">
        <v>26</v>
      </c>
      <c r="R5" s="10" t="s">
        <v>26</v>
      </c>
      <c r="S5" s="10" t="s">
        <v>26</v>
      </c>
      <c r="T5" s="10" t="s">
        <v>26</v>
      </c>
      <c r="U5" s="10" t="s">
        <v>26</v>
      </c>
      <c r="V5" s="7" t="s">
        <v>26</v>
      </c>
      <c r="W5" s="7" t="s">
        <v>26</v>
      </c>
      <c r="X5" s="7" t="s">
        <v>26</v>
      </c>
    </row>
    <row r="6">
      <c r="A6" s="8">
        <v>40299.0</v>
      </c>
      <c r="B6" s="52">
        <f>IFERROR(__xludf.DUMMYFUNCTION("""COMPUTED_VALUE"""),330.0)</f>
        <v>330</v>
      </c>
      <c r="C6" s="10" t="s">
        <v>26</v>
      </c>
      <c r="D6" s="10" t="s">
        <v>26</v>
      </c>
      <c r="E6" s="10" t="s">
        <v>26</v>
      </c>
      <c r="F6" s="10" t="s">
        <v>26</v>
      </c>
      <c r="G6" s="10" t="s">
        <v>26</v>
      </c>
      <c r="H6" s="10" t="s">
        <v>26</v>
      </c>
      <c r="I6" s="10" t="s">
        <v>26</v>
      </c>
      <c r="J6" s="10" t="s">
        <v>26</v>
      </c>
      <c r="K6" s="10" t="s">
        <v>26</v>
      </c>
      <c r="L6" s="11" t="s">
        <v>26</v>
      </c>
      <c r="M6" s="10" t="s">
        <v>26</v>
      </c>
      <c r="N6" s="10" t="s">
        <v>26</v>
      </c>
      <c r="O6" s="10" t="s">
        <v>26</v>
      </c>
      <c r="P6" s="10" t="s">
        <v>26</v>
      </c>
      <c r="Q6" s="10" t="s">
        <v>26</v>
      </c>
      <c r="R6" s="10" t="s">
        <v>26</v>
      </c>
      <c r="S6" s="10" t="s">
        <v>26</v>
      </c>
      <c r="T6" s="10" t="s">
        <v>26</v>
      </c>
      <c r="U6" s="10" t="s">
        <v>26</v>
      </c>
      <c r="V6" s="7" t="s">
        <v>26</v>
      </c>
      <c r="W6" s="7" t="s">
        <v>26</v>
      </c>
      <c r="X6" s="7" t="s">
        <v>26</v>
      </c>
    </row>
    <row r="7">
      <c r="A7" s="8">
        <v>40330.0</v>
      </c>
      <c r="B7" s="52">
        <f>IFERROR(__xludf.DUMMYFUNCTION("""COMPUTED_VALUE"""),169.0)</f>
        <v>169</v>
      </c>
      <c r="C7" s="10" t="s">
        <v>26</v>
      </c>
      <c r="D7" s="10" t="s">
        <v>26</v>
      </c>
      <c r="E7" s="10" t="s">
        <v>26</v>
      </c>
      <c r="F7" s="10" t="s">
        <v>26</v>
      </c>
      <c r="G7" s="10" t="s">
        <v>26</v>
      </c>
      <c r="H7" s="10" t="s">
        <v>26</v>
      </c>
      <c r="I7" s="10" t="s">
        <v>26</v>
      </c>
      <c r="J7" s="10" t="s">
        <v>26</v>
      </c>
      <c r="K7" s="10" t="s">
        <v>26</v>
      </c>
      <c r="L7" s="11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  <c r="R7" s="10" t="s">
        <v>26</v>
      </c>
      <c r="S7" s="10" t="s">
        <v>26</v>
      </c>
      <c r="T7" s="10" t="s">
        <v>26</v>
      </c>
      <c r="U7" s="10" t="s">
        <v>26</v>
      </c>
      <c r="V7" s="7" t="s">
        <v>26</v>
      </c>
      <c r="W7" s="7" t="s">
        <v>26</v>
      </c>
      <c r="X7" s="7" t="s">
        <v>26</v>
      </c>
    </row>
    <row r="8">
      <c r="A8" s="8">
        <v>40360.0</v>
      </c>
      <c r="B8" s="52">
        <f>IFERROR(__xludf.DUMMYFUNCTION("""COMPUTED_VALUE"""),112.0)</f>
        <v>112</v>
      </c>
      <c r="C8" s="10" t="s">
        <v>26</v>
      </c>
      <c r="D8" s="10" t="s">
        <v>26</v>
      </c>
      <c r="E8" s="10" t="s">
        <v>26</v>
      </c>
      <c r="F8" s="10" t="s">
        <v>26</v>
      </c>
      <c r="G8" s="10" t="s">
        <v>26</v>
      </c>
      <c r="H8" s="10" t="s">
        <v>26</v>
      </c>
      <c r="I8" s="10" t="s">
        <v>26</v>
      </c>
      <c r="J8" s="10" t="s">
        <v>26</v>
      </c>
      <c r="K8" s="10" t="s">
        <v>26</v>
      </c>
      <c r="L8" s="11" t="s">
        <v>26</v>
      </c>
      <c r="M8" s="10" t="s">
        <v>26</v>
      </c>
      <c r="N8" s="10" t="s">
        <v>26</v>
      </c>
      <c r="O8" s="10" t="s">
        <v>26</v>
      </c>
      <c r="P8" s="10" t="s">
        <v>26</v>
      </c>
      <c r="Q8" s="10" t="s">
        <v>26</v>
      </c>
      <c r="R8" s="10" t="s">
        <v>26</v>
      </c>
      <c r="S8" s="10" t="s">
        <v>26</v>
      </c>
      <c r="T8" s="10" t="s">
        <v>26</v>
      </c>
      <c r="U8" s="10" t="s">
        <v>26</v>
      </c>
      <c r="V8" s="7" t="s">
        <v>26</v>
      </c>
      <c r="W8" s="7" t="s">
        <v>26</v>
      </c>
      <c r="X8" s="7" t="s">
        <v>26</v>
      </c>
    </row>
    <row r="9">
      <c r="A9" s="8">
        <v>40391.0</v>
      </c>
      <c r="B9" s="52">
        <f>IFERROR(__xludf.DUMMYFUNCTION("""COMPUTED_VALUE"""),137.0)</f>
        <v>137</v>
      </c>
      <c r="C9" s="10" t="s">
        <v>26</v>
      </c>
      <c r="D9" s="10" t="s">
        <v>26</v>
      </c>
      <c r="E9" s="10" t="s">
        <v>26</v>
      </c>
      <c r="F9" s="10" t="s">
        <v>26</v>
      </c>
      <c r="G9" s="10" t="s">
        <v>26</v>
      </c>
      <c r="H9" s="10" t="s">
        <v>26</v>
      </c>
      <c r="I9" s="10" t="s">
        <v>26</v>
      </c>
      <c r="J9" s="10" t="s">
        <v>26</v>
      </c>
      <c r="K9" s="10" t="s">
        <v>26</v>
      </c>
      <c r="L9" s="11" t="s">
        <v>26</v>
      </c>
      <c r="M9" s="10" t="s">
        <v>26</v>
      </c>
      <c r="N9" s="10" t="s">
        <v>26</v>
      </c>
      <c r="O9" s="10" t="s">
        <v>26</v>
      </c>
      <c r="P9" s="10" t="s">
        <v>26</v>
      </c>
      <c r="Q9" s="10" t="s">
        <v>26</v>
      </c>
      <c r="R9" s="10" t="s">
        <v>26</v>
      </c>
      <c r="S9" s="10" t="s">
        <v>26</v>
      </c>
      <c r="T9" s="10" t="s">
        <v>26</v>
      </c>
      <c r="U9" s="10" t="s">
        <v>26</v>
      </c>
      <c r="V9" s="7" t="s">
        <v>26</v>
      </c>
      <c r="W9" s="7" t="s">
        <v>26</v>
      </c>
      <c r="X9" s="7" t="s">
        <v>26</v>
      </c>
    </row>
    <row r="10">
      <c r="A10" s="8">
        <v>40422.0</v>
      </c>
      <c r="B10" s="52">
        <f>IFERROR(__xludf.DUMMYFUNCTION("""COMPUTED_VALUE"""),194.0)</f>
        <v>194</v>
      </c>
      <c r="C10" s="10" t="s">
        <v>26</v>
      </c>
      <c r="D10" s="10" t="s">
        <v>26</v>
      </c>
      <c r="E10" s="10" t="s">
        <v>26</v>
      </c>
      <c r="F10" s="10" t="s">
        <v>26</v>
      </c>
      <c r="G10" s="10" t="s">
        <v>26</v>
      </c>
      <c r="H10" s="10" t="s">
        <v>26</v>
      </c>
      <c r="I10" s="10" t="s">
        <v>26</v>
      </c>
      <c r="J10" s="10" t="s">
        <v>26</v>
      </c>
      <c r="K10" s="10" t="s">
        <v>26</v>
      </c>
      <c r="L10" s="11" t="s">
        <v>26</v>
      </c>
      <c r="M10" s="10" t="s">
        <v>26</v>
      </c>
      <c r="N10" s="10" t="s">
        <v>26</v>
      </c>
      <c r="O10" s="10" t="s">
        <v>26</v>
      </c>
      <c r="P10" s="10" t="s">
        <v>26</v>
      </c>
      <c r="Q10" s="10" t="s">
        <v>26</v>
      </c>
      <c r="R10" s="10" t="s">
        <v>26</v>
      </c>
      <c r="S10" s="10" t="s">
        <v>26</v>
      </c>
      <c r="T10" s="10" t="s">
        <v>26</v>
      </c>
      <c r="U10" s="10" t="s">
        <v>26</v>
      </c>
      <c r="V10" s="7" t="s">
        <v>26</v>
      </c>
      <c r="W10" s="7" t="s">
        <v>26</v>
      </c>
      <c r="X10" s="7" t="s">
        <v>26</v>
      </c>
    </row>
    <row r="11">
      <c r="A11" s="8">
        <v>40452.0</v>
      </c>
      <c r="B11" s="52">
        <f>IFERROR(__xludf.DUMMYFUNCTION("""COMPUTED_VALUE"""),170.0)</f>
        <v>170</v>
      </c>
      <c r="C11" s="10" t="s">
        <v>26</v>
      </c>
      <c r="D11" s="10" t="s">
        <v>26</v>
      </c>
      <c r="E11" s="10" t="s">
        <v>26</v>
      </c>
      <c r="F11" s="10" t="s">
        <v>26</v>
      </c>
      <c r="G11" s="10" t="s">
        <v>26</v>
      </c>
      <c r="H11" s="10" t="s">
        <v>26</v>
      </c>
      <c r="I11" s="10" t="s">
        <v>26</v>
      </c>
      <c r="J11" s="10" t="s">
        <v>26</v>
      </c>
      <c r="K11" s="10" t="s">
        <v>26</v>
      </c>
      <c r="L11" s="11" t="s">
        <v>26</v>
      </c>
      <c r="M11" s="10" t="s">
        <v>26</v>
      </c>
      <c r="N11" s="10" t="s">
        <v>26</v>
      </c>
      <c r="O11" s="10" t="s">
        <v>26</v>
      </c>
      <c r="P11" s="10" t="s">
        <v>26</v>
      </c>
      <c r="Q11" s="10" t="s">
        <v>26</v>
      </c>
      <c r="R11" s="10" t="s">
        <v>26</v>
      </c>
      <c r="S11" s="10" t="s">
        <v>26</v>
      </c>
      <c r="T11" s="10" t="s">
        <v>26</v>
      </c>
      <c r="U11" s="10" t="s">
        <v>26</v>
      </c>
      <c r="V11" s="7" t="s">
        <v>26</v>
      </c>
      <c r="W11" s="7" t="s">
        <v>26</v>
      </c>
      <c r="X11" s="7" t="s">
        <v>26</v>
      </c>
    </row>
    <row r="12">
      <c r="A12" s="8">
        <v>40483.0</v>
      </c>
      <c r="B12" s="52">
        <f>IFERROR(__xludf.DUMMYFUNCTION("""COMPUTED_VALUE"""),271.0)</f>
        <v>271</v>
      </c>
      <c r="C12" s="10" t="s">
        <v>26</v>
      </c>
      <c r="D12" s="10" t="s">
        <v>26</v>
      </c>
      <c r="E12" s="10" t="s">
        <v>26</v>
      </c>
      <c r="F12" s="10" t="s">
        <v>26</v>
      </c>
      <c r="G12" s="10" t="s">
        <v>26</v>
      </c>
      <c r="H12" s="10" t="s">
        <v>26</v>
      </c>
      <c r="I12" s="10" t="s">
        <v>26</v>
      </c>
      <c r="J12" s="10" t="s">
        <v>26</v>
      </c>
      <c r="K12" s="10" t="s">
        <v>26</v>
      </c>
      <c r="L12" s="11" t="s">
        <v>26</v>
      </c>
      <c r="M12" s="10" t="s">
        <v>26</v>
      </c>
      <c r="N12" s="10" t="s">
        <v>26</v>
      </c>
      <c r="O12" s="10" t="s">
        <v>26</v>
      </c>
      <c r="P12" s="10" t="s">
        <v>26</v>
      </c>
      <c r="Q12" s="10" t="s">
        <v>26</v>
      </c>
      <c r="R12" s="10" t="s">
        <v>26</v>
      </c>
      <c r="S12" s="10" t="s">
        <v>26</v>
      </c>
      <c r="T12" s="10" t="s">
        <v>26</v>
      </c>
      <c r="U12" s="10" t="s">
        <v>26</v>
      </c>
      <c r="V12" s="7" t="s">
        <v>26</v>
      </c>
      <c r="W12" s="7" t="s">
        <v>26</v>
      </c>
      <c r="X12" s="7" t="s">
        <v>26</v>
      </c>
    </row>
    <row r="13">
      <c r="A13" s="8">
        <v>40513.0</v>
      </c>
      <c r="B13" s="52">
        <f>IFERROR(__xludf.DUMMYFUNCTION("""COMPUTED_VALUE"""),178.0)</f>
        <v>178</v>
      </c>
      <c r="C13" s="10" t="s">
        <v>26</v>
      </c>
      <c r="D13" s="10" t="s">
        <v>26</v>
      </c>
      <c r="E13" s="10" t="s">
        <v>26</v>
      </c>
      <c r="F13" s="10" t="s">
        <v>26</v>
      </c>
      <c r="G13" s="10" t="s">
        <v>26</v>
      </c>
      <c r="H13" s="10" t="s">
        <v>26</v>
      </c>
      <c r="I13" s="10" t="s">
        <v>26</v>
      </c>
      <c r="J13" s="10" t="s">
        <v>26</v>
      </c>
      <c r="K13" s="10" t="s">
        <v>26</v>
      </c>
      <c r="L13" s="11" t="s">
        <v>26</v>
      </c>
      <c r="M13" s="10" t="s">
        <v>26</v>
      </c>
      <c r="N13" s="10" t="s">
        <v>26</v>
      </c>
      <c r="O13" s="10" t="s">
        <v>26</v>
      </c>
      <c r="P13" s="10" t="s">
        <v>26</v>
      </c>
      <c r="Q13" s="10" t="s">
        <v>26</v>
      </c>
      <c r="R13" s="10" t="s">
        <v>26</v>
      </c>
      <c r="S13" s="10" t="s">
        <v>26</v>
      </c>
      <c r="T13" s="10" t="s">
        <v>26</v>
      </c>
      <c r="U13" s="10" t="s">
        <v>26</v>
      </c>
      <c r="V13" s="7" t="s">
        <v>26</v>
      </c>
      <c r="W13" s="7" t="s">
        <v>26</v>
      </c>
      <c r="X13" s="7" t="s">
        <v>26</v>
      </c>
    </row>
    <row r="14">
      <c r="A14" s="8">
        <v>40544.0</v>
      </c>
      <c r="B14" s="52">
        <f>IFERROR(__xludf.DUMMYFUNCTION("""COMPUTED_VALUE"""),168.0)</f>
        <v>168</v>
      </c>
      <c r="C14" s="10" t="s">
        <v>26</v>
      </c>
      <c r="D14" s="10" t="s">
        <v>26</v>
      </c>
      <c r="E14" s="10" t="s">
        <v>26</v>
      </c>
      <c r="F14" s="10" t="s">
        <v>26</v>
      </c>
      <c r="G14" s="10" t="s">
        <v>26</v>
      </c>
      <c r="H14" s="10" t="s">
        <v>26</v>
      </c>
      <c r="I14" s="10" t="s">
        <v>26</v>
      </c>
      <c r="J14" s="10" t="s">
        <v>26</v>
      </c>
      <c r="K14" s="10" t="s">
        <v>26</v>
      </c>
      <c r="L14" s="11" t="s">
        <v>26</v>
      </c>
      <c r="M14" s="10" t="s">
        <v>26</v>
      </c>
      <c r="N14" s="10" t="s">
        <v>26</v>
      </c>
      <c r="O14" s="10" t="s">
        <v>26</v>
      </c>
      <c r="P14" s="10" t="s">
        <v>26</v>
      </c>
      <c r="Q14" s="10" t="s">
        <v>26</v>
      </c>
      <c r="R14" s="10" t="s">
        <v>26</v>
      </c>
      <c r="S14" s="10" t="s">
        <v>26</v>
      </c>
      <c r="T14" s="10" t="s">
        <v>26</v>
      </c>
      <c r="U14" s="10" t="s">
        <v>26</v>
      </c>
      <c r="V14" s="7" t="s">
        <v>26</v>
      </c>
      <c r="W14" s="7" t="s">
        <v>26</v>
      </c>
      <c r="X14" s="7" t="s">
        <v>26</v>
      </c>
    </row>
    <row r="15">
      <c r="A15" s="8">
        <v>40575.0</v>
      </c>
      <c r="B15" s="52">
        <f>IFERROR(__xludf.DUMMYFUNCTION("""COMPUTED_VALUE"""),131.0)</f>
        <v>131</v>
      </c>
      <c r="C15" s="10" t="s">
        <v>26</v>
      </c>
      <c r="D15" s="10" t="s">
        <v>26</v>
      </c>
      <c r="E15" s="10" t="s">
        <v>26</v>
      </c>
      <c r="F15" s="10" t="s">
        <v>26</v>
      </c>
      <c r="G15" s="10" t="s">
        <v>26</v>
      </c>
      <c r="H15" s="10" t="s">
        <v>26</v>
      </c>
      <c r="I15" s="10" t="s">
        <v>26</v>
      </c>
      <c r="J15" s="10" t="s">
        <v>26</v>
      </c>
      <c r="K15" s="10" t="s">
        <v>26</v>
      </c>
      <c r="L15" s="11" t="s">
        <v>26</v>
      </c>
      <c r="M15" s="10" t="s">
        <v>26</v>
      </c>
      <c r="N15" s="10" t="s">
        <v>26</v>
      </c>
      <c r="O15" s="10" t="s">
        <v>26</v>
      </c>
      <c r="P15" s="10" t="s">
        <v>26</v>
      </c>
      <c r="Q15" s="10" t="s">
        <v>26</v>
      </c>
      <c r="R15" s="10" t="s">
        <v>26</v>
      </c>
      <c r="S15" s="10" t="s">
        <v>26</v>
      </c>
      <c r="T15" s="10" t="s">
        <v>26</v>
      </c>
      <c r="U15" s="10" t="s">
        <v>26</v>
      </c>
      <c r="V15" s="7" t="s">
        <v>26</v>
      </c>
      <c r="W15" s="7" t="s">
        <v>26</v>
      </c>
      <c r="X15" s="7" t="s">
        <v>26</v>
      </c>
    </row>
    <row r="16">
      <c r="A16" s="8">
        <v>40603.0</v>
      </c>
      <c r="B16" s="52">
        <f>IFERROR(__xludf.DUMMYFUNCTION("""COMPUTED_VALUE"""),147.0)</f>
        <v>147</v>
      </c>
      <c r="C16" s="10" t="s">
        <v>26</v>
      </c>
      <c r="D16" s="10" t="s">
        <v>26</v>
      </c>
      <c r="E16" s="10" t="s">
        <v>26</v>
      </c>
      <c r="F16" s="10" t="s">
        <v>26</v>
      </c>
      <c r="G16" s="10" t="s">
        <v>26</v>
      </c>
      <c r="H16" s="10" t="s">
        <v>26</v>
      </c>
      <c r="I16" s="10" t="s">
        <v>26</v>
      </c>
      <c r="J16" s="10" t="s">
        <v>26</v>
      </c>
      <c r="K16" s="10" t="s">
        <v>26</v>
      </c>
      <c r="L16" s="11" t="s">
        <v>26</v>
      </c>
      <c r="M16" s="10" t="s">
        <v>26</v>
      </c>
      <c r="N16" s="10" t="s">
        <v>26</v>
      </c>
      <c r="O16" s="10" t="s">
        <v>26</v>
      </c>
      <c r="P16" s="10" t="s">
        <v>26</v>
      </c>
      <c r="Q16" s="10" t="s">
        <v>26</v>
      </c>
      <c r="R16" s="10" t="s">
        <v>26</v>
      </c>
      <c r="S16" s="10" t="s">
        <v>26</v>
      </c>
      <c r="T16" s="10" t="s">
        <v>26</v>
      </c>
      <c r="U16" s="10" t="s">
        <v>26</v>
      </c>
      <c r="V16" s="7" t="s">
        <v>26</v>
      </c>
      <c r="W16" s="7" t="s">
        <v>26</v>
      </c>
      <c r="X16" s="7" t="s">
        <v>26</v>
      </c>
    </row>
    <row r="17">
      <c r="A17" s="8">
        <v>40634.0</v>
      </c>
      <c r="B17" s="52">
        <f>IFERROR(__xludf.DUMMYFUNCTION("""COMPUTED_VALUE"""),305.0)</f>
        <v>305</v>
      </c>
      <c r="C17" s="10" t="s">
        <v>26</v>
      </c>
      <c r="D17" s="10" t="s">
        <v>26</v>
      </c>
      <c r="E17" s="10" t="s">
        <v>26</v>
      </c>
      <c r="F17" s="10" t="s">
        <v>26</v>
      </c>
      <c r="G17" s="10" t="s">
        <v>26</v>
      </c>
      <c r="H17" s="10" t="s">
        <v>26</v>
      </c>
      <c r="I17" s="10" t="s">
        <v>26</v>
      </c>
      <c r="J17" s="10" t="s">
        <v>26</v>
      </c>
      <c r="K17" s="10" t="s">
        <v>26</v>
      </c>
      <c r="L17" s="11" t="s">
        <v>26</v>
      </c>
      <c r="M17" s="10" t="s">
        <v>26</v>
      </c>
      <c r="N17" s="10" t="s">
        <v>26</v>
      </c>
      <c r="O17" s="10" t="s">
        <v>26</v>
      </c>
      <c r="P17" s="10" t="s">
        <v>26</v>
      </c>
      <c r="Q17" s="10" t="s">
        <v>26</v>
      </c>
      <c r="R17" s="10" t="s">
        <v>26</v>
      </c>
      <c r="S17" s="10" t="s">
        <v>26</v>
      </c>
      <c r="T17" s="10" t="s">
        <v>26</v>
      </c>
      <c r="U17" s="10" t="s">
        <v>26</v>
      </c>
      <c r="V17" s="7" t="s">
        <v>26</v>
      </c>
      <c r="W17" s="7" t="s">
        <v>26</v>
      </c>
      <c r="X17" s="7" t="s">
        <v>26</v>
      </c>
    </row>
    <row r="18">
      <c r="A18" s="8">
        <v>40664.0</v>
      </c>
      <c r="B18" s="52">
        <f>IFERROR(__xludf.DUMMYFUNCTION("""COMPUTED_VALUE"""),72.0)</f>
        <v>72</v>
      </c>
      <c r="C18" s="10" t="s">
        <v>26</v>
      </c>
      <c r="D18" s="10" t="s">
        <v>26</v>
      </c>
      <c r="E18" s="10" t="s">
        <v>26</v>
      </c>
      <c r="F18" s="10" t="s">
        <v>26</v>
      </c>
      <c r="G18" s="10" t="s">
        <v>26</v>
      </c>
      <c r="H18" s="10" t="s">
        <v>26</v>
      </c>
      <c r="I18" s="10" t="s">
        <v>26</v>
      </c>
      <c r="J18" s="10" t="s">
        <v>26</v>
      </c>
      <c r="K18" s="10" t="s">
        <v>26</v>
      </c>
      <c r="L18" s="11" t="s">
        <v>26</v>
      </c>
      <c r="M18" s="10" t="s">
        <v>26</v>
      </c>
      <c r="N18" s="10" t="s">
        <v>26</v>
      </c>
      <c r="O18" s="10" t="s">
        <v>26</v>
      </c>
      <c r="P18" s="10" t="s">
        <v>26</v>
      </c>
      <c r="Q18" s="10" t="s">
        <v>26</v>
      </c>
      <c r="R18" s="10" t="s">
        <v>26</v>
      </c>
      <c r="S18" s="10" t="s">
        <v>26</v>
      </c>
      <c r="T18" s="10" t="s">
        <v>26</v>
      </c>
      <c r="U18" s="10" t="s">
        <v>26</v>
      </c>
      <c r="V18" s="7" t="s">
        <v>26</v>
      </c>
      <c r="W18" s="7" t="s">
        <v>26</v>
      </c>
      <c r="X18" s="7" t="s">
        <v>26</v>
      </c>
    </row>
    <row r="19">
      <c r="A19" s="8">
        <v>40695.0</v>
      </c>
      <c r="B19" s="52">
        <f>IFERROR(__xludf.DUMMYFUNCTION("""COMPUTED_VALUE"""),86.0)</f>
        <v>86</v>
      </c>
      <c r="C19" s="10" t="s">
        <v>26</v>
      </c>
      <c r="D19" s="10" t="s">
        <v>26</v>
      </c>
      <c r="E19" s="10" t="s">
        <v>26</v>
      </c>
      <c r="F19" s="10" t="s">
        <v>26</v>
      </c>
      <c r="G19" s="10" t="s">
        <v>26</v>
      </c>
      <c r="H19" s="10" t="s">
        <v>26</v>
      </c>
      <c r="I19" s="10" t="s">
        <v>26</v>
      </c>
      <c r="J19" s="10" t="s">
        <v>26</v>
      </c>
      <c r="K19" s="10" t="s">
        <v>26</v>
      </c>
      <c r="L19" s="11" t="s">
        <v>26</v>
      </c>
      <c r="M19" s="10" t="s">
        <v>26</v>
      </c>
      <c r="N19" s="10" t="s">
        <v>26</v>
      </c>
      <c r="O19" s="10" t="s">
        <v>26</v>
      </c>
      <c r="P19" s="10" t="s">
        <v>26</v>
      </c>
      <c r="Q19" s="10" t="s">
        <v>26</v>
      </c>
      <c r="R19" s="10" t="s">
        <v>26</v>
      </c>
      <c r="S19" s="10" t="s">
        <v>26</v>
      </c>
      <c r="T19" s="10" t="s">
        <v>26</v>
      </c>
      <c r="U19" s="10" t="s">
        <v>26</v>
      </c>
      <c r="V19" s="7" t="s">
        <v>26</v>
      </c>
      <c r="W19" s="7" t="s">
        <v>26</v>
      </c>
      <c r="X19" s="7" t="s">
        <v>26</v>
      </c>
    </row>
    <row r="20">
      <c r="A20" s="8">
        <v>40725.0</v>
      </c>
      <c r="B20" s="52">
        <f>IFERROR(__xludf.DUMMYFUNCTION("""COMPUTED_VALUE"""),210.0)</f>
        <v>210</v>
      </c>
      <c r="C20" s="10" t="s">
        <v>26</v>
      </c>
      <c r="D20" s="10" t="s">
        <v>26</v>
      </c>
      <c r="E20" s="10" t="s">
        <v>26</v>
      </c>
      <c r="F20" s="10" t="s">
        <v>26</v>
      </c>
      <c r="G20" s="10" t="s">
        <v>26</v>
      </c>
      <c r="H20" s="10" t="s">
        <v>26</v>
      </c>
      <c r="I20" s="10" t="s">
        <v>26</v>
      </c>
      <c r="J20" s="10" t="s">
        <v>26</v>
      </c>
      <c r="K20" s="10" t="s">
        <v>26</v>
      </c>
      <c r="L20" s="11" t="s">
        <v>26</v>
      </c>
      <c r="M20" s="10" t="s">
        <v>26</v>
      </c>
      <c r="N20" s="10" t="s">
        <v>26</v>
      </c>
      <c r="O20" s="10" t="s">
        <v>26</v>
      </c>
      <c r="P20" s="10" t="s">
        <v>26</v>
      </c>
      <c r="Q20" s="10" t="s">
        <v>26</v>
      </c>
      <c r="R20" s="10" t="s">
        <v>26</v>
      </c>
      <c r="S20" s="10" t="s">
        <v>26</v>
      </c>
      <c r="T20" s="10" t="s">
        <v>26</v>
      </c>
      <c r="U20" s="10" t="s">
        <v>26</v>
      </c>
      <c r="V20" s="7" t="s">
        <v>26</v>
      </c>
      <c r="W20" s="7" t="s">
        <v>26</v>
      </c>
      <c r="X20" s="7" t="s">
        <v>26</v>
      </c>
    </row>
    <row r="21">
      <c r="A21" s="8">
        <v>40756.0</v>
      </c>
      <c r="B21" s="52">
        <f>IFERROR(__xludf.DUMMYFUNCTION("""COMPUTED_VALUE"""),71.0)</f>
        <v>71</v>
      </c>
      <c r="C21" s="12">
        <v>197.500541228833</v>
      </c>
      <c r="D21" s="12">
        <v>335.429682737467</v>
      </c>
      <c r="E21" s="12">
        <v>270.163979951081</v>
      </c>
      <c r="F21" s="12">
        <v>227.884188571256</v>
      </c>
      <c r="G21" s="12">
        <v>311.209410451352</v>
      </c>
      <c r="H21" s="12">
        <v>100.0</v>
      </c>
      <c r="I21" s="12">
        <v>195.384616007415</v>
      </c>
      <c r="J21" s="12">
        <v>302.534871070838</v>
      </c>
      <c r="K21" s="12">
        <v>323.849254211161</v>
      </c>
      <c r="L21" s="13">
        <v>286.968904521698</v>
      </c>
      <c r="M21" s="12">
        <v>263.042256428839</v>
      </c>
      <c r="N21" s="12">
        <v>197.773464264659</v>
      </c>
      <c r="O21" s="12">
        <v>107.619979979787</v>
      </c>
      <c r="P21" s="12">
        <v>275.589059363957</v>
      </c>
      <c r="Q21" s="12">
        <v>109.153495259262</v>
      </c>
      <c r="R21" s="12">
        <v>135.954963394578</v>
      </c>
      <c r="S21" s="12">
        <v>195.384603302772</v>
      </c>
      <c r="T21" s="12">
        <v>301.641433397751</v>
      </c>
      <c r="U21" s="12">
        <v>206.310646035863</v>
      </c>
      <c r="V21" s="7">
        <v>163.332439219913</v>
      </c>
      <c r="W21" s="7">
        <v>287.173244818868</v>
      </c>
      <c r="X21" s="7">
        <v>129.588996739559</v>
      </c>
    </row>
    <row r="22">
      <c r="A22" s="8">
        <v>40787.0</v>
      </c>
      <c r="B22" s="52">
        <f>IFERROR(__xludf.DUMMYFUNCTION("""COMPUTED_VALUE"""),525.0)</f>
        <v>525</v>
      </c>
      <c r="C22" s="12">
        <v>196.900541228833</v>
      </c>
      <c r="D22" s="12">
        <v>472.177231249743</v>
      </c>
      <c r="E22" s="12">
        <v>306.653716236127</v>
      </c>
      <c r="F22" s="12">
        <v>551.269060245393</v>
      </c>
      <c r="G22" s="12">
        <v>308.730579074371</v>
      </c>
      <c r="H22" s="12">
        <v>509.640460902298</v>
      </c>
      <c r="I22" s="12">
        <v>195.384616007415</v>
      </c>
      <c r="J22" s="12">
        <v>516.92262726646</v>
      </c>
      <c r="K22" s="12">
        <v>618.168817569033</v>
      </c>
      <c r="L22" s="13">
        <v>597.798111433181</v>
      </c>
      <c r="M22" s="12">
        <v>458.614284137853</v>
      </c>
      <c r="N22" s="12">
        <v>197.773464264659</v>
      </c>
      <c r="O22" s="12">
        <v>598.41439417332</v>
      </c>
      <c r="P22" s="12">
        <v>288.058189984045</v>
      </c>
      <c r="Q22" s="12">
        <v>495.280081314619</v>
      </c>
      <c r="R22" s="12">
        <v>535.420952007746</v>
      </c>
      <c r="S22" s="12">
        <v>528.096605058939</v>
      </c>
      <c r="T22" s="12">
        <v>624.641433397751</v>
      </c>
      <c r="U22" s="12">
        <v>539.0</v>
      </c>
      <c r="V22" s="7">
        <v>443.877434240189</v>
      </c>
      <c r="W22" s="7">
        <v>285.90407886089</v>
      </c>
      <c r="X22" s="7">
        <v>335.419711495061</v>
      </c>
    </row>
    <row r="23">
      <c r="A23" s="8">
        <v>40817.0</v>
      </c>
      <c r="B23" s="52">
        <f>IFERROR(__xludf.DUMMYFUNCTION("""COMPUTED_VALUE"""),580.0)</f>
        <v>580</v>
      </c>
      <c r="C23" s="12">
        <v>97.495</v>
      </c>
      <c r="D23" s="12">
        <v>444.091455257926</v>
      </c>
      <c r="E23" s="12">
        <v>316.909647310963</v>
      </c>
      <c r="F23" s="12">
        <v>548.984892321179</v>
      </c>
      <c r="G23" s="12">
        <v>308.229330785465</v>
      </c>
      <c r="H23" s="12">
        <v>580.589517899941</v>
      </c>
      <c r="I23" s="12">
        <v>195.384616007415</v>
      </c>
      <c r="J23" s="12">
        <v>562.265814605364</v>
      </c>
      <c r="K23" s="12">
        <v>592.70392039133</v>
      </c>
      <c r="L23" s="13">
        <v>594.504858304452</v>
      </c>
      <c r="M23" s="12">
        <v>580.175560978982</v>
      </c>
      <c r="N23" s="12">
        <v>197.773464264659</v>
      </c>
      <c r="O23" s="12">
        <v>616.353013839105</v>
      </c>
      <c r="P23" s="12">
        <v>587.261527081835</v>
      </c>
      <c r="Q23" s="12">
        <v>528.494791356697</v>
      </c>
      <c r="R23" s="12">
        <v>466.725191983724</v>
      </c>
      <c r="S23" s="12">
        <v>541.340073013519</v>
      </c>
      <c r="T23" s="12">
        <v>676.5608969983</v>
      </c>
      <c r="U23" s="12">
        <v>637.480994383894</v>
      </c>
      <c r="V23" s="7">
        <v>527.154650943139</v>
      </c>
      <c r="W23" s="7">
        <v>284.888203329308</v>
      </c>
      <c r="X23" s="7">
        <v>564.826196393728</v>
      </c>
    </row>
    <row r="24">
      <c r="A24" s="8">
        <v>40848.0</v>
      </c>
      <c r="B24" s="52">
        <f>IFERROR(__xludf.DUMMYFUNCTION("""COMPUTED_VALUE"""),441.0)</f>
        <v>441</v>
      </c>
      <c r="C24" s="12">
        <v>196.900541228833</v>
      </c>
      <c r="D24" s="12">
        <v>374.528830527825</v>
      </c>
      <c r="E24" s="12">
        <v>482.602368978337</v>
      </c>
      <c r="F24" s="12">
        <v>429.408585981362</v>
      </c>
      <c r="G24" s="12">
        <v>350.201043219869</v>
      </c>
      <c r="H24" s="12">
        <v>586.213620493677</v>
      </c>
      <c r="I24" s="12">
        <v>124.74</v>
      </c>
      <c r="J24" s="12">
        <v>373.509252559359</v>
      </c>
      <c r="K24" s="12">
        <v>649.397942345312</v>
      </c>
      <c r="L24" s="13">
        <v>600.341558832417</v>
      </c>
      <c r="M24" s="12">
        <v>581.216659251896</v>
      </c>
      <c r="N24" s="12">
        <v>197.773464264659</v>
      </c>
      <c r="O24" s="12">
        <v>486.773447908574</v>
      </c>
      <c r="P24" s="12">
        <v>310.609689034881</v>
      </c>
      <c r="Q24" s="12">
        <v>109.153495259262</v>
      </c>
      <c r="R24" s="12">
        <v>492.183920492915</v>
      </c>
      <c r="S24" s="12">
        <v>195.384603302772</v>
      </c>
      <c r="T24" s="12">
        <v>543.734933397751</v>
      </c>
      <c r="U24" s="12">
        <v>240.948905655337</v>
      </c>
      <c r="V24" s="7">
        <v>486.923510832235</v>
      </c>
      <c r="W24" s="7">
        <v>286.182698329926</v>
      </c>
      <c r="X24" s="7">
        <v>548.349763594203</v>
      </c>
    </row>
    <row r="25">
      <c r="A25" s="8">
        <v>40878.0</v>
      </c>
      <c r="B25" s="52">
        <f>IFERROR(__xludf.DUMMYFUNCTION("""COMPUTED_VALUE"""),719.0)</f>
        <v>719</v>
      </c>
      <c r="C25" s="12">
        <v>197.500541228833</v>
      </c>
      <c r="D25" s="12">
        <v>794.931175987464</v>
      </c>
      <c r="E25" s="12">
        <v>291.446156032411</v>
      </c>
      <c r="F25" s="12">
        <v>212.168585655072</v>
      </c>
      <c r="G25" s="12">
        <v>265.76357574936</v>
      </c>
      <c r="H25" s="12">
        <v>282.323714300615</v>
      </c>
      <c r="I25" s="12">
        <v>124.74</v>
      </c>
      <c r="J25" s="12">
        <v>759.217883895799</v>
      </c>
      <c r="K25" s="12">
        <v>859.751786498737</v>
      </c>
      <c r="L25" s="13">
        <v>275.567618626839</v>
      </c>
      <c r="M25" s="12">
        <v>612.80240171602</v>
      </c>
      <c r="N25" s="12">
        <v>197.773464264659</v>
      </c>
      <c r="O25" s="12">
        <v>531.0</v>
      </c>
      <c r="P25" s="12">
        <v>712.300604110398</v>
      </c>
      <c r="Q25" s="12">
        <v>473.927916705076</v>
      </c>
      <c r="R25" s="12">
        <v>594.604984962592</v>
      </c>
      <c r="S25" s="12">
        <v>364.049776629277</v>
      </c>
      <c r="T25" s="12">
        <v>804.320433397751</v>
      </c>
      <c r="U25" s="12">
        <v>376.4745</v>
      </c>
      <c r="V25" s="7">
        <v>590.491269195488</v>
      </c>
      <c r="W25" s="7">
        <v>303.862370092376</v>
      </c>
      <c r="X25" s="7">
        <v>702.898673503383</v>
      </c>
    </row>
    <row r="26">
      <c r="A26" s="8">
        <v>40909.0</v>
      </c>
      <c r="B26" s="52">
        <f>IFERROR(__xludf.DUMMYFUNCTION("""COMPUTED_VALUE"""),595.0)</f>
        <v>595</v>
      </c>
      <c r="C26" s="12">
        <v>211.650541228833</v>
      </c>
      <c r="D26" s="12">
        <v>681.342689626835</v>
      </c>
      <c r="E26" s="12">
        <v>432.294524574076</v>
      </c>
      <c r="F26" s="12">
        <v>194.810620555195</v>
      </c>
      <c r="G26" s="12">
        <v>599.799215405597</v>
      </c>
      <c r="H26" s="12">
        <v>587.101625321964</v>
      </c>
      <c r="I26" s="12">
        <v>86.44</v>
      </c>
      <c r="J26" s="12">
        <v>428.846789175353</v>
      </c>
      <c r="K26" s="12">
        <v>697.049846634947</v>
      </c>
      <c r="L26" s="13">
        <v>320.820525146211</v>
      </c>
      <c r="M26" s="12">
        <v>577.405237031581</v>
      </c>
      <c r="N26" s="12">
        <v>197.773464264659</v>
      </c>
      <c r="O26" s="12">
        <v>392.162476497773</v>
      </c>
      <c r="P26" s="12">
        <v>263.631551715382</v>
      </c>
      <c r="Q26" s="12">
        <v>382.100320606035</v>
      </c>
      <c r="R26" s="12">
        <v>677.606685626752</v>
      </c>
      <c r="S26" s="12">
        <v>590.740277583938</v>
      </c>
      <c r="T26" s="12">
        <v>762.123933397751</v>
      </c>
      <c r="U26" s="12">
        <v>391.3005</v>
      </c>
      <c r="V26" s="7">
        <v>583.963058711547</v>
      </c>
      <c r="W26" s="7">
        <v>293.513646956763</v>
      </c>
      <c r="X26" s="7">
        <v>427.258529842861</v>
      </c>
    </row>
    <row r="27">
      <c r="A27" s="8">
        <v>40940.0</v>
      </c>
      <c r="B27" s="52">
        <f>IFERROR(__xludf.DUMMYFUNCTION("""COMPUTED_VALUE"""),2759.0)</f>
        <v>2759</v>
      </c>
      <c r="C27" s="12">
        <v>200.744098733842</v>
      </c>
      <c r="D27" s="12">
        <v>2710.62145825679</v>
      </c>
      <c r="E27" s="12">
        <v>374.385090203769</v>
      </c>
      <c r="F27" s="12">
        <v>545.491283726051</v>
      </c>
      <c r="G27" s="12">
        <v>2778.1811892317</v>
      </c>
      <c r="H27" s="12">
        <v>2760.05493012675</v>
      </c>
      <c r="I27" s="12">
        <v>195.384616007415</v>
      </c>
      <c r="J27" s="12">
        <v>2707.92649146068</v>
      </c>
      <c r="K27" s="12">
        <v>2758.18743986453</v>
      </c>
      <c r="L27" s="13">
        <v>732.963927526748</v>
      </c>
      <c r="M27" s="12">
        <v>558.528112022535</v>
      </c>
      <c r="N27" s="12">
        <v>2762.32259037395</v>
      </c>
      <c r="O27" s="12">
        <v>2784.48214212084</v>
      </c>
      <c r="P27" s="12">
        <v>2759.00791832441</v>
      </c>
      <c r="Q27" s="12">
        <v>2759.04314741903</v>
      </c>
      <c r="R27" s="12">
        <v>2890.90933654638</v>
      </c>
      <c r="S27" s="12">
        <v>2758.87108594816</v>
      </c>
      <c r="T27" s="12">
        <v>2854.06436532786</v>
      </c>
      <c r="U27" s="12">
        <v>2787.76801939065</v>
      </c>
      <c r="V27" s="7">
        <v>474.958818581563</v>
      </c>
      <c r="W27" s="7">
        <v>284.359007259873</v>
      </c>
      <c r="X27" s="7">
        <v>280.540840530942</v>
      </c>
    </row>
    <row r="28">
      <c r="A28" s="8">
        <v>40969.0</v>
      </c>
      <c r="B28" s="52">
        <f>IFERROR(__xludf.DUMMYFUNCTION("""COMPUTED_VALUE"""),262.0)</f>
        <v>262</v>
      </c>
      <c r="C28" s="12">
        <v>185.994098733842</v>
      </c>
      <c r="D28" s="12">
        <v>239.148607593751</v>
      </c>
      <c r="E28" s="12">
        <v>304.583830042947</v>
      </c>
      <c r="F28" s="12">
        <v>182.924788261093</v>
      </c>
      <c r="G28" s="12">
        <v>197.489952993033</v>
      </c>
      <c r="H28" s="12">
        <v>222.364606695136</v>
      </c>
      <c r="I28" s="12">
        <v>195.384616007415</v>
      </c>
      <c r="J28" s="12">
        <v>245.41006926441</v>
      </c>
      <c r="K28" s="12">
        <v>291.631484160968</v>
      </c>
      <c r="L28" s="13">
        <v>197.652855798338</v>
      </c>
      <c r="M28" s="12">
        <v>432.998656747968</v>
      </c>
      <c r="N28" s="12">
        <v>251.354655661763</v>
      </c>
      <c r="O28" s="12">
        <v>272.71916856499</v>
      </c>
      <c r="P28" s="12">
        <v>255.018464157672</v>
      </c>
      <c r="Q28" s="12">
        <v>195.384628167816</v>
      </c>
      <c r="R28" s="12">
        <v>390.660058330479</v>
      </c>
      <c r="S28" s="12">
        <v>319.54686450563</v>
      </c>
      <c r="T28" s="12">
        <v>418.580374430211</v>
      </c>
      <c r="U28" s="12">
        <v>273.191547619048</v>
      </c>
      <c r="V28" s="7">
        <v>389.27344743058</v>
      </c>
      <c r="W28" s="7">
        <v>284.359007259873</v>
      </c>
      <c r="X28" s="7">
        <v>220.13240528346</v>
      </c>
    </row>
    <row r="29">
      <c r="A29" s="8">
        <v>41000.0</v>
      </c>
      <c r="B29" s="52">
        <f>IFERROR(__xludf.DUMMYFUNCTION("""COMPUTED_VALUE"""),377.0)</f>
        <v>377</v>
      </c>
      <c r="C29" s="12">
        <v>67.0862138564624</v>
      </c>
      <c r="D29" s="12">
        <v>243.253248052744</v>
      </c>
      <c r="E29" s="12">
        <v>375.381513430917</v>
      </c>
      <c r="F29" s="12">
        <v>164.299947754315</v>
      </c>
      <c r="G29" s="12">
        <v>160.621395572311</v>
      </c>
      <c r="H29" s="12">
        <v>372.0</v>
      </c>
      <c r="I29" s="12">
        <v>195.384616007415</v>
      </c>
      <c r="J29" s="12">
        <v>287.148218144555</v>
      </c>
      <c r="K29" s="12">
        <v>235.87220295817</v>
      </c>
      <c r="L29" s="13">
        <v>181.799971146656</v>
      </c>
      <c r="M29" s="12">
        <v>359.40173018489</v>
      </c>
      <c r="N29" s="12">
        <v>393.420498886698</v>
      </c>
      <c r="O29" s="12">
        <v>401.178804513707</v>
      </c>
      <c r="P29" s="12">
        <v>247.131626841857</v>
      </c>
      <c r="Q29" s="12">
        <v>352.046432050474</v>
      </c>
      <c r="R29" s="12">
        <v>416.114490608746</v>
      </c>
      <c r="S29" s="12">
        <v>376.990357171697</v>
      </c>
      <c r="T29" s="12">
        <v>481.478130846939</v>
      </c>
      <c r="U29" s="12">
        <v>369.0</v>
      </c>
      <c r="V29" s="7">
        <v>320.109659045318</v>
      </c>
      <c r="W29" s="7">
        <v>256.452198495426</v>
      </c>
      <c r="X29" s="7">
        <v>208.596747940975</v>
      </c>
    </row>
    <row r="30">
      <c r="A30" s="8">
        <v>41030.0</v>
      </c>
      <c r="B30" s="52">
        <f>IFERROR(__xludf.DUMMYFUNCTION("""COMPUTED_VALUE"""),169.0)</f>
        <v>169</v>
      </c>
      <c r="C30" s="12">
        <v>43.910023554606</v>
      </c>
      <c r="D30" s="12">
        <v>178.608807344195</v>
      </c>
      <c r="E30" s="12">
        <v>298.443456789158</v>
      </c>
      <c r="F30" s="12">
        <v>202.493823403343</v>
      </c>
      <c r="G30" s="12">
        <v>151.674452711494</v>
      </c>
      <c r="H30" s="12">
        <v>145.604002150736</v>
      </c>
      <c r="I30" s="12">
        <v>169.096445508015</v>
      </c>
      <c r="J30" s="12">
        <v>137.3</v>
      </c>
      <c r="K30" s="12">
        <v>185.393213386078</v>
      </c>
      <c r="L30" s="13">
        <v>206.259170943828</v>
      </c>
      <c r="M30" s="12">
        <v>304.857907501192</v>
      </c>
      <c r="N30" s="12">
        <v>197.773464264659</v>
      </c>
      <c r="O30" s="12">
        <v>138.366589729231</v>
      </c>
      <c r="P30" s="12">
        <v>176.973932834866</v>
      </c>
      <c r="Q30" s="12">
        <v>262.525401260384</v>
      </c>
      <c r="R30" s="12">
        <v>269.522933549935</v>
      </c>
      <c r="S30" s="12">
        <v>182.006136601142</v>
      </c>
      <c r="T30" s="12">
        <v>412.410165826975</v>
      </c>
      <c r="U30" s="12">
        <v>170.643404615776</v>
      </c>
      <c r="V30" s="7">
        <v>228.5</v>
      </c>
      <c r="W30" s="7">
        <v>219.189742341044</v>
      </c>
      <c r="X30" s="7">
        <v>184.330353825245</v>
      </c>
    </row>
    <row r="31">
      <c r="A31" s="8">
        <v>41061.0</v>
      </c>
      <c r="B31" s="52">
        <f>IFERROR(__xludf.DUMMYFUNCTION("""COMPUTED_VALUE"""),422.0)</f>
        <v>422</v>
      </c>
      <c r="C31" s="12">
        <v>103.772259584168</v>
      </c>
      <c r="D31" s="12">
        <v>188.453897501074</v>
      </c>
      <c r="E31" s="12">
        <v>381.99174269558</v>
      </c>
      <c r="F31" s="12">
        <v>218.552532153899</v>
      </c>
      <c r="G31" s="12">
        <v>466.954531808907</v>
      </c>
      <c r="H31" s="12">
        <v>484.214126530329</v>
      </c>
      <c r="I31" s="12">
        <v>166.134368229895</v>
      </c>
      <c r="J31" s="12">
        <v>254.508049713846</v>
      </c>
      <c r="K31" s="12">
        <v>402.542860106783</v>
      </c>
      <c r="L31" s="13">
        <v>208.915733951091</v>
      </c>
      <c r="M31" s="12">
        <v>238.993001813575</v>
      </c>
      <c r="N31" s="12">
        <v>197.773464264659</v>
      </c>
      <c r="O31" s="12">
        <v>176.135673297947</v>
      </c>
      <c r="P31" s="12">
        <v>292.861619260902</v>
      </c>
      <c r="Q31" s="12">
        <v>396.80694744552</v>
      </c>
      <c r="R31" s="12">
        <v>522.497603407149</v>
      </c>
      <c r="S31" s="12">
        <v>420.211919932702</v>
      </c>
      <c r="T31" s="12">
        <v>536.614208278262</v>
      </c>
      <c r="U31" s="12">
        <v>385.670175637698</v>
      </c>
      <c r="V31" s="7">
        <v>170.942252993334</v>
      </c>
      <c r="W31" s="7">
        <v>184.990128157995</v>
      </c>
      <c r="X31" s="7">
        <v>326.801065871802</v>
      </c>
    </row>
    <row r="32">
      <c r="A32" s="8">
        <v>41091.0</v>
      </c>
      <c r="B32" s="52">
        <f>IFERROR(__xludf.DUMMYFUNCTION("""COMPUTED_VALUE"""),130.0)</f>
        <v>130</v>
      </c>
      <c r="C32" s="12">
        <v>93.3202521931349</v>
      </c>
      <c r="D32" s="12">
        <v>151.694521336866</v>
      </c>
      <c r="E32" s="12">
        <v>308.853589004537</v>
      </c>
      <c r="F32" s="12">
        <v>153.922680174977</v>
      </c>
      <c r="G32" s="12">
        <v>140.108736460505</v>
      </c>
      <c r="H32" s="12">
        <v>85.0</v>
      </c>
      <c r="I32" s="12">
        <v>147.57429345019</v>
      </c>
      <c r="J32" s="12">
        <v>227.374766120901</v>
      </c>
      <c r="K32" s="12">
        <v>135.609289561306</v>
      </c>
      <c r="L32" s="13">
        <v>122.844607604732</v>
      </c>
      <c r="M32" s="12">
        <v>226.067397736911</v>
      </c>
      <c r="N32" s="12">
        <v>197.773464264659</v>
      </c>
      <c r="O32" s="12">
        <v>197.625898733468</v>
      </c>
      <c r="P32" s="12">
        <v>174.332197752046</v>
      </c>
      <c r="Q32" s="12">
        <v>195.384628167816</v>
      </c>
      <c r="R32" s="12">
        <v>148.651272406519</v>
      </c>
      <c r="S32" s="12">
        <v>194.42480977387</v>
      </c>
      <c r="T32" s="12">
        <v>301.638408384474</v>
      </c>
      <c r="U32" s="12">
        <v>169.909747808385</v>
      </c>
      <c r="V32" s="7">
        <v>144.556093005315</v>
      </c>
      <c r="W32" s="7">
        <v>171.913990260267</v>
      </c>
      <c r="X32" s="7">
        <v>229.419028489883</v>
      </c>
    </row>
    <row r="33">
      <c r="A33" s="8">
        <v>41122.0</v>
      </c>
      <c r="B33" s="52">
        <f>IFERROR(__xludf.DUMMYFUNCTION("""COMPUTED_VALUE"""),45.0)</f>
        <v>45</v>
      </c>
      <c r="C33" s="12">
        <v>71.630564896042</v>
      </c>
      <c r="D33" s="12">
        <v>208.844249023135</v>
      </c>
      <c r="E33" s="12">
        <v>131.066769363585</v>
      </c>
      <c r="F33" s="12">
        <v>204.021240062408</v>
      </c>
      <c r="G33" s="12">
        <v>107.419241283995</v>
      </c>
      <c r="H33" s="12">
        <v>76.443273976947</v>
      </c>
      <c r="I33" s="12">
        <v>129.718425200169</v>
      </c>
      <c r="J33" s="12">
        <v>0.0</v>
      </c>
      <c r="K33" s="12">
        <v>136.080136957168</v>
      </c>
      <c r="L33" s="13">
        <v>155.48856762931</v>
      </c>
      <c r="M33" s="12">
        <v>172.474739563945</v>
      </c>
      <c r="N33" s="12">
        <v>197.773464264659</v>
      </c>
      <c r="O33" s="12">
        <v>138.152516453709</v>
      </c>
      <c r="P33" s="12">
        <v>148.590174176583</v>
      </c>
      <c r="Q33" s="12">
        <v>107.217602968426</v>
      </c>
      <c r="R33" s="12">
        <v>163.707457978008</v>
      </c>
      <c r="S33" s="12">
        <v>189.648948269871</v>
      </c>
      <c r="T33" s="12">
        <v>325.845317293662</v>
      </c>
      <c r="U33" s="12">
        <v>169.238975336605</v>
      </c>
      <c r="V33" s="7">
        <v>125.861509530968</v>
      </c>
      <c r="W33" s="7">
        <v>111.347015194569</v>
      </c>
      <c r="X33" s="7">
        <v>99.1877796363959</v>
      </c>
    </row>
    <row r="34">
      <c r="A34" s="8">
        <v>41153.0</v>
      </c>
      <c r="B34" s="52">
        <f>IFERROR(__xludf.DUMMYFUNCTION("""COMPUTED_VALUE"""),94.0)</f>
        <v>94</v>
      </c>
      <c r="C34" s="12">
        <v>56.1797713614711</v>
      </c>
      <c r="D34" s="12">
        <v>139.919912556224</v>
      </c>
      <c r="E34" s="12">
        <v>85.2882430464079</v>
      </c>
      <c r="F34" s="12">
        <v>173.664262479746</v>
      </c>
      <c r="G34" s="12">
        <v>90.0760504878514</v>
      </c>
      <c r="H34" s="12">
        <v>109.571391141603</v>
      </c>
      <c r="I34" s="12">
        <v>195.384616007415</v>
      </c>
      <c r="J34" s="12">
        <v>303.477450297023</v>
      </c>
      <c r="K34" s="12">
        <v>123.099522694647</v>
      </c>
      <c r="L34" s="13">
        <v>114.685715217299</v>
      </c>
      <c r="M34" s="12">
        <v>108.559928223112</v>
      </c>
      <c r="N34" s="12">
        <v>197.773464264659</v>
      </c>
      <c r="O34" s="12">
        <v>97.0</v>
      </c>
      <c r="P34" s="12">
        <v>100.826459128415</v>
      </c>
      <c r="Q34" s="12">
        <v>107.217602968426</v>
      </c>
      <c r="R34" s="12">
        <v>170.371567959894</v>
      </c>
      <c r="S34" s="12">
        <v>195.384603302772</v>
      </c>
      <c r="T34" s="12">
        <v>301.641433397751</v>
      </c>
      <c r="U34" s="12">
        <v>151.948905655337</v>
      </c>
      <c r="V34" s="7">
        <v>90.5</v>
      </c>
      <c r="W34" s="7">
        <v>86.0468863696579</v>
      </c>
      <c r="X34" s="7">
        <v>103.976790848786</v>
      </c>
    </row>
    <row r="35">
      <c r="A35" s="8">
        <v>41183.0</v>
      </c>
      <c r="B35" s="52">
        <f>IFERROR(__xludf.DUMMYFUNCTION("""COMPUTED_VALUE"""),96.0)</f>
        <v>96</v>
      </c>
      <c r="C35" s="12">
        <v>88.4578244802101</v>
      </c>
      <c r="D35" s="12">
        <v>151.244885739027</v>
      </c>
      <c r="E35" s="12">
        <v>143.486090210815</v>
      </c>
      <c r="F35" s="12">
        <v>94.3802600331735</v>
      </c>
      <c r="G35" s="12">
        <v>87.4495094539847</v>
      </c>
      <c r="H35" s="12">
        <v>66.0</v>
      </c>
      <c r="I35" s="12">
        <v>73.2587926675141</v>
      </c>
      <c r="J35" s="12">
        <v>209.057099232994</v>
      </c>
      <c r="K35" s="12">
        <v>87.5731190781547</v>
      </c>
      <c r="L35" s="13">
        <v>90.9657546862178</v>
      </c>
      <c r="M35" s="12">
        <v>92.832309147439</v>
      </c>
      <c r="N35" s="12">
        <v>197.773464264659</v>
      </c>
      <c r="O35" s="12">
        <v>129.152516453709</v>
      </c>
      <c r="P35" s="12">
        <v>91.8923113873797</v>
      </c>
      <c r="Q35" s="12">
        <v>107.217602968426</v>
      </c>
      <c r="R35" s="12">
        <v>126.651197321909</v>
      </c>
      <c r="S35" s="12">
        <v>186.152811471075</v>
      </c>
      <c r="T35" s="12">
        <v>301.617717293662</v>
      </c>
      <c r="U35" s="12">
        <v>130.586933001093</v>
      </c>
      <c r="V35" s="7">
        <v>127.5</v>
      </c>
      <c r="W35" s="7">
        <v>89.8212498326795</v>
      </c>
      <c r="X35" s="7">
        <v>52.4536535136742</v>
      </c>
    </row>
    <row r="36">
      <c r="A36" s="8">
        <v>41214.0</v>
      </c>
      <c r="B36" s="52">
        <f>IFERROR(__xludf.DUMMYFUNCTION("""COMPUTED_VALUE"""),44.0)</f>
        <v>44</v>
      </c>
      <c r="C36" s="12">
        <v>53.9207565794046</v>
      </c>
      <c r="D36" s="12">
        <v>119.776376864716</v>
      </c>
      <c r="E36" s="12">
        <v>200.89840337357</v>
      </c>
      <c r="F36" s="12">
        <v>92.762105162144</v>
      </c>
      <c r="G36" s="12">
        <v>64.1615139514178</v>
      </c>
      <c r="H36" s="12">
        <v>45.0</v>
      </c>
      <c r="I36" s="12">
        <v>18.9948040457626</v>
      </c>
      <c r="J36" s="12">
        <v>124.8</v>
      </c>
      <c r="K36" s="12">
        <v>77.301663535155</v>
      </c>
      <c r="L36" s="13">
        <v>64.6982593949385</v>
      </c>
      <c r="M36" s="12">
        <v>83.7274862642127</v>
      </c>
      <c r="N36" s="12">
        <v>197.314900686078</v>
      </c>
      <c r="O36" s="12">
        <v>72.6028759470962</v>
      </c>
      <c r="P36" s="12">
        <v>84.5007118052373</v>
      </c>
      <c r="Q36" s="12">
        <v>107.217602968426</v>
      </c>
      <c r="R36" s="12">
        <v>101.093141834898</v>
      </c>
      <c r="S36" s="12">
        <v>195.228192505469</v>
      </c>
      <c r="T36" s="12">
        <v>301.610457261799</v>
      </c>
      <c r="U36" s="12">
        <v>115.046099461402</v>
      </c>
      <c r="V36" s="7">
        <v>92.0</v>
      </c>
      <c r="W36" s="7">
        <v>88.8963797505396</v>
      </c>
      <c r="X36" s="7">
        <v>56.1256714556711</v>
      </c>
    </row>
    <row r="37">
      <c r="A37" s="8">
        <v>41244.0</v>
      </c>
      <c r="B37" s="52"/>
      <c r="C37" s="12">
        <v>178.747740303229</v>
      </c>
      <c r="D37" s="12">
        <v>110.721412340259</v>
      </c>
      <c r="E37" s="12">
        <v>231.290829286337</v>
      </c>
      <c r="F37" s="12">
        <v>72.2374478646826</v>
      </c>
      <c r="G37" s="12">
        <v>48.2418682957673</v>
      </c>
      <c r="H37" s="12">
        <v>192.0</v>
      </c>
      <c r="I37" s="12">
        <v>68.2703940161017</v>
      </c>
      <c r="J37" s="12">
        <v>218.906738156942</v>
      </c>
      <c r="K37" s="12">
        <v>114.865834754132</v>
      </c>
      <c r="L37" s="13">
        <v>47.0665140936167</v>
      </c>
      <c r="M37" s="12">
        <v>86.6873333800078</v>
      </c>
      <c r="N37" s="12">
        <v>196.741696212851</v>
      </c>
      <c r="O37" s="12">
        <v>237.0</v>
      </c>
      <c r="P37" s="12">
        <v>99.3965129563866</v>
      </c>
      <c r="Q37" s="12">
        <v>264.763427030136</v>
      </c>
      <c r="R37" s="12">
        <v>233.944583508502</v>
      </c>
      <c r="S37" s="12">
        <v>284.909987365409</v>
      </c>
      <c r="T37" s="12">
        <v>418.641433397751</v>
      </c>
      <c r="U37" s="12">
        <v>236.0</v>
      </c>
      <c r="V37" s="7">
        <v>92.0</v>
      </c>
      <c r="W37" s="7">
        <v>66.3317385611614</v>
      </c>
      <c r="X37" s="7">
        <v>190.228553087075</v>
      </c>
    </row>
    <row r="38">
      <c r="A38" s="8">
        <v>41275.0</v>
      </c>
      <c r="B38" s="52">
        <f>IFERROR(__xludf.DUMMYFUNCTION("""COMPUTED_VALUE"""),66.0)</f>
        <v>66</v>
      </c>
      <c r="C38" s="12">
        <v>197.267355305794</v>
      </c>
      <c r="D38" s="12">
        <v>139.81673075448</v>
      </c>
      <c r="E38" s="12">
        <v>205.572257477121</v>
      </c>
      <c r="F38" s="12">
        <v>80.5939613793436</v>
      </c>
      <c r="G38" s="12">
        <v>61.4659904927225</v>
      </c>
      <c r="H38" s="12">
        <v>102.0</v>
      </c>
      <c r="I38" s="12">
        <v>98.1159656954762</v>
      </c>
      <c r="J38" s="12">
        <v>73.1837755001928</v>
      </c>
      <c r="K38" s="12">
        <v>124.887748968469</v>
      </c>
      <c r="L38" s="13">
        <v>59.4832934752632</v>
      </c>
      <c r="M38" s="12">
        <v>62.9314057470198</v>
      </c>
      <c r="N38" s="12">
        <v>197.773464264659</v>
      </c>
      <c r="O38" s="12">
        <v>26.900718986774</v>
      </c>
      <c r="P38" s="12">
        <v>136.060332807196</v>
      </c>
      <c r="Q38" s="12">
        <v>69.1275293500206</v>
      </c>
      <c r="R38" s="12">
        <v>62.8912858892214</v>
      </c>
      <c r="S38" s="12">
        <v>195.384603302772</v>
      </c>
      <c r="T38" s="12">
        <v>301.639497389254</v>
      </c>
      <c r="U38" s="12">
        <v>82.3568466391093</v>
      </c>
      <c r="V38" s="7">
        <v>55.0</v>
      </c>
      <c r="W38" s="7">
        <v>54.5587233685654</v>
      </c>
      <c r="X38" s="7">
        <v>82.2546692468523</v>
      </c>
    </row>
    <row r="39">
      <c r="A39" s="8">
        <v>41306.0</v>
      </c>
      <c r="B39" s="52">
        <f>IFERROR(__xludf.DUMMYFUNCTION("""COMPUTED_VALUE"""),47.0)</f>
        <v>47</v>
      </c>
      <c r="C39" s="12">
        <v>217.64203067659</v>
      </c>
      <c r="D39" s="12">
        <v>152.480856277878</v>
      </c>
      <c r="E39" s="12">
        <v>204.600626985487</v>
      </c>
      <c r="F39" s="12">
        <v>90.1631310196901</v>
      </c>
      <c r="G39" s="12">
        <v>64.027179409991</v>
      </c>
      <c r="H39" s="12">
        <v>172.0</v>
      </c>
      <c r="I39" s="12">
        <v>116.082467200452</v>
      </c>
      <c r="J39" s="12">
        <v>223.088069217275</v>
      </c>
      <c r="K39" s="12">
        <v>142.68566222805</v>
      </c>
      <c r="L39" s="13">
        <v>74.9033817636973</v>
      </c>
      <c r="M39" s="12">
        <v>54.4134057596838</v>
      </c>
      <c r="N39" s="12">
        <v>197.773464264659</v>
      </c>
      <c r="O39" s="12">
        <v>121.907908854514</v>
      </c>
      <c r="P39" s="12">
        <v>140.2929734764</v>
      </c>
      <c r="Q39" s="12">
        <v>37.4815913684858</v>
      </c>
      <c r="R39" s="12">
        <v>66.1969134488421</v>
      </c>
      <c r="S39" s="12">
        <v>195.384603302772</v>
      </c>
      <c r="T39" s="12">
        <v>301.407176369611</v>
      </c>
      <c r="U39" s="12">
        <v>165.886112877322</v>
      </c>
      <c r="V39" s="7">
        <v>123.513287221468</v>
      </c>
      <c r="W39" s="7">
        <v>49.0752327924524</v>
      </c>
      <c r="X39" s="7">
        <v>52.8801236164684</v>
      </c>
    </row>
    <row r="40">
      <c r="A40" s="8">
        <v>41334.0</v>
      </c>
      <c r="B40" s="52">
        <f>IFERROR(__xludf.DUMMYFUNCTION("""COMPUTED_VALUE"""),139.0)</f>
        <v>139</v>
      </c>
      <c r="C40" s="12">
        <v>48.7211297920841</v>
      </c>
      <c r="D40" s="12">
        <v>175.676974724741</v>
      </c>
      <c r="E40" s="12">
        <v>232.101573758307</v>
      </c>
      <c r="F40" s="12">
        <v>89.3816628587438</v>
      </c>
      <c r="G40" s="12">
        <v>91.2449614975799</v>
      </c>
      <c r="H40" s="12">
        <v>94.0</v>
      </c>
      <c r="I40" s="12">
        <v>112.457900266893</v>
      </c>
      <c r="J40" s="12">
        <v>250.233746211817</v>
      </c>
      <c r="K40" s="12">
        <v>147.715294403884</v>
      </c>
      <c r="L40" s="13">
        <v>84.4599730091184</v>
      </c>
      <c r="M40" s="12">
        <v>37.8977514603536</v>
      </c>
      <c r="N40" s="12">
        <v>196.483754199899</v>
      </c>
      <c r="O40" s="12">
        <v>179.633088601208</v>
      </c>
      <c r="P40" s="12">
        <v>137.433081132343</v>
      </c>
      <c r="Q40" s="12">
        <v>131.600893729877</v>
      </c>
      <c r="R40" s="12">
        <v>109.997075989798</v>
      </c>
      <c r="S40" s="12">
        <v>195.384603302772</v>
      </c>
      <c r="T40" s="12">
        <v>301.396407322346</v>
      </c>
      <c r="U40" s="12">
        <v>181.717642822457</v>
      </c>
      <c r="V40" s="7">
        <v>112.240587436545</v>
      </c>
      <c r="W40" s="7">
        <v>62.9277305236016</v>
      </c>
      <c r="X40" s="7">
        <v>112.252687233068</v>
      </c>
    </row>
    <row r="41">
      <c r="A41" s="8">
        <v>41365.0</v>
      </c>
      <c r="B41" s="52">
        <f>IFERROR(__xludf.DUMMYFUNCTION("""COMPUTED_VALUE"""),33.0)</f>
        <v>33</v>
      </c>
      <c r="C41" s="12">
        <v>22.5739778269002</v>
      </c>
      <c r="D41" s="12">
        <v>172.590131356756</v>
      </c>
      <c r="E41" s="12">
        <v>172.328839654241</v>
      </c>
      <c r="F41" s="12">
        <v>74.4022083772571</v>
      </c>
      <c r="G41" s="12">
        <v>128.347359842393</v>
      </c>
      <c r="H41" s="12">
        <v>205.884615649741</v>
      </c>
      <c r="I41" s="12">
        <v>212.673313877935</v>
      </c>
      <c r="J41" s="12">
        <v>-5818899.6537967</v>
      </c>
      <c r="K41" s="12">
        <v>20.3813542161532</v>
      </c>
      <c r="L41" s="13">
        <v>77.6526613930718</v>
      </c>
      <c r="M41" s="12">
        <v>42.0701609767667</v>
      </c>
      <c r="N41" s="12">
        <v>197.773464264659</v>
      </c>
      <c r="O41" s="12">
        <v>204.960134057866</v>
      </c>
      <c r="P41" s="12">
        <v>109.170837375691</v>
      </c>
      <c r="Q41" s="12">
        <v>10.4533751221286</v>
      </c>
      <c r="R41" s="12">
        <v>43.2603382136127</v>
      </c>
      <c r="S41" s="12">
        <v>189.465876541211</v>
      </c>
      <c r="T41" s="12">
        <v>175.432462885621</v>
      </c>
      <c r="U41" s="12">
        <v>165.069266471981</v>
      </c>
      <c r="V41" s="7">
        <v>77.5902986376435</v>
      </c>
      <c r="W41" s="7">
        <v>53.6203820204369</v>
      </c>
      <c r="X41" s="7">
        <v>196.130200304821</v>
      </c>
    </row>
    <row r="42">
      <c r="A42" s="8">
        <v>41395.0</v>
      </c>
      <c r="B42" s="52">
        <f>IFERROR(__xludf.DUMMYFUNCTION("""COMPUTED_VALUE"""),16.0)</f>
        <v>16</v>
      </c>
      <c r="C42" s="12">
        <v>170.113473328027</v>
      </c>
      <c r="D42" s="12">
        <v>186.458479375971</v>
      </c>
      <c r="E42" s="12">
        <v>140.218618711605</v>
      </c>
      <c r="F42" s="12">
        <v>69.6622272943864</v>
      </c>
      <c r="G42" s="12">
        <v>140.361278830889</v>
      </c>
      <c r="H42" s="12">
        <v>205.884615649741</v>
      </c>
      <c r="I42" s="12">
        <v>103.557314646902</v>
      </c>
      <c r="J42" s="12">
        <v>-6.51736301851998E7</v>
      </c>
      <c r="K42" s="12">
        <v>166.718426479756</v>
      </c>
      <c r="L42" s="13">
        <v>80.3061034660064</v>
      </c>
      <c r="M42" s="12">
        <v>23.8331930778992</v>
      </c>
      <c r="N42" s="12">
        <v>197.773464264659</v>
      </c>
      <c r="O42" s="12">
        <v>204.883875831012</v>
      </c>
      <c r="P42" s="12">
        <v>84.1056970278197</v>
      </c>
      <c r="Q42" s="12">
        <v>44.3178887095387</v>
      </c>
      <c r="R42" s="12">
        <v>53.6489382327639</v>
      </c>
      <c r="S42" s="12">
        <v>193.10953716019</v>
      </c>
      <c r="T42" s="12">
        <v>181.921036939864</v>
      </c>
      <c r="U42" s="12">
        <v>153.860326047862</v>
      </c>
      <c r="V42" s="7">
        <v>45.1389330188011</v>
      </c>
      <c r="W42" s="7">
        <v>59.6506155824184</v>
      </c>
      <c r="X42" s="7">
        <v>11.0210819168124</v>
      </c>
    </row>
    <row r="43">
      <c r="A43" s="8">
        <v>41426.0</v>
      </c>
      <c r="B43" s="52"/>
      <c r="C43" s="12">
        <v>218.508617902178</v>
      </c>
      <c r="D43" s="12">
        <v>219.167295363536</v>
      </c>
      <c r="E43" s="12">
        <v>155.080288315353</v>
      </c>
      <c r="F43" s="12">
        <v>99.0522581149356</v>
      </c>
      <c r="G43" s="12">
        <v>154.426305817587</v>
      </c>
      <c r="H43" s="12">
        <v>205.884615649741</v>
      </c>
      <c r="I43" s="12">
        <v>149.091827316529</v>
      </c>
      <c r="J43" s="12">
        <v>-6.51736079670135E7</v>
      </c>
      <c r="K43" s="12">
        <v>147.438102707916</v>
      </c>
      <c r="L43" s="13">
        <v>106.183855282658</v>
      </c>
      <c r="M43" s="12">
        <v>24.9555727525437</v>
      </c>
      <c r="N43" s="12">
        <v>197.773464264659</v>
      </c>
      <c r="O43" s="12">
        <v>249.366811442924</v>
      </c>
      <c r="P43" s="12">
        <v>90.085153865841</v>
      </c>
      <c r="Q43" s="12">
        <v>162.864435213989</v>
      </c>
      <c r="R43" s="12">
        <v>52.8389309406731</v>
      </c>
      <c r="S43" s="12">
        <v>191.669846866837</v>
      </c>
      <c r="T43" s="12">
        <v>121.008283261239</v>
      </c>
      <c r="U43" s="12">
        <v>136.750553533482</v>
      </c>
      <c r="V43" s="7">
        <v>94.3743470032003</v>
      </c>
      <c r="W43" s="7">
        <v>168.477583034135</v>
      </c>
      <c r="X43" s="7">
        <v>269.556715797381</v>
      </c>
    </row>
    <row r="44">
      <c r="A44" s="8">
        <v>41456.0</v>
      </c>
      <c r="B44" s="52"/>
      <c r="C44" s="12">
        <v>212.146526446766</v>
      </c>
      <c r="D44" s="12">
        <v>215.642571347437</v>
      </c>
      <c r="E44" s="12">
        <v>196.972540132337</v>
      </c>
      <c r="F44" s="12">
        <v>98.1055830686179</v>
      </c>
      <c r="G44" s="12">
        <v>159.131388213209</v>
      </c>
      <c r="H44" s="12">
        <v>205.884615649741</v>
      </c>
      <c r="I44" s="12">
        <v>159.736679668251</v>
      </c>
      <c r="J44" s="12">
        <v>-5818887.70015607</v>
      </c>
      <c r="K44" s="12">
        <v>150.177914066388</v>
      </c>
      <c r="L44" s="13">
        <v>113.693805797521</v>
      </c>
      <c r="M44" s="12">
        <v>53.6012144054394</v>
      </c>
      <c r="N44" s="12">
        <v>197.773464264659</v>
      </c>
      <c r="O44" s="12">
        <v>188.257977097544</v>
      </c>
      <c r="P44" s="12">
        <v>129.139393334578</v>
      </c>
      <c r="Q44" s="12">
        <v>191.829244479344</v>
      </c>
      <c r="R44" s="12">
        <v>124.95377520491</v>
      </c>
      <c r="S44" s="12">
        <v>195.384603302772</v>
      </c>
      <c r="T44" s="12">
        <v>112.683309082794</v>
      </c>
      <c r="U44" s="12">
        <v>103.362</v>
      </c>
      <c r="V44" s="7">
        <v>155.764537287888</v>
      </c>
      <c r="W44" s="7">
        <v>70.0053325388815</v>
      </c>
      <c r="X44" s="7">
        <v>174.001541341428</v>
      </c>
    </row>
    <row r="45">
      <c r="A45" s="8">
        <v>41487.0</v>
      </c>
      <c r="B45" s="52">
        <f>IFERROR(__xludf.DUMMYFUNCTION("""COMPUTED_VALUE"""),51.0)</f>
        <v>51</v>
      </c>
      <c r="C45" s="12">
        <v>209.15983175864</v>
      </c>
      <c r="D45" s="12">
        <v>78.8242233253779</v>
      </c>
      <c r="E45" s="12">
        <v>127.805966808938</v>
      </c>
      <c r="F45" s="12">
        <v>92.5663822990539</v>
      </c>
      <c r="G45" s="12">
        <v>112.046057515426</v>
      </c>
      <c r="H45" s="12">
        <v>149.884615649741</v>
      </c>
      <c r="I45" s="12">
        <v>155.149704521743</v>
      </c>
      <c r="J45" s="12">
        <v>-5818888.7296992</v>
      </c>
      <c r="K45" s="12">
        <v>107.214351329096</v>
      </c>
      <c r="L45" s="13">
        <v>112.580535342651</v>
      </c>
      <c r="M45" s="12">
        <v>10.5784113112435</v>
      </c>
      <c r="N45" s="12">
        <v>181.723739014307</v>
      </c>
      <c r="O45" s="12">
        <v>154.257977097544</v>
      </c>
      <c r="P45" s="12">
        <v>137.719070366749</v>
      </c>
      <c r="Q45" s="12">
        <v>8.09522747457262</v>
      </c>
      <c r="R45" s="12">
        <v>59.240962068808</v>
      </c>
      <c r="S45" s="12">
        <v>195.384603302772</v>
      </c>
      <c r="T45" s="12">
        <v>48.8742792981552</v>
      </c>
      <c r="U45" s="12">
        <v>92.488941779328</v>
      </c>
      <c r="V45" s="7">
        <v>99.1856639766608</v>
      </c>
      <c r="W45" s="7">
        <v>103.076221746545</v>
      </c>
      <c r="X45" s="7">
        <v>83.6052039241516</v>
      </c>
    </row>
    <row r="46">
      <c r="A46" s="8">
        <v>41518.0</v>
      </c>
      <c r="B46" s="52">
        <f>IFERROR(__xludf.DUMMYFUNCTION("""COMPUTED_VALUE"""),11.0)</f>
        <v>11</v>
      </c>
      <c r="C46" s="12">
        <v>192.639663629884</v>
      </c>
      <c r="D46" s="12">
        <v>34.8402105811426</v>
      </c>
      <c r="E46" s="12">
        <v>11.5097405349523</v>
      </c>
      <c r="F46" s="12">
        <v>106.540614816483</v>
      </c>
      <c r="G46" s="12">
        <v>53.4778381727583</v>
      </c>
      <c r="H46" s="12">
        <v>8.30560534600657</v>
      </c>
      <c r="I46" s="12">
        <v>161.138196997681</v>
      </c>
      <c r="J46" s="12">
        <v>-5818886.41364627</v>
      </c>
      <c r="K46" s="12">
        <v>60.2211294896325</v>
      </c>
      <c r="L46" s="13">
        <v>109.907254743931</v>
      </c>
      <c r="M46" s="12">
        <v>-14.8179045767207</v>
      </c>
      <c r="N46" s="12">
        <v>12.3991376230948</v>
      </c>
      <c r="O46" s="12">
        <v>16.6579249221584</v>
      </c>
      <c r="P46" s="12">
        <v>134.854532679344</v>
      </c>
      <c r="Q46" s="12">
        <v>17.1529333894864</v>
      </c>
      <c r="R46" s="12">
        <v>55.2017756215694</v>
      </c>
      <c r="S46" s="12">
        <v>193.971573940778</v>
      </c>
      <c r="T46" s="12">
        <v>11.2351899216971</v>
      </c>
      <c r="U46" s="12">
        <v>44.2764955947226</v>
      </c>
      <c r="V46" s="7">
        <v>37.9434457005443</v>
      </c>
      <c r="W46" s="7">
        <v>44.940079180405</v>
      </c>
      <c r="X46" s="7">
        <v>79.5045453174498</v>
      </c>
    </row>
    <row r="47">
      <c r="A47" s="8">
        <v>41548.0</v>
      </c>
      <c r="B47" s="52">
        <f>IFERROR(__xludf.DUMMYFUNCTION("""COMPUTED_VALUE"""),8.0)</f>
        <v>8</v>
      </c>
      <c r="C47" s="12">
        <v>5.012400799201</v>
      </c>
      <c r="D47" s="12">
        <v>42.8153900497915</v>
      </c>
      <c r="E47" s="12">
        <v>260.236760095965</v>
      </c>
      <c r="F47" s="12">
        <v>-15.8341829164909</v>
      </c>
      <c r="G47" s="12">
        <v>41.0539678328571</v>
      </c>
      <c r="H47" s="12">
        <v>7.02134011139606</v>
      </c>
      <c r="I47" s="12">
        <v>13.69756379544</v>
      </c>
      <c r="J47" s="12">
        <v>-5819083.13681796</v>
      </c>
      <c r="K47" s="12">
        <v>69.9438113942635</v>
      </c>
      <c r="L47" s="13">
        <v>-22.9219586688965</v>
      </c>
      <c r="M47" s="12">
        <v>42.5044463541296</v>
      </c>
      <c r="N47" s="12">
        <v>20.7965831558683</v>
      </c>
      <c r="O47" s="12">
        <v>1.51405806591951</v>
      </c>
      <c r="P47" s="12">
        <v>27.8253056023583</v>
      </c>
      <c r="Q47" s="12">
        <v>18.7823341736652</v>
      </c>
      <c r="R47" s="12">
        <v>63.8817353026954</v>
      </c>
      <c r="S47" s="12">
        <v>57.0250339252991</v>
      </c>
      <c r="T47" s="12">
        <v>33.1452595399313</v>
      </c>
      <c r="U47" s="12">
        <v>-85.6222492611723</v>
      </c>
      <c r="V47" s="7">
        <v>80.5221432935376</v>
      </c>
      <c r="W47" s="7">
        <v>14.5289600247767</v>
      </c>
      <c r="X47" s="7">
        <v>137.10828387657</v>
      </c>
    </row>
    <row r="48">
      <c r="A48" s="8">
        <v>41579.0</v>
      </c>
      <c r="B48" s="52">
        <f>IFERROR(__xludf.DUMMYFUNCTION("""COMPUTED_VALUE"""),17.0)</f>
        <v>17</v>
      </c>
      <c r="C48" s="12">
        <v>127.655443763894</v>
      </c>
      <c r="D48" s="12">
        <v>7.43651348877847</v>
      </c>
      <c r="E48" s="12">
        <v>149.452090393008</v>
      </c>
      <c r="F48" s="12">
        <v>75.7579630040584</v>
      </c>
      <c r="G48" s="12">
        <v>44.5679054936452</v>
      </c>
      <c r="H48" s="12">
        <v>18.9845446888624</v>
      </c>
      <c r="I48" s="12">
        <v>-228.356134598095</v>
      </c>
      <c r="J48" s="12">
        <v>-6.51736749962781E7</v>
      </c>
      <c r="K48" s="12">
        <v>-3.30002078235395</v>
      </c>
      <c r="L48" s="13">
        <v>64.5385420042859</v>
      </c>
      <c r="M48" s="12">
        <v>37.9004960155641</v>
      </c>
      <c r="N48" s="12">
        <v>7.89948250826407</v>
      </c>
      <c r="O48" s="12">
        <v>91.3874707648819</v>
      </c>
      <c r="P48" s="12">
        <v>85.6970150267849</v>
      </c>
      <c r="Q48" s="12">
        <v>26.9342204555156</v>
      </c>
      <c r="R48" s="12">
        <v>57.5142273297702</v>
      </c>
      <c r="S48" s="12">
        <v>188.030629736418</v>
      </c>
      <c r="T48" s="12">
        <v>18.6224146011918</v>
      </c>
      <c r="U48" s="12">
        <v>65.2249088378873</v>
      </c>
      <c r="V48" s="7">
        <v>13.0</v>
      </c>
      <c r="W48" s="7">
        <v>40.4100888408542</v>
      </c>
      <c r="X48" s="7">
        <v>96.8136462245845</v>
      </c>
    </row>
    <row r="49">
      <c r="A49" s="8">
        <v>41609.0</v>
      </c>
      <c r="B49" s="52">
        <f>IFERROR(__xludf.DUMMYFUNCTION("""COMPUTED_VALUE"""),2.0)</f>
        <v>2</v>
      </c>
      <c r="C49" s="12">
        <v>189.00418279822</v>
      </c>
      <c r="D49" s="12">
        <v>-23.982441195545</v>
      </c>
      <c r="E49" s="12">
        <v>164.468375653712</v>
      </c>
      <c r="F49" s="12">
        <v>122.862800189587</v>
      </c>
      <c r="G49" s="12">
        <v>59.0571914565935</v>
      </c>
      <c r="H49" s="12">
        <v>14.3196123015612</v>
      </c>
      <c r="I49" s="12">
        <v>149.52368996939</v>
      </c>
      <c r="J49" s="12">
        <v>-6.51736122059305E7</v>
      </c>
      <c r="K49" s="12">
        <v>20.3528357637627</v>
      </c>
      <c r="L49" s="13">
        <v>110.543094612821</v>
      </c>
      <c r="M49" s="12">
        <v>28.7551248446614</v>
      </c>
      <c r="N49" s="12">
        <v>2.16743777599552</v>
      </c>
      <c r="O49" s="12">
        <v>95.2579770975441</v>
      </c>
      <c r="P49" s="12">
        <v>118.271802427162</v>
      </c>
      <c r="Q49" s="12">
        <v>55.4366590537791</v>
      </c>
      <c r="R49" s="12">
        <v>45.6917770374658</v>
      </c>
      <c r="S49" s="12">
        <v>195.384603302772</v>
      </c>
      <c r="T49" s="12">
        <v>-2.91912063021869</v>
      </c>
      <c r="U49" s="12">
        <v>36.4368313695914</v>
      </c>
      <c r="V49" s="7">
        <v>14.0</v>
      </c>
      <c r="W49" s="7">
        <v>41.5799932834498</v>
      </c>
      <c r="X49" s="7">
        <v>1.50581884167156</v>
      </c>
    </row>
    <row r="50">
      <c r="A50" s="8">
        <v>41640.0</v>
      </c>
      <c r="B50" s="52"/>
      <c r="C50" s="12">
        <v>315.009347079554</v>
      </c>
      <c r="D50" s="12">
        <v>213.842962516005</v>
      </c>
      <c r="E50" s="12">
        <v>211.010521123587</v>
      </c>
      <c r="F50" s="12">
        <v>136.30569567524</v>
      </c>
      <c r="G50" s="12">
        <v>115.732842010853</v>
      </c>
      <c r="H50" s="12">
        <v>188.884615649741</v>
      </c>
      <c r="I50" s="12">
        <v>159.22382442151</v>
      </c>
      <c r="J50" s="12">
        <v>-76828.2149529336</v>
      </c>
      <c r="K50" s="12">
        <v>24.3170593065669</v>
      </c>
      <c r="L50" s="13">
        <v>118.503061771399</v>
      </c>
      <c r="M50" s="12">
        <v>165.650448537836</v>
      </c>
      <c r="N50" s="12">
        <v>185.105645406346</v>
      </c>
      <c r="O50" s="12">
        <v>97.9831568442376</v>
      </c>
      <c r="P50" s="12">
        <v>175.165600289602</v>
      </c>
      <c r="Q50" s="12">
        <v>79.5942103988162</v>
      </c>
      <c r="R50" s="12">
        <v>68.9249212939857</v>
      </c>
      <c r="S50" s="12">
        <v>195.362385859973</v>
      </c>
      <c r="T50" s="12">
        <v>51.1785256673187</v>
      </c>
      <c r="U50" s="12">
        <v>36.654749730961</v>
      </c>
      <c r="V50" s="7">
        <v>13.5</v>
      </c>
      <c r="W50" s="7">
        <v>42.6022207107189</v>
      </c>
      <c r="X50" s="7">
        <v>148.339616386571</v>
      </c>
    </row>
    <row r="51">
      <c r="A51" s="8">
        <v>41671.0</v>
      </c>
      <c r="B51" s="52">
        <f>IFERROR(__xludf.DUMMYFUNCTION("""COMPUTED_VALUE"""),99.0)</f>
        <v>99</v>
      </c>
      <c r="C51" s="12">
        <v>251.456724738478</v>
      </c>
      <c r="D51" s="12">
        <v>60.1735655286718</v>
      </c>
      <c r="E51" s="12">
        <v>197.441380188084</v>
      </c>
      <c r="F51" s="12">
        <v>189.018482309404</v>
      </c>
      <c r="G51" s="12">
        <v>116.110886613622</v>
      </c>
      <c r="H51" s="12">
        <v>184.884615649741</v>
      </c>
      <c r="I51" s="12">
        <v>23.2709776867024</v>
      </c>
      <c r="J51" s="12">
        <v>204.925169061124</v>
      </c>
      <c r="K51" s="12">
        <v>72.8340495864424</v>
      </c>
      <c r="L51" s="13">
        <v>125.404855980314</v>
      </c>
      <c r="M51" s="12">
        <v>165.168189905579</v>
      </c>
      <c r="N51" s="12">
        <v>183.328711539342</v>
      </c>
      <c r="O51" s="12">
        <v>218.257977097544</v>
      </c>
      <c r="P51" s="12">
        <v>171.751789261026</v>
      </c>
      <c r="Q51" s="12">
        <v>83.8262257493074</v>
      </c>
      <c r="R51" s="12">
        <v>107.024370591585</v>
      </c>
      <c r="S51" s="12">
        <v>195.384603302772</v>
      </c>
      <c r="T51" s="12">
        <v>101.710131131867</v>
      </c>
      <c r="U51" s="12">
        <v>192.900058105183</v>
      </c>
      <c r="V51" s="7">
        <v>34.8176143779071</v>
      </c>
      <c r="W51" s="7">
        <v>55.686731779764</v>
      </c>
      <c r="X51" s="7">
        <v>79.4741366901419</v>
      </c>
    </row>
    <row r="52">
      <c r="A52" s="8">
        <v>41699.0</v>
      </c>
      <c r="B52" s="52"/>
      <c r="C52" s="12">
        <v>176.445370266747</v>
      </c>
      <c r="D52" s="12">
        <v>89.055421931251</v>
      </c>
      <c r="E52" s="12">
        <v>282.346221907942</v>
      </c>
      <c r="F52" s="12">
        <v>176.127936251437</v>
      </c>
      <c r="G52" s="12">
        <v>134.777372892477</v>
      </c>
      <c r="H52" s="12">
        <v>205.884615649741</v>
      </c>
      <c r="I52" s="12">
        <v>195.384616007415</v>
      </c>
      <c r="J52" s="12">
        <v>169.584417684569</v>
      </c>
      <c r="K52" s="12">
        <v>65.4975499078866</v>
      </c>
      <c r="L52" s="13">
        <v>122.888805582207</v>
      </c>
      <c r="M52" s="12">
        <v>198.127420100749</v>
      </c>
      <c r="N52" s="12">
        <v>197.773464264659</v>
      </c>
      <c r="O52" s="12">
        <v>73.6680277027787</v>
      </c>
      <c r="P52" s="12">
        <v>131.713296444229</v>
      </c>
      <c r="Q52" s="12">
        <v>195.384628167816</v>
      </c>
      <c r="R52" s="12">
        <v>119.140702367697</v>
      </c>
      <c r="S52" s="12">
        <v>195.384603302772</v>
      </c>
      <c r="T52" s="12">
        <v>92.5552170885253</v>
      </c>
      <c r="U52" s="12">
        <v>114.50188479085</v>
      </c>
      <c r="V52" s="7">
        <v>159.031962645313</v>
      </c>
      <c r="W52" s="7">
        <v>62.5356555424674</v>
      </c>
      <c r="X52" s="7">
        <v>135.646361293022</v>
      </c>
    </row>
    <row r="53">
      <c r="A53" s="8">
        <v>41730.0</v>
      </c>
      <c r="B53" s="52"/>
      <c r="C53" s="12">
        <v>176.238870095313</v>
      </c>
      <c r="D53" s="12">
        <v>147.178226275725</v>
      </c>
      <c r="E53" s="12">
        <v>188.410178842001</v>
      </c>
      <c r="F53" s="12">
        <v>178.793138079179</v>
      </c>
      <c r="G53" s="12">
        <v>171.259913905487</v>
      </c>
      <c r="H53" s="12">
        <v>191.884615649741</v>
      </c>
      <c r="I53" s="12">
        <v>195.384616007415</v>
      </c>
      <c r="J53" s="12">
        <v>181.272105867063</v>
      </c>
      <c r="K53" s="12">
        <v>118.918942223589</v>
      </c>
      <c r="L53" s="13">
        <v>139.846278440477</v>
      </c>
      <c r="M53" s="12">
        <v>182.518732110812</v>
      </c>
      <c r="N53" s="12">
        <v>191.353574164518</v>
      </c>
      <c r="O53" s="12">
        <v>293.308070577485</v>
      </c>
      <c r="P53" s="12">
        <v>162.663626451972</v>
      </c>
      <c r="Q53" s="12">
        <v>195.384628167816</v>
      </c>
      <c r="R53" s="12">
        <v>215.34384654442</v>
      </c>
      <c r="S53" s="12">
        <v>223.531654168296</v>
      </c>
      <c r="T53" s="12">
        <v>192.279063651009</v>
      </c>
      <c r="U53" s="12">
        <v>200.386409975891</v>
      </c>
      <c r="V53" s="7">
        <v>147.848728710078</v>
      </c>
      <c r="W53" s="7">
        <v>111.571810930554</v>
      </c>
      <c r="X53" s="7">
        <v>141.469487404063</v>
      </c>
    </row>
    <row r="54">
      <c r="A54" s="8">
        <v>41760.0</v>
      </c>
      <c r="B54" s="52"/>
      <c r="C54" s="12">
        <v>203.050541228833</v>
      </c>
      <c r="D54" s="12">
        <v>145.166823170832</v>
      </c>
      <c r="E54" s="12">
        <v>187.385335658056</v>
      </c>
      <c r="F54" s="12">
        <v>186.293334224371</v>
      </c>
      <c r="G54" s="12">
        <v>162.807177208094</v>
      </c>
      <c r="H54" s="12">
        <v>205.884615649741</v>
      </c>
      <c r="I54" s="12">
        <v>195.384616007415</v>
      </c>
      <c r="J54" s="12">
        <v>209.731280025405</v>
      </c>
      <c r="K54" s="12">
        <v>194.998853405884</v>
      </c>
      <c r="L54" s="13">
        <v>211.823123674383</v>
      </c>
      <c r="M54" s="12">
        <v>211.198693510906</v>
      </c>
      <c r="N54" s="12">
        <v>197.773464264659</v>
      </c>
      <c r="O54" s="12">
        <v>205.089627725204</v>
      </c>
      <c r="P54" s="12">
        <v>122.946299661104</v>
      </c>
      <c r="Q54" s="12">
        <v>195.384628167816</v>
      </c>
      <c r="R54" s="12">
        <v>147.356739366087</v>
      </c>
      <c r="S54" s="12">
        <v>181.081013628999</v>
      </c>
      <c r="T54" s="12">
        <v>162.884546150521</v>
      </c>
      <c r="U54" s="12">
        <v>180.052389532143</v>
      </c>
      <c r="V54" s="7">
        <v>153.419195400199</v>
      </c>
      <c r="W54" s="7">
        <v>124.265920362364</v>
      </c>
      <c r="X54" s="7">
        <v>173.193789898195</v>
      </c>
    </row>
    <row r="55">
      <c r="A55" s="8">
        <v>41791.0</v>
      </c>
      <c r="B55" s="52"/>
      <c r="C55" s="12">
        <v>174.516694575523</v>
      </c>
      <c r="D55" s="12">
        <v>178.001295791262</v>
      </c>
      <c r="E55" s="12">
        <v>148.706664017048</v>
      </c>
      <c r="F55" s="12">
        <v>188.118938479973</v>
      </c>
      <c r="G55" s="12">
        <v>171.58181882472</v>
      </c>
      <c r="H55" s="12">
        <v>205.884615649741</v>
      </c>
      <c r="I55" s="12">
        <v>195.384616007415</v>
      </c>
      <c r="J55" s="12">
        <v>186.482282687473</v>
      </c>
      <c r="K55" s="12">
        <v>169.204581773317</v>
      </c>
      <c r="L55" s="13">
        <v>153.90002400364</v>
      </c>
      <c r="M55" s="12">
        <v>209.828497835881</v>
      </c>
      <c r="N55" s="12">
        <v>197.773464264659</v>
      </c>
      <c r="O55" s="12">
        <v>211.410493551253</v>
      </c>
      <c r="P55" s="12">
        <v>143.152366883715</v>
      </c>
      <c r="Q55" s="12">
        <v>195.384628167816</v>
      </c>
      <c r="R55" s="12">
        <v>132.377032893161</v>
      </c>
      <c r="S55" s="12">
        <v>186.588273349929</v>
      </c>
      <c r="T55" s="12">
        <v>192.928389689734</v>
      </c>
      <c r="U55" s="12">
        <v>188.915322500659</v>
      </c>
      <c r="V55" s="7">
        <v>124.289042695474</v>
      </c>
      <c r="W55" s="7">
        <v>226.456381837885</v>
      </c>
      <c r="X55" s="7">
        <v>205.186692981892</v>
      </c>
    </row>
    <row r="56">
      <c r="A56" s="8">
        <v>41821.0</v>
      </c>
      <c r="B56" s="52"/>
      <c r="C56" s="12">
        <v>202.839330004389</v>
      </c>
      <c r="D56" s="12">
        <v>218.968888204734</v>
      </c>
      <c r="E56" s="12">
        <v>198.185335658056</v>
      </c>
      <c r="F56" s="12">
        <v>204.597123632131</v>
      </c>
      <c r="G56" s="12">
        <v>178.314796770263</v>
      </c>
      <c r="H56" s="12">
        <v>205.884615649741</v>
      </c>
      <c r="I56" s="12">
        <v>195.384616007415</v>
      </c>
      <c r="J56" s="12">
        <v>208.487792316857</v>
      </c>
      <c r="K56" s="12">
        <v>184.50740426342</v>
      </c>
      <c r="L56" s="13">
        <v>187.900230096987</v>
      </c>
      <c r="M56" s="12">
        <v>205.465728581939</v>
      </c>
      <c r="N56" s="12">
        <v>197.773464264659</v>
      </c>
      <c r="O56" s="12">
        <v>214.257977097544</v>
      </c>
      <c r="P56" s="12">
        <v>166.032004572912</v>
      </c>
      <c r="Q56" s="12">
        <v>195.384628167816</v>
      </c>
      <c r="R56" s="12">
        <v>149.771956191846</v>
      </c>
      <c r="S56" s="12">
        <v>195.384603302772</v>
      </c>
      <c r="T56" s="12">
        <v>301.641433397751</v>
      </c>
      <c r="U56" s="12">
        <v>185.429791560364</v>
      </c>
      <c r="V56" s="7">
        <v>176.419365076086</v>
      </c>
      <c r="W56" s="7">
        <v>131.226450922207</v>
      </c>
      <c r="X56" s="7">
        <v>196.762676872456</v>
      </c>
    </row>
    <row r="57">
      <c r="A57" s="8">
        <v>41852.0</v>
      </c>
      <c r="B57" s="52"/>
      <c r="C57" s="12">
        <v>206.673315342591</v>
      </c>
      <c r="D57" s="12">
        <v>204.914282249046</v>
      </c>
      <c r="E57" s="12">
        <v>124.185335658056</v>
      </c>
      <c r="F57" s="12">
        <v>205.906691137478</v>
      </c>
      <c r="G57" s="12">
        <v>180.0390908841</v>
      </c>
      <c r="H57" s="12">
        <v>205.884615649741</v>
      </c>
      <c r="I57" s="12">
        <v>195.384616007415</v>
      </c>
      <c r="J57" s="12">
        <v>220.349294006451</v>
      </c>
      <c r="K57" s="12">
        <v>225.214052971599</v>
      </c>
      <c r="L57" s="13">
        <v>195.1156592976</v>
      </c>
      <c r="M57" s="12">
        <v>139.358859075043</v>
      </c>
      <c r="N57" s="12">
        <v>197.773464264659</v>
      </c>
      <c r="O57" s="12">
        <v>215.257977097544</v>
      </c>
      <c r="P57" s="12">
        <v>150.588585915005</v>
      </c>
      <c r="Q57" s="12">
        <v>195.384628167816</v>
      </c>
      <c r="R57" s="12">
        <v>162.957500740681</v>
      </c>
      <c r="S57" s="12">
        <v>195.384603302772</v>
      </c>
      <c r="T57" s="12">
        <v>301.641433397751</v>
      </c>
      <c r="U57" s="12">
        <v>190.385535963965</v>
      </c>
      <c r="V57" s="7">
        <v>192.82620360814</v>
      </c>
      <c r="W57" s="7">
        <v>112.624799478656</v>
      </c>
      <c r="X57" s="7">
        <v>155.571330286275</v>
      </c>
    </row>
    <row r="58">
      <c r="A58" s="8">
        <v>41883.0</v>
      </c>
      <c r="B58" s="52"/>
      <c r="C58" s="12">
        <v>203.900541228833</v>
      </c>
      <c r="D58" s="12">
        <v>191.206198048227</v>
      </c>
      <c r="E58" s="12">
        <v>134.385335658056</v>
      </c>
      <c r="F58" s="12">
        <v>207.879259141888</v>
      </c>
      <c r="G58" s="12">
        <v>180.991462633021</v>
      </c>
      <c r="H58" s="12">
        <v>205.884615649741</v>
      </c>
      <c r="I58" s="12">
        <v>195.384616007415</v>
      </c>
      <c r="J58" s="12">
        <v>208.877084871521</v>
      </c>
      <c r="K58" s="12">
        <v>204.66655340669</v>
      </c>
      <c r="L58" s="13">
        <v>203.792349901271</v>
      </c>
      <c r="M58" s="12">
        <v>146.296098578776</v>
      </c>
      <c r="N58" s="12">
        <v>197.773464264659</v>
      </c>
      <c r="O58" s="12">
        <v>222.757977097544</v>
      </c>
      <c r="P58" s="12">
        <v>176.041627777111</v>
      </c>
      <c r="Q58" s="12">
        <v>195.384628167816</v>
      </c>
      <c r="R58" s="12">
        <v>171.205173004684</v>
      </c>
      <c r="S58" s="12">
        <v>195.384603302772</v>
      </c>
      <c r="T58" s="12">
        <v>301.641433397751</v>
      </c>
      <c r="U58" s="12">
        <v>212.200558945132</v>
      </c>
      <c r="V58" s="7">
        <v>207.931077661267</v>
      </c>
      <c r="W58" s="7">
        <v>142.269394869461</v>
      </c>
      <c r="X58" s="7">
        <v>124.372463776782</v>
      </c>
    </row>
    <row r="59">
      <c r="A59" s="8">
        <v>41913.0</v>
      </c>
      <c r="B59" s="52"/>
      <c r="C59" s="12">
        <v>197.992884877379</v>
      </c>
      <c r="D59" s="12">
        <v>251.428714389176</v>
      </c>
      <c r="E59" s="12">
        <v>85.6707624907803</v>
      </c>
      <c r="F59" s="12">
        <v>204.307217805436</v>
      </c>
      <c r="G59" s="12">
        <v>176.064191953076</v>
      </c>
      <c r="H59" s="12">
        <v>196.884615649741</v>
      </c>
      <c r="I59" s="12">
        <v>195.384616007415</v>
      </c>
      <c r="J59" s="12">
        <v>199.533699825409</v>
      </c>
      <c r="K59" s="12">
        <v>209.647980518131</v>
      </c>
      <c r="L59" s="13">
        <v>201.882279226199</v>
      </c>
      <c r="M59" s="12">
        <v>106.61115740672</v>
      </c>
      <c r="N59" s="12">
        <v>195.967870173994</v>
      </c>
      <c r="O59" s="12">
        <v>231.257977097544</v>
      </c>
      <c r="P59" s="12">
        <v>206.070497389708</v>
      </c>
      <c r="Q59" s="12">
        <v>195.384628167816</v>
      </c>
      <c r="R59" s="12">
        <v>183.68662455763</v>
      </c>
      <c r="S59" s="12">
        <v>195.384603302772</v>
      </c>
      <c r="T59" s="12">
        <v>301.641433397751</v>
      </c>
      <c r="U59" s="12">
        <v>221.981602283908</v>
      </c>
      <c r="V59" s="7">
        <v>196.26788104188</v>
      </c>
      <c r="W59" s="7">
        <v>151.469441714884</v>
      </c>
      <c r="X59" s="7">
        <v>110.500085810649</v>
      </c>
    </row>
    <row r="60">
      <c r="A60" s="8">
        <v>41944.0</v>
      </c>
      <c r="B60" s="52"/>
      <c r="C60" s="12">
        <v>182.502175407187</v>
      </c>
      <c r="D60" s="12">
        <v>210.964884339385</v>
      </c>
      <c r="E60" s="12">
        <v>124.809254557083</v>
      </c>
      <c r="F60" s="12">
        <v>177.786180107172</v>
      </c>
      <c r="G60" s="12">
        <v>169.230266474283</v>
      </c>
      <c r="H60" s="12">
        <v>2233.74424313612</v>
      </c>
      <c r="I60" s="12">
        <v>141.579649487501</v>
      </c>
      <c r="J60" s="12">
        <v>177.174421491814</v>
      </c>
      <c r="K60" s="12">
        <v>207.116516800506</v>
      </c>
      <c r="L60" s="13">
        <v>190.112423911558</v>
      </c>
      <c r="M60" s="12">
        <v>110.196186115819</v>
      </c>
      <c r="N60" s="12">
        <v>197.773464264659</v>
      </c>
      <c r="O60" s="12">
        <v>188.383875831012</v>
      </c>
      <c r="P60" s="12">
        <v>193.8826083012</v>
      </c>
      <c r="Q60" s="12">
        <v>195.384628167816</v>
      </c>
      <c r="R60" s="12">
        <v>161.311379424576</v>
      </c>
      <c r="S60" s="12">
        <v>194.815836767126</v>
      </c>
      <c r="T60" s="12">
        <v>301.638408384474</v>
      </c>
      <c r="U60" s="12">
        <v>177.986717962698</v>
      </c>
      <c r="V60" s="7">
        <v>161.221143049838</v>
      </c>
      <c r="W60" s="7">
        <v>162.465085983243</v>
      </c>
      <c r="X60" s="7">
        <v>96.1285109216729</v>
      </c>
    </row>
    <row r="61">
      <c r="A61" s="8">
        <v>41974.0</v>
      </c>
      <c r="B61" s="52"/>
      <c r="C61" s="12">
        <v>165.472763857835</v>
      </c>
      <c r="D61" s="12">
        <v>211.003433332414</v>
      </c>
      <c r="E61" s="12">
        <v>172.018501539192</v>
      </c>
      <c r="F61" s="12">
        <v>186.015223067289</v>
      </c>
      <c r="G61" s="12">
        <v>160.140536311114</v>
      </c>
      <c r="H61" s="12">
        <v>205.884615649741</v>
      </c>
      <c r="I61" s="12">
        <v>211.684679112925</v>
      </c>
      <c r="J61" s="12">
        <v>115.162514511748</v>
      </c>
      <c r="K61" s="12">
        <v>197.958672717076</v>
      </c>
      <c r="L61" s="13">
        <v>175.730385911937</v>
      </c>
      <c r="M61" s="12">
        <v>124.001425373872</v>
      </c>
      <c r="N61" s="12">
        <v>197.773464264659</v>
      </c>
      <c r="O61" s="12">
        <v>182.257977097544</v>
      </c>
      <c r="P61" s="12">
        <v>194.344938779075</v>
      </c>
      <c r="Q61" s="12">
        <v>195.384628167816</v>
      </c>
      <c r="R61" s="12">
        <v>151.143281535028</v>
      </c>
      <c r="S61" s="12">
        <v>195.384603302772</v>
      </c>
      <c r="T61" s="12">
        <v>301.641433397751</v>
      </c>
      <c r="U61" s="12">
        <v>153.088578196955</v>
      </c>
      <c r="V61" s="7">
        <v>150.593427640192</v>
      </c>
      <c r="W61" s="7">
        <v>255.337047841103</v>
      </c>
      <c r="X61" s="7">
        <v>243.469181834141</v>
      </c>
    </row>
    <row r="62">
      <c r="A62" s="8">
        <v>42005.0</v>
      </c>
      <c r="B62" s="52"/>
      <c r="C62" s="12">
        <v>188.12070935759</v>
      </c>
      <c r="D62" s="12">
        <v>188.663912567908</v>
      </c>
      <c r="E62" s="12">
        <v>197.087191643773</v>
      </c>
      <c r="F62" s="12">
        <v>193.243914160153</v>
      </c>
      <c r="G62" s="12">
        <v>160.982633436476</v>
      </c>
      <c r="H62" s="12">
        <v>196.884615649741</v>
      </c>
      <c r="I62" s="12">
        <v>195.384616007415</v>
      </c>
      <c r="J62" s="12">
        <v>195.39030803945</v>
      </c>
      <c r="K62" s="12">
        <v>212.314839041139</v>
      </c>
      <c r="L62" s="13">
        <v>206.49423262074</v>
      </c>
      <c r="M62" s="12">
        <v>126.833554225835</v>
      </c>
      <c r="N62" s="12">
        <v>192.872566018569</v>
      </c>
      <c r="O62" s="12">
        <v>205.757977097544</v>
      </c>
      <c r="P62" s="12">
        <v>203.782583514462</v>
      </c>
      <c r="Q62" s="12">
        <v>195.384628167816</v>
      </c>
      <c r="R62" s="12">
        <v>344.41817709135</v>
      </c>
      <c r="S62" s="12">
        <v>195.384603302772</v>
      </c>
      <c r="T62" s="12">
        <v>301.641433397751</v>
      </c>
      <c r="U62" s="12">
        <v>165.163229062749</v>
      </c>
      <c r="V62" s="7">
        <v>201.229415615584</v>
      </c>
      <c r="W62" s="7">
        <v>174.46955882844</v>
      </c>
      <c r="X62" s="7">
        <v>178.664302513405</v>
      </c>
    </row>
    <row r="63">
      <c r="A63" s="8">
        <v>42036.0</v>
      </c>
      <c r="B63" s="52"/>
      <c r="C63" s="12">
        <v>202.936997310674</v>
      </c>
      <c r="D63" s="12">
        <v>188.614599309307</v>
      </c>
      <c r="E63" s="12">
        <v>190.185335658056</v>
      </c>
      <c r="F63" s="12">
        <v>210.500029604606</v>
      </c>
      <c r="G63" s="12">
        <v>176.60028101944</v>
      </c>
      <c r="H63" s="12">
        <v>206.166666666667</v>
      </c>
      <c r="I63" s="12">
        <v>195.384616007415</v>
      </c>
      <c r="J63" s="12">
        <v>201.536207745486</v>
      </c>
      <c r="K63" s="12">
        <v>213.528120625767</v>
      </c>
      <c r="L63" s="13">
        <v>213.958526103118</v>
      </c>
      <c r="M63" s="12">
        <v>144.35180676352</v>
      </c>
      <c r="N63" s="12">
        <v>197.171599567771</v>
      </c>
      <c r="O63" s="12">
        <v>203.834235324399</v>
      </c>
      <c r="P63" s="12">
        <v>211.790282077822</v>
      </c>
      <c r="Q63" s="12">
        <v>195.384628167816</v>
      </c>
      <c r="R63" s="12">
        <v>164.788159533768</v>
      </c>
      <c r="S63" s="12">
        <v>195.384603302772</v>
      </c>
      <c r="T63" s="12">
        <v>301.635504371729</v>
      </c>
      <c r="U63" s="12">
        <v>177.023870727015</v>
      </c>
      <c r="V63" s="7">
        <v>237.020610639019</v>
      </c>
      <c r="W63" s="7">
        <v>185.7140605284</v>
      </c>
      <c r="X63" s="7">
        <v>160.391868705853</v>
      </c>
    </row>
    <row r="64">
      <c r="A64" s="8">
        <v>42064.0</v>
      </c>
      <c r="B64" s="52"/>
      <c r="C64" s="12">
        <v>201.437515174672</v>
      </c>
      <c r="D64" s="12">
        <v>188.67310357406</v>
      </c>
      <c r="E64" s="12">
        <v>189.855197829412</v>
      </c>
      <c r="F64" s="12">
        <v>205.095893671673</v>
      </c>
      <c r="G64" s="12">
        <v>198.836904214648</v>
      </c>
      <c r="H64" s="12">
        <v>205.884615649741</v>
      </c>
      <c r="I64" s="12">
        <v>195.384616007415</v>
      </c>
      <c r="J64" s="12">
        <v>257.067234009714</v>
      </c>
      <c r="K64" s="12">
        <v>195.335785486168</v>
      </c>
      <c r="L64" s="13">
        <v>213.98759395779</v>
      </c>
      <c r="M64" s="12">
        <v>168.53750059345</v>
      </c>
      <c r="N64" s="12">
        <v>197.773464264659</v>
      </c>
      <c r="O64" s="12">
        <v>181.433516337625</v>
      </c>
      <c r="P64" s="12">
        <v>220.369959109992</v>
      </c>
      <c r="Q64" s="12">
        <v>195.384628167816</v>
      </c>
      <c r="R64" s="12">
        <v>179.087252744456</v>
      </c>
      <c r="S64" s="12">
        <v>195.384603302772</v>
      </c>
      <c r="T64" s="12">
        <v>301.640344392971</v>
      </c>
      <c r="U64" s="12">
        <v>162.729366758061</v>
      </c>
      <c r="V64" s="7">
        <v>199.183427760054</v>
      </c>
      <c r="W64" s="7">
        <v>195.936334801092</v>
      </c>
      <c r="X64" s="7">
        <v>187.278434287372</v>
      </c>
    </row>
    <row r="65">
      <c r="A65" s="8">
        <v>42095.0</v>
      </c>
      <c r="B65" s="52"/>
      <c r="C65" s="12">
        <v>201.571984852973</v>
      </c>
      <c r="D65" s="12">
        <v>193.747149557044</v>
      </c>
      <c r="E65" s="12">
        <v>125.059036390354</v>
      </c>
      <c r="F65" s="12">
        <v>184.526836054525</v>
      </c>
      <c r="G65" s="12">
        <v>206.425500372848</v>
      </c>
      <c r="H65" s="12">
        <v>193.884615649741</v>
      </c>
      <c r="I65" s="12">
        <v>195.384616007415</v>
      </c>
      <c r="J65" s="12">
        <v>193.333857614744</v>
      </c>
      <c r="K65" s="12">
        <v>197.473990308974</v>
      </c>
      <c r="L65" s="13">
        <v>211.768433941854</v>
      </c>
      <c r="M65" s="12">
        <v>196.576245913861</v>
      </c>
      <c r="N65" s="12">
        <v>195.366005477106</v>
      </c>
      <c r="O65" s="12">
        <v>205.757977097544</v>
      </c>
      <c r="P65" s="12">
        <v>190.055100262989</v>
      </c>
      <c r="Q65" s="12">
        <v>195.384628167816</v>
      </c>
      <c r="R65" s="12">
        <v>229.416605951229</v>
      </c>
      <c r="S65" s="12">
        <v>195.384603302772</v>
      </c>
      <c r="T65" s="12">
        <v>301.641433397751</v>
      </c>
      <c r="U65" s="12">
        <v>194.394636246157</v>
      </c>
      <c r="V65" s="7">
        <v>195.01219036539</v>
      </c>
      <c r="W65" s="7">
        <v>195.936334801092</v>
      </c>
      <c r="X65" s="7">
        <v>201.177725935669</v>
      </c>
    </row>
    <row r="66">
      <c r="A66" s="8">
        <v>42125.0</v>
      </c>
      <c r="B66" s="52"/>
      <c r="C66" s="12">
        <v>200.28725311894</v>
      </c>
      <c r="D66" s="12">
        <v>162.599294658348</v>
      </c>
      <c r="E66" s="12">
        <v>194.347073777877</v>
      </c>
      <c r="F66" s="12">
        <v>200.990671569499</v>
      </c>
      <c r="G66" s="12">
        <v>211.065003219095</v>
      </c>
      <c r="H66" s="12">
        <v>203.884615649741</v>
      </c>
      <c r="I66" s="12">
        <v>149.302863350335</v>
      </c>
      <c r="J66" s="12">
        <v>209.7</v>
      </c>
      <c r="K66" s="12">
        <v>195.235733509631</v>
      </c>
      <c r="L66" s="13">
        <v>207.679657212106</v>
      </c>
      <c r="M66" s="12">
        <v>160.817859650663</v>
      </c>
      <c r="N66" s="12">
        <v>197.486862028046</v>
      </c>
      <c r="O66" s="12">
        <v>229.257977097544</v>
      </c>
      <c r="P66" s="12">
        <v>206.070497389708</v>
      </c>
      <c r="Q66" s="12">
        <v>195.384628167816</v>
      </c>
      <c r="R66" s="12">
        <v>210.476665954095</v>
      </c>
      <c r="S66" s="12">
        <v>195.384603302772</v>
      </c>
      <c r="T66" s="12">
        <v>301.641433397751</v>
      </c>
      <c r="U66" s="12">
        <v>208.088919922305</v>
      </c>
      <c r="V66" s="7">
        <v>187.506280526818</v>
      </c>
      <c r="W66" s="7">
        <v>196.384116090614</v>
      </c>
      <c r="X66" s="7">
        <v>248.863699552954</v>
      </c>
    </row>
    <row r="67">
      <c r="A67" s="8">
        <v>42156.0</v>
      </c>
      <c r="B67" s="52"/>
      <c r="C67" s="12">
        <v>199.767681543626</v>
      </c>
      <c r="D67" s="12">
        <v>207.247074447333</v>
      </c>
      <c r="E67" s="12">
        <v>189.907097566921</v>
      </c>
      <c r="F67" s="12">
        <v>200.145113203732</v>
      </c>
      <c r="G67" s="12">
        <v>215.418906926907</v>
      </c>
      <c r="H67" s="12">
        <v>199.884615649741</v>
      </c>
      <c r="I67" s="12">
        <v>188.379200620687</v>
      </c>
      <c r="J67" s="12">
        <v>210.88055068091</v>
      </c>
      <c r="K67" s="12">
        <v>167.246452949719</v>
      </c>
      <c r="L67" s="13">
        <v>208.672551660595</v>
      </c>
      <c r="M67" s="12">
        <v>174.15638045264</v>
      </c>
      <c r="N67" s="12">
        <v>196.225812186946</v>
      </c>
      <c r="O67" s="12">
        <v>241.257977097544</v>
      </c>
      <c r="P67" s="12">
        <v>206.642475858519</v>
      </c>
      <c r="Q67" s="12">
        <v>195.384628167816</v>
      </c>
      <c r="R67" s="12">
        <v>206.603779993559</v>
      </c>
      <c r="S67" s="12">
        <v>195.384603302772</v>
      </c>
      <c r="T67" s="12">
        <v>301.641433397751</v>
      </c>
      <c r="U67" s="12">
        <v>222.696418138934</v>
      </c>
      <c r="V67" s="7">
        <v>164.432993600904</v>
      </c>
      <c r="W67" s="7">
        <v>196.682636950295</v>
      </c>
      <c r="X67" s="7">
        <v>203.76070799967</v>
      </c>
    </row>
    <row r="68">
      <c r="A68" s="8">
        <v>42186.0</v>
      </c>
      <c r="B68" s="52"/>
      <c r="C68" s="12">
        <v>199.321134403937</v>
      </c>
      <c r="D68" s="12">
        <v>265.049029216486</v>
      </c>
      <c r="E68" s="12">
        <v>188.216815062278</v>
      </c>
      <c r="F68" s="12">
        <v>200.008342029905</v>
      </c>
      <c r="G68" s="12">
        <v>216.223221695916</v>
      </c>
      <c r="H68" s="12">
        <v>200.884615649741</v>
      </c>
      <c r="I68" s="12">
        <v>157.175805893313</v>
      </c>
      <c r="J68" s="12">
        <v>238.312642236052</v>
      </c>
      <c r="K68" s="12">
        <v>210.743612805145</v>
      </c>
      <c r="L68" s="13">
        <v>204.784814116718</v>
      </c>
      <c r="M68" s="12">
        <v>160.896729224696</v>
      </c>
      <c r="N68" s="12">
        <v>194.907441898525</v>
      </c>
      <c r="O68" s="12">
        <v>240.983156844238</v>
      </c>
      <c r="P68" s="12">
        <v>198.062798826349</v>
      </c>
      <c r="Q68" s="12">
        <v>195.384628167816</v>
      </c>
      <c r="R68" s="12">
        <v>205.478566297027</v>
      </c>
      <c r="S68" s="12">
        <v>195.384603302772</v>
      </c>
      <c r="T68" s="12">
        <v>301.64131239722</v>
      </c>
      <c r="U68" s="12">
        <v>217.762191846562</v>
      </c>
      <c r="V68" s="7">
        <v>182.658214307167</v>
      </c>
      <c r="W68" s="7">
        <v>195.936334801092</v>
      </c>
      <c r="X68" s="7">
        <v>175.689851608475</v>
      </c>
    </row>
    <row r="69">
      <c r="A69" s="8">
        <v>42217.0</v>
      </c>
      <c r="B69" s="52"/>
      <c r="C69" s="12">
        <v>179.03200727843</v>
      </c>
      <c r="D69" s="12">
        <v>293.39378704459</v>
      </c>
      <c r="E69" s="12">
        <v>196.485818234554</v>
      </c>
      <c r="F69" s="12">
        <v>124.943715240317</v>
      </c>
      <c r="G69" s="12">
        <v>210.694470949246</v>
      </c>
      <c r="H69" s="12">
        <v>198.884615649741</v>
      </c>
      <c r="I69" s="12">
        <v>195.384616007415</v>
      </c>
      <c r="J69" s="12">
        <v>191.515681953924</v>
      </c>
      <c r="K69" s="12">
        <v>262.862901658232</v>
      </c>
      <c r="L69" s="13">
        <v>190.254327874517</v>
      </c>
      <c r="M69" s="12">
        <v>227.50487821665</v>
      </c>
      <c r="N69" s="12">
        <v>194.563519214589</v>
      </c>
      <c r="O69" s="12">
        <v>241.257977097544</v>
      </c>
      <c r="P69" s="12">
        <v>201.780658873623</v>
      </c>
      <c r="Q69" s="12">
        <v>195.384628167816</v>
      </c>
      <c r="R69" s="12">
        <v>202.044688562282</v>
      </c>
      <c r="S69" s="12">
        <v>195.384603302772</v>
      </c>
      <c r="T69" s="12">
        <v>301.641433397751</v>
      </c>
      <c r="U69" s="12">
        <v>189.241790833665</v>
      </c>
      <c r="V69" s="7">
        <v>168.315905953498</v>
      </c>
      <c r="W69" s="7">
        <v>209.225291355591</v>
      </c>
      <c r="X69" s="7">
        <v>159.876432409111</v>
      </c>
    </row>
    <row r="70">
      <c r="A70" s="8">
        <v>42248.0</v>
      </c>
      <c r="B70" s="52"/>
      <c r="C70" s="12">
        <v>205.300541228833</v>
      </c>
      <c r="D70" s="12">
        <v>302.745412153152</v>
      </c>
      <c r="E70" s="12">
        <v>207.710406582339</v>
      </c>
      <c r="F70" s="12">
        <v>351.880906033263</v>
      </c>
      <c r="G70" s="12">
        <v>212.63137387619</v>
      </c>
      <c r="H70" s="12">
        <v>199.884615649741</v>
      </c>
      <c r="I70" s="12">
        <v>195.384616007415</v>
      </c>
      <c r="J70" s="12">
        <v>284.118885531062</v>
      </c>
      <c r="K70" s="12">
        <v>297.218064569323</v>
      </c>
      <c r="L70" s="13">
        <v>213.105616681816</v>
      </c>
      <c r="M70" s="12">
        <v>165.931091584043</v>
      </c>
      <c r="N70" s="12">
        <v>196.053850844978</v>
      </c>
      <c r="O70" s="12">
        <v>241.257977097544</v>
      </c>
      <c r="P70" s="12">
        <v>201.494669639217</v>
      </c>
      <c r="Q70" s="12">
        <v>195.384628167816</v>
      </c>
      <c r="R70" s="12">
        <v>178.177369090837</v>
      </c>
      <c r="S70" s="12">
        <v>195.384603302772</v>
      </c>
      <c r="T70" s="12">
        <v>301.641433397751</v>
      </c>
      <c r="U70" s="12">
        <v>234.33970765729</v>
      </c>
      <c r="V70" s="7">
        <v>45.0</v>
      </c>
      <c r="W70" s="7">
        <v>209.225291355591</v>
      </c>
      <c r="X70" s="7">
        <v>176.453663637823</v>
      </c>
    </row>
    <row r="71">
      <c r="A71" s="8">
        <v>42278.0</v>
      </c>
      <c r="B71" s="52"/>
      <c r="C71" s="12">
        <v>191.189663629884</v>
      </c>
      <c r="D71" s="12">
        <v>296.076617948022</v>
      </c>
      <c r="E71" s="12">
        <v>208.101813049762</v>
      </c>
      <c r="F71" s="12">
        <v>185.26981731305</v>
      </c>
      <c r="G71" s="12">
        <v>191.197880291722</v>
      </c>
      <c r="H71" s="12">
        <v>204.884615649741</v>
      </c>
      <c r="I71" s="12">
        <v>195.384616007415</v>
      </c>
      <c r="J71" s="12">
        <v>209.44428594285</v>
      </c>
      <c r="K71" s="12">
        <v>304.087576082467</v>
      </c>
      <c r="L71" s="13">
        <v>192.580301990729</v>
      </c>
      <c r="M71" s="12">
        <v>160.707407979969</v>
      </c>
      <c r="N71" s="12">
        <v>197.515522251707</v>
      </c>
      <c r="O71" s="12">
        <v>238.784594817786</v>
      </c>
      <c r="P71" s="12">
        <v>203.210605045651</v>
      </c>
      <c r="Q71" s="12">
        <v>195.384628167816</v>
      </c>
      <c r="R71" s="12">
        <v>156.340590698576</v>
      </c>
      <c r="S71" s="12">
        <v>195.384603302772</v>
      </c>
      <c r="T71" s="12">
        <v>301.631632354735</v>
      </c>
      <c r="U71" s="12">
        <v>235.165857407046</v>
      </c>
      <c r="V71" s="7">
        <v>159.310168306334</v>
      </c>
      <c r="W71" s="7">
        <v>203.705263248337</v>
      </c>
      <c r="X71" s="7">
        <v>278.62183400562</v>
      </c>
    </row>
    <row r="72">
      <c r="A72" s="8">
        <v>42309.0</v>
      </c>
      <c r="B72" s="52"/>
      <c r="C72" s="12">
        <v>205.550541228833</v>
      </c>
      <c r="D72" s="12">
        <v>295.549244501276</v>
      </c>
      <c r="E72" s="12">
        <v>331.88886399551</v>
      </c>
      <c r="F72" s="12">
        <v>166.847799319355</v>
      </c>
      <c r="G72" s="12">
        <v>217.615843972204</v>
      </c>
      <c r="H72" s="12">
        <v>201.884615649741</v>
      </c>
      <c r="I72" s="12">
        <v>195.384616007415</v>
      </c>
      <c r="J72" s="12">
        <v>222.80722704928</v>
      </c>
      <c r="K72" s="12">
        <v>304.347011888507</v>
      </c>
      <c r="L72" s="13">
        <v>203.695868931919</v>
      </c>
      <c r="M72" s="12">
        <v>161.000913555157</v>
      </c>
      <c r="N72" s="12">
        <v>196.741696212851</v>
      </c>
      <c r="O72" s="12">
        <v>165.957227691566</v>
      </c>
      <c r="P72" s="12">
        <v>185.479272512498</v>
      </c>
      <c r="Q72" s="12">
        <v>195.384628167816</v>
      </c>
      <c r="R72" s="12">
        <v>164.265010874209</v>
      </c>
      <c r="S72" s="12">
        <v>195.384603302772</v>
      </c>
      <c r="T72" s="12">
        <v>292.557197527593</v>
      </c>
      <c r="U72" s="12">
        <v>235.888738438082</v>
      </c>
      <c r="V72" s="7">
        <v>168.937961421374</v>
      </c>
      <c r="W72" s="7">
        <v>195.936334801092</v>
      </c>
      <c r="X72" s="7">
        <v>192.89176477557</v>
      </c>
    </row>
    <row r="73">
      <c r="A73" s="8">
        <v>42339.0</v>
      </c>
      <c r="B73" s="52"/>
      <c r="C73" s="12">
        <v>210.200541228833</v>
      </c>
      <c r="D73" s="12">
        <v>295.286795399704</v>
      </c>
      <c r="E73" s="12">
        <v>362.979106439748</v>
      </c>
      <c r="F73" s="12">
        <v>167.143919295297</v>
      </c>
      <c r="G73" s="12">
        <v>177.268190343028</v>
      </c>
      <c r="H73" s="12">
        <v>192.884615649741</v>
      </c>
      <c r="I73" s="12">
        <v>195.384616007415</v>
      </c>
      <c r="J73" s="12">
        <v>218.696682393658</v>
      </c>
      <c r="K73" s="12">
        <v>298.729389916385</v>
      </c>
      <c r="L73" s="13">
        <v>201.918723218807</v>
      </c>
      <c r="M73" s="12">
        <v>154.311093558718</v>
      </c>
      <c r="N73" s="12">
        <v>195.165383911477</v>
      </c>
      <c r="O73" s="12">
        <v>241.257977097544</v>
      </c>
      <c r="P73" s="12">
        <v>182.04740169963</v>
      </c>
      <c r="Q73" s="12">
        <v>195.384628167816</v>
      </c>
      <c r="R73" s="12">
        <v>180.148546565779</v>
      </c>
      <c r="S73" s="12">
        <v>195.384603302772</v>
      </c>
      <c r="T73" s="12">
        <v>301.641433397751</v>
      </c>
      <c r="U73" s="12">
        <v>236.280733099175</v>
      </c>
      <c r="V73" s="7">
        <v>173.718755517508</v>
      </c>
      <c r="W73" s="7">
        <v>194.914107373823</v>
      </c>
      <c r="X73" s="7">
        <v>191.181940866503</v>
      </c>
    </row>
    <row r="74">
      <c r="A74" s="8">
        <v>42370.0</v>
      </c>
      <c r="B74" s="52"/>
      <c r="C74" s="12">
        <v>205.300541228833</v>
      </c>
      <c r="D74" s="12">
        <v>294.15638787003</v>
      </c>
      <c r="E74" s="12">
        <v>193.185335658056</v>
      </c>
      <c r="F74" s="12">
        <v>164.682254638141</v>
      </c>
      <c r="G74" s="12">
        <v>184.551454978452</v>
      </c>
      <c r="H74" s="12">
        <v>556.16209341364</v>
      </c>
      <c r="I74" s="12">
        <v>195.384616007415</v>
      </c>
      <c r="J74" s="12">
        <v>214.753644833161</v>
      </c>
      <c r="K74" s="12">
        <v>295.423849056605</v>
      </c>
      <c r="L74" s="13">
        <v>199.606954638669</v>
      </c>
      <c r="M74" s="12">
        <v>152.603759328501</v>
      </c>
      <c r="N74" s="12">
        <v>197.773464264659</v>
      </c>
      <c r="O74" s="12">
        <v>239.883875831012</v>
      </c>
      <c r="P74" s="12">
        <v>203.210605045651</v>
      </c>
      <c r="Q74" s="12">
        <v>195.384628167816</v>
      </c>
      <c r="R74" s="12">
        <v>166.285822221316</v>
      </c>
      <c r="S74" s="12">
        <v>195.384603302772</v>
      </c>
      <c r="T74" s="12">
        <v>301.638408384474</v>
      </c>
      <c r="U74" s="12">
        <v>210.195907690716</v>
      </c>
      <c r="V74" s="7">
        <v>198.230760562828</v>
      </c>
      <c r="W74" s="7">
        <v>192.562984291104</v>
      </c>
      <c r="X74" s="7">
        <v>189.116610674107</v>
      </c>
    </row>
    <row r="75">
      <c r="A75" s="8">
        <v>42401.0</v>
      </c>
      <c r="B75" s="52"/>
      <c r="C75" s="12">
        <v>205.119495501127</v>
      </c>
      <c r="D75" s="12">
        <v>306.199721032675</v>
      </c>
      <c r="E75" s="12">
        <v>200.185335658056</v>
      </c>
      <c r="F75" s="12">
        <v>151.197168382145</v>
      </c>
      <c r="G75" s="12">
        <v>190.240496059912</v>
      </c>
      <c r="H75" s="12">
        <v>205.884615649741</v>
      </c>
      <c r="I75" s="12">
        <v>195.384616007415</v>
      </c>
      <c r="J75" s="12">
        <v>315.283427781094</v>
      </c>
      <c r="K75" s="12">
        <v>300.953436924159</v>
      </c>
      <c r="L75" s="13">
        <v>307.875760964887</v>
      </c>
      <c r="M75" s="12">
        <v>186.735887554148</v>
      </c>
      <c r="N75" s="12">
        <v>197.773464264659</v>
      </c>
      <c r="O75" s="12">
        <v>236.86085304464</v>
      </c>
      <c r="P75" s="12">
        <v>213.506217484256</v>
      </c>
      <c r="Q75" s="12">
        <v>195.384628167816</v>
      </c>
      <c r="R75" s="12">
        <v>165.818779585378</v>
      </c>
      <c r="S75" s="12">
        <v>195.384603302772</v>
      </c>
      <c r="T75" s="12">
        <v>301.610457261799</v>
      </c>
      <c r="U75" s="12">
        <v>240.948905655337</v>
      </c>
      <c r="V75" s="7">
        <v>180.897633200682</v>
      </c>
      <c r="W75" s="7">
        <v>192.562984291104</v>
      </c>
      <c r="X75" s="7">
        <v>213.572697591466</v>
      </c>
    </row>
    <row r="76">
      <c r="A76" s="8">
        <v>42430.0</v>
      </c>
      <c r="B76" s="52"/>
      <c r="C76" s="12">
        <v>202.823930605085</v>
      </c>
      <c r="D76" s="12">
        <v>294.022733045865</v>
      </c>
      <c r="E76" s="12">
        <v>200.456578718401</v>
      </c>
      <c r="F76" s="12">
        <v>174.575878568163</v>
      </c>
      <c r="G76" s="12">
        <v>208.631295779868</v>
      </c>
      <c r="H76" s="12">
        <v>205.884615649741</v>
      </c>
      <c r="I76" s="12">
        <v>195.384616007415</v>
      </c>
      <c r="J76" s="12">
        <v>212.515431147792</v>
      </c>
      <c r="K76" s="12">
        <v>298.085231623507</v>
      </c>
      <c r="L76" s="13">
        <v>195.49179270156</v>
      </c>
      <c r="M76" s="12">
        <v>137.177518905542</v>
      </c>
      <c r="N76" s="12">
        <v>221.00619092117</v>
      </c>
      <c r="O76" s="12">
        <v>240.433516337625</v>
      </c>
      <c r="P76" s="12">
        <v>223.229851454049</v>
      </c>
      <c r="Q76" s="12">
        <v>195.384628167816</v>
      </c>
      <c r="R76" s="12">
        <v>195.823910185049</v>
      </c>
      <c r="S76" s="12">
        <v>195.384603302772</v>
      </c>
      <c r="T76" s="12">
        <v>301.640344392971</v>
      </c>
      <c r="U76" s="12">
        <v>240.948905655337</v>
      </c>
      <c r="V76" s="7">
        <v>188.036932504249</v>
      </c>
      <c r="W76" s="7">
        <v>192.66520703383</v>
      </c>
      <c r="X76" s="7">
        <v>187.794465466303</v>
      </c>
    </row>
    <row r="77">
      <c r="A77" s="8">
        <v>42461.0</v>
      </c>
      <c r="B77" s="52"/>
      <c r="C77" s="12">
        <v>202.800541228833</v>
      </c>
      <c r="D77" s="12">
        <v>293.987967091945</v>
      </c>
      <c r="E77" s="12">
        <v>188.185335658056</v>
      </c>
      <c r="F77" s="12">
        <v>182.48479344846</v>
      </c>
      <c r="G77" s="12">
        <v>225.072239655981</v>
      </c>
      <c r="H77" s="12">
        <v>205.884615649741</v>
      </c>
      <c r="I77" s="12">
        <v>195.384616007415</v>
      </c>
      <c r="J77" s="12">
        <v>211.123011898899</v>
      </c>
      <c r="K77" s="12">
        <v>296.563228242268</v>
      </c>
      <c r="L77" s="13">
        <v>200.242959129567</v>
      </c>
      <c r="M77" s="12">
        <v>126.647996158503</v>
      </c>
      <c r="N77" s="12">
        <v>197.773464264659</v>
      </c>
      <c r="O77" s="12">
        <v>240.983156844238</v>
      </c>
      <c r="P77" s="12">
        <v>211.788114903707</v>
      </c>
      <c r="Q77" s="12">
        <v>195.384628167816</v>
      </c>
      <c r="R77" s="12">
        <v>197.646686645575</v>
      </c>
      <c r="S77" s="12">
        <v>195.381937209636</v>
      </c>
      <c r="T77" s="12">
        <v>301.64131239722</v>
      </c>
      <c r="U77" s="12">
        <v>240.946019105762</v>
      </c>
      <c r="V77" s="7">
        <v>303.199609055443</v>
      </c>
      <c r="W77" s="7">
        <v>192.66520703383</v>
      </c>
      <c r="X77" s="7">
        <v>145.052352326879</v>
      </c>
    </row>
    <row r="78">
      <c r="A78" s="8">
        <v>42491.0</v>
      </c>
      <c r="B78" s="52"/>
      <c r="C78" s="12">
        <v>208.300541228833</v>
      </c>
      <c r="D78" s="12">
        <v>294.970597828099</v>
      </c>
      <c r="E78" s="12">
        <v>257.013123910603</v>
      </c>
      <c r="F78" s="12">
        <v>184.101651161757</v>
      </c>
      <c r="G78" s="12">
        <v>229.382974940572</v>
      </c>
      <c r="H78" s="12">
        <v>205.884615649741</v>
      </c>
      <c r="I78" s="12">
        <v>195.384616007415</v>
      </c>
      <c r="J78" s="12">
        <v>231.999282471759</v>
      </c>
      <c r="K78" s="12">
        <v>298.584859970849</v>
      </c>
      <c r="L78" s="13">
        <v>198.61278011294</v>
      </c>
      <c r="M78" s="12">
        <v>114.962969407111</v>
      </c>
      <c r="N78" s="12">
        <v>197.773464264659</v>
      </c>
      <c r="O78" s="12">
        <v>241.257977097544</v>
      </c>
      <c r="P78" s="12">
        <v>200.350712701594</v>
      </c>
      <c r="Q78" s="12">
        <v>195.384628167816</v>
      </c>
      <c r="R78" s="12">
        <v>206.803312822275</v>
      </c>
      <c r="S78" s="12">
        <v>195.384603302772</v>
      </c>
      <c r="T78" s="12">
        <v>301.641433397751</v>
      </c>
      <c r="U78" s="12">
        <v>238.448905655337</v>
      </c>
      <c r="V78" s="7">
        <v>189.154813166703</v>
      </c>
      <c r="W78" s="7">
        <v>192.562984291104</v>
      </c>
      <c r="X78" s="7">
        <v>156.801783745804</v>
      </c>
    </row>
    <row r="79">
      <c r="A79" s="8">
        <v>42522.0</v>
      </c>
      <c r="B79" s="52"/>
      <c r="C79" s="12">
        <v>230.600541228833</v>
      </c>
      <c r="D79" s="12">
        <v>278.721903051582</v>
      </c>
      <c r="E79" s="12">
        <v>192.795506965562</v>
      </c>
      <c r="F79" s="12">
        <v>194.718155635099</v>
      </c>
      <c r="G79" s="12">
        <v>228.153733876172</v>
      </c>
      <c r="H79" s="12">
        <v>205.884615649741</v>
      </c>
      <c r="I79" s="12">
        <v>195.384616007415</v>
      </c>
      <c r="J79" s="12">
        <v>236.045631686817</v>
      </c>
      <c r="K79" s="12">
        <v>279.057853930657</v>
      </c>
      <c r="L79" s="13">
        <v>211.83634262545</v>
      </c>
      <c r="M79" s="12">
        <v>113.006161693831</v>
      </c>
      <c r="N79" s="12">
        <v>197.773464264659</v>
      </c>
      <c r="O79" s="12">
        <v>231.883875831012</v>
      </c>
      <c r="P79" s="12">
        <v>189.289365409009</v>
      </c>
      <c r="Q79" s="12">
        <v>195.384628167816</v>
      </c>
      <c r="R79" s="12">
        <v>195.867132179709</v>
      </c>
      <c r="S79" s="12">
        <v>194.442583728109</v>
      </c>
      <c r="T79" s="12">
        <v>301.638408384474</v>
      </c>
      <c r="U79" s="12">
        <v>228.616491472217</v>
      </c>
      <c r="V79" s="7">
        <v>167.788612186511</v>
      </c>
      <c r="W79" s="7">
        <v>188.985188295662</v>
      </c>
      <c r="X79" s="7">
        <v>170.775913624894</v>
      </c>
    </row>
    <row r="80">
      <c r="A80" s="8">
        <v>42552.0</v>
      </c>
      <c r="B80" s="52"/>
      <c r="C80" s="12">
        <v>230.600541228833</v>
      </c>
      <c r="D80" s="12">
        <v>274.585125382661</v>
      </c>
      <c r="E80" s="12">
        <v>192.411641134185</v>
      </c>
      <c r="F80" s="12">
        <v>213.02946073602</v>
      </c>
      <c r="G80" s="12">
        <v>220.751479405612</v>
      </c>
      <c r="H80" s="12">
        <v>205.884615649741</v>
      </c>
      <c r="I80" s="12">
        <v>195.384616007415</v>
      </c>
      <c r="J80" s="12">
        <v>218.362047044356</v>
      </c>
      <c r="K80" s="12">
        <v>281.072276927754</v>
      </c>
      <c r="L80" s="13">
        <v>200.030377220614</v>
      </c>
      <c r="M80" s="12">
        <v>147.973602829606</v>
      </c>
      <c r="N80" s="12">
        <v>197.773464264659</v>
      </c>
      <c r="O80" s="12">
        <v>241.777215201364</v>
      </c>
      <c r="P80" s="12">
        <v>188.968341172248</v>
      </c>
      <c r="Q80" s="12">
        <v>195.384628167816</v>
      </c>
      <c r="R80" s="12">
        <v>201.931687851059</v>
      </c>
      <c r="S80" s="12">
        <v>195.384603302772</v>
      </c>
      <c r="T80" s="12">
        <v>310.55779820396</v>
      </c>
      <c r="U80" s="12">
        <v>228.487968155337</v>
      </c>
      <c r="V80" s="7">
        <v>164.036139210049</v>
      </c>
      <c r="W80" s="7">
        <v>191.591868235198</v>
      </c>
      <c r="X80" s="7">
        <v>184.655311784603</v>
      </c>
    </row>
    <row r="81">
      <c r="A81" s="8">
        <v>42583.0</v>
      </c>
      <c r="B81" s="52"/>
      <c r="C81" s="12">
        <v>226.510625293211</v>
      </c>
      <c r="D81" s="12">
        <v>280.134186847315</v>
      </c>
      <c r="E81" s="12">
        <v>226.348315491987</v>
      </c>
      <c r="F81" s="12">
        <v>184.187585354832</v>
      </c>
      <c r="G81" s="12">
        <v>217.593615185505</v>
      </c>
      <c r="H81" s="12">
        <v>205.884615649741</v>
      </c>
      <c r="I81" s="12">
        <v>195.384616007415</v>
      </c>
      <c r="J81" s="12">
        <v>218.350722987007</v>
      </c>
      <c r="K81" s="12">
        <v>278.789576459813</v>
      </c>
      <c r="L81" s="13">
        <v>201.267784843827</v>
      </c>
      <c r="M81" s="12">
        <v>118.529018121885</v>
      </c>
      <c r="N81" s="12">
        <v>197.773464264659</v>
      </c>
      <c r="O81" s="12">
        <v>233.257977097544</v>
      </c>
      <c r="P81" s="12">
        <v>198.63477729516</v>
      </c>
      <c r="Q81" s="12">
        <v>195.384628167816</v>
      </c>
      <c r="R81" s="12">
        <v>198.375864989511</v>
      </c>
      <c r="S81" s="12">
        <v>195.384603302772</v>
      </c>
      <c r="T81" s="12">
        <v>301.641433397751</v>
      </c>
      <c r="U81" s="12">
        <v>229.045585342837</v>
      </c>
      <c r="V81" s="7">
        <v>188.710222399456</v>
      </c>
      <c r="W81" s="7">
        <v>191.591868235198</v>
      </c>
      <c r="X81" s="7">
        <v>181.11458730707</v>
      </c>
    </row>
    <row r="82">
      <c r="A82" s="8">
        <v>42614.0</v>
      </c>
      <c r="B82" s="52"/>
      <c r="C82" s="12">
        <v>226.900541228833</v>
      </c>
      <c r="D82" s="12">
        <v>287.834721793163</v>
      </c>
      <c r="E82" s="12">
        <v>193.13138571611</v>
      </c>
      <c r="F82" s="12">
        <v>181.246676589291</v>
      </c>
      <c r="G82" s="12">
        <v>214.896899391192</v>
      </c>
      <c r="H82" s="12">
        <v>205.884615649741</v>
      </c>
      <c r="I82" s="12">
        <v>195.384616007415</v>
      </c>
      <c r="J82" s="12">
        <v>214.652719608605</v>
      </c>
      <c r="K82" s="12">
        <v>291.425892014359</v>
      </c>
      <c r="L82" s="13">
        <v>199.967190580147</v>
      </c>
      <c r="M82" s="12">
        <v>164.23254894205</v>
      </c>
      <c r="N82" s="12">
        <v>197.773464264659</v>
      </c>
      <c r="O82" s="12">
        <v>235.383875831012</v>
      </c>
      <c r="P82" s="12">
        <v>172.017007295568</v>
      </c>
      <c r="Q82" s="12">
        <v>195.384628167816</v>
      </c>
      <c r="R82" s="12">
        <v>199.205800276244</v>
      </c>
      <c r="S82" s="12">
        <v>192.896249709323</v>
      </c>
      <c r="T82" s="12">
        <v>301.638408384474</v>
      </c>
      <c r="U82" s="12">
        <v>230.339387445356</v>
      </c>
      <c r="V82" s="7">
        <v>173.450370610141</v>
      </c>
      <c r="W82" s="7">
        <v>190.825197664746</v>
      </c>
      <c r="X82" s="7">
        <v>217.693908466698</v>
      </c>
    </row>
    <row r="83">
      <c r="A83" s="8">
        <v>42644.0</v>
      </c>
      <c r="B83" s="52"/>
      <c r="C83" s="12">
        <v>200.000541228833</v>
      </c>
      <c r="D83" s="12">
        <v>284.900382806316</v>
      </c>
      <c r="E83" s="12">
        <v>278.682214924379</v>
      </c>
      <c r="F83" s="12">
        <v>180.231481613343</v>
      </c>
      <c r="G83" s="12">
        <v>206.099991920894</v>
      </c>
      <c r="H83" s="12">
        <v>205.884615649741</v>
      </c>
      <c r="I83" s="12">
        <v>195.384616007415</v>
      </c>
      <c r="J83" s="12">
        <v>211.876541734225</v>
      </c>
      <c r="K83" s="12">
        <v>280.870272979714</v>
      </c>
      <c r="L83" s="13">
        <v>196.6268873501</v>
      </c>
      <c r="M83" s="12">
        <v>163.142196627017</v>
      </c>
      <c r="N83" s="12">
        <v>197.773464264659</v>
      </c>
      <c r="O83" s="12">
        <v>236.757977097544</v>
      </c>
      <c r="P83" s="12">
        <v>160.312219884798</v>
      </c>
      <c r="Q83" s="12">
        <v>195.384628167816</v>
      </c>
      <c r="R83" s="12">
        <v>220.360217822226</v>
      </c>
      <c r="S83" s="12">
        <v>195.384603302772</v>
      </c>
      <c r="T83" s="12">
        <v>301.641433397751</v>
      </c>
      <c r="U83" s="12">
        <v>233.460426041079</v>
      </c>
      <c r="V83" s="7">
        <v>185.569687095685</v>
      </c>
      <c r="W83" s="7">
        <v>190.825197664746</v>
      </c>
      <c r="X83" s="7">
        <v>235.776956786392</v>
      </c>
    </row>
    <row r="84">
      <c r="A84" s="8">
        <v>42675.0</v>
      </c>
      <c r="B84" s="52"/>
      <c r="C84" s="12">
        <v>210.000541228833</v>
      </c>
      <c r="D84" s="12">
        <v>289.205523948201</v>
      </c>
      <c r="E84" s="12">
        <v>1268.45709235514</v>
      </c>
      <c r="F84" s="12">
        <v>181.645021676545</v>
      </c>
      <c r="G84" s="12">
        <v>204.345622909723</v>
      </c>
      <c r="H84" s="12">
        <v>205.884615649741</v>
      </c>
      <c r="I84" s="12">
        <v>243.882361658153</v>
      </c>
      <c r="J84" s="12">
        <v>205.543362682645</v>
      </c>
      <c r="K84" s="12">
        <v>276.03695266411</v>
      </c>
      <c r="L84" s="13">
        <v>198.47242888946</v>
      </c>
      <c r="M84" s="12">
        <v>189.758235420443</v>
      </c>
      <c r="N84" s="12">
        <v>197.773464264659</v>
      </c>
      <c r="O84" s="12">
        <v>210.85980351865</v>
      </c>
      <c r="P84" s="12">
        <v>195.382084122175</v>
      </c>
      <c r="Q84" s="12">
        <v>195.384628167816</v>
      </c>
      <c r="R84" s="12">
        <v>730.699450842533</v>
      </c>
      <c r="S84" s="12">
        <v>195.313205256784</v>
      </c>
      <c r="T84" s="12">
        <v>260.126613160897</v>
      </c>
      <c r="U84" s="12">
        <v>215.611341459358</v>
      </c>
      <c r="V84" s="7">
        <v>153.035235000335</v>
      </c>
      <c r="W84" s="7">
        <v>188.138451022533</v>
      </c>
      <c r="X84" s="7">
        <v>180.591525948355</v>
      </c>
    </row>
    <row r="85">
      <c r="A85" s="8">
        <v>42705.0</v>
      </c>
      <c r="B85" s="52"/>
      <c r="C85" s="12">
        <v>209.800541228833</v>
      </c>
      <c r="D85" s="12">
        <v>297.068421609806</v>
      </c>
      <c r="E85" s="12">
        <v>1271.24001675466</v>
      </c>
      <c r="F85" s="12">
        <v>214.965068815473</v>
      </c>
      <c r="G85" s="12">
        <v>212.992893495709</v>
      </c>
      <c r="H85" s="12">
        <v>205.884615649741</v>
      </c>
      <c r="I85" s="12">
        <v>219.965002557877</v>
      </c>
      <c r="J85" s="12">
        <v>220.610176502693</v>
      </c>
      <c r="K85" s="12">
        <v>279.766803501382</v>
      </c>
      <c r="L85" s="13">
        <v>204.921099895183</v>
      </c>
      <c r="M85" s="12">
        <v>184.146560975096</v>
      </c>
      <c r="N85" s="12">
        <v>197.773464264659</v>
      </c>
      <c r="O85" s="12">
        <v>235.257977097544</v>
      </c>
      <c r="P85" s="12">
        <v>188.911143325367</v>
      </c>
      <c r="Q85" s="12">
        <v>195.384628167816</v>
      </c>
      <c r="R85" s="12">
        <v>254.090109972791</v>
      </c>
      <c r="S85" s="12">
        <v>195.384603302772</v>
      </c>
      <c r="T85" s="12">
        <v>301.641433397751</v>
      </c>
      <c r="U85" s="12">
        <v>216.938975950671</v>
      </c>
      <c r="V85" s="7">
        <v>146.622109818207</v>
      </c>
      <c r="W85" s="7">
        <v>232.327030853885</v>
      </c>
      <c r="X85" s="7">
        <v>200.561822010527</v>
      </c>
    </row>
    <row r="86">
      <c r="A86" s="8">
        <v>42736.0</v>
      </c>
      <c r="B86" s="52">
        <f>IFERROR(__xludf.DUMMYFUNCTION("""COMPUTED_VALUE"""),359.0)</f>
        <v>359</v>
      </c>
      <c r="C86" s="12">
        <v>209.600541228833</v>
      </c>
      <c r="D86" s="12">
        <v>297.130574754679</v>
      </c>
      <c r="E86" s="12">
        <v>1322.82354624382</v>
      </c>
      <c r="F86" s="12">
        <v>207.400331743014</v>
      </c>
      <c r="G86" s="12">
        <v>243.332222363376</v>
      </c>
      <c r="H86" s="12">
        <v>388.807422304178</v>
      </c>
      <c r="I86" s="12">
        <v>397.407714592188</v>
      </c>
      <c r="J86" s="12">
        <v>163.400867998663</v>
      </c>
      <c r="K86" s="12">
        <v>313.082107581572</v>
      </c>
      <c r="L86" s="13">
        <v>213.121803090112</v>
      </c>
      <c r="M86" s="12">
        <v>182.93555054767</v>
      </c>
      <c r="N86" s="12">
        <v>339.503678417973</v>
      </c>
      <c r="O86" s="12">
        <v>236.658696084318</v>
      </c>
      <c r="P86" s="12">
        <v>263.268344270845</v>
      </c>
      <c r="Q86" s="12">
        <v>195.384628167816</v>
      </c>
      <c r="R86" s="12">
        <v>272.79557398293</v>
      </c>
      <c r="S86" s="12">
        <v>195.384603302772</v>
      </c>
      <c r="T86" s="12">
        <v>301.639497389254</v>
      </c>
      <c r="U86" s="12">
        <v>215.677061137152</v>
      </c>
      <c r="V86" s="7">
        <v>228.528499354919</v>
      </c>
      <c r="W86" s="7">
        <v>219.551045844066</v>
      </c>
      <c r="X86" s="7">
        <v>321.743582200591</v>
      </c>
    </row>
    <row r="87">
      <c r="A87" s="8">
        <v>42767.0</v>
      </c>
      <c r="B87" s="52">
        <f>IFERROR(__xludf.DUMMYFUNCTION("""COMPUTED_VALUE"""),513.0)</f>
        <v>513</v>
      </c>
      <c r="C87" s="12">
        <v>204.800541228833</v>
      </c>
      <c r="D87" s="12">
        <v>381.434255924672</v>
      </c>
      <c r="E87" s="12">
        <v>495.67270783435</v>
      </c>
      <c r="F87" s="12">
        <v>354.268520675388</v>
      </c>
      <c r="G87" s="12">
        <v>268.457653959976</v>
      </c>
      <c r="H87" s="12">
        <v>179.884615649741</v>
      </c>
      <c r="I87" s="12">
        <v>220.673655443857</v>
      </c>
      <c r="J87" s="12">
        <v>272.285704364287</v>
      </c>
      <c r="K87" s="12">
        <v>515.232569642741</v>
      </c>
      <c r="L87" s="13">
        <v>436.795222440711</v>
      </c>
      <c r="M87" s="12">
        <v>500.194046426179</v>
      </c>
      <c r="N87" s="12">
        <v>479.238606336027</v>
      </c>
      <c r="O87" s="12">
        <v>512.473076350652</v>
      </c>
      <c r="P87" s="12">
        <v>423.415475401389</v>
      </c>
      <c r="Q87" s="12">
        <v>283.506291813981</v>
      </c>
      <c r="R87" s="12">
        <v>412.280718441083</v>
      </c>
      <c r="S87" s="12">
        <v>516.81538248718</v>
      </c>
      <c r="T87" s="12">
        <v>443.525891543795</v>
      </c>
      <c r="U87" s="12">
        <v>446.880952380952</v>
      </c>
      <c r="V87" s="7">
        <v>490.675805711673</v>
      </c>
      <c r="W87" s="7">
        <v>195.282671591256</v>
      </c>
      <c r="X87" s="7">
        <v>206.503476786169</v>
      </c>
    </row>
    <row r="88">
      <c r="A88" s="8">
        <v>42795.0</v>
      </c>
      <c r="B88" s="52">
        <f>IFERROR(__xludf.DUMMYFUNCTION("""COMPUTED_VALUE"""),412.0)</f>
        <v>412</v>
      </c>
      <c r="C88" s="12">
        <v>198.900541228833</v>
      </c>
      <c r="D88" s="12">
        <v>454.414252473661</v>
      </c>
      <c r="E88" s="12">
        <v>505.754633301491</v>
      </c>
      <c r="F88" s="12">
        <v>310.005495357891</v>
      </c>
      <c r="G88" s="12">
        <v>324.503174825127</v>
      </c>
      <c r="H88" s="12">
        <v>192.884615649741</v>
      </c>
      <c r="I88" s="12">
        <v>428.651824363807</v>
      </c>
      <c r="J88" s="12">
        <v>0.0</v>
      </c>
      <c r="K88" s="12">
        <v>289.348849214613</v>
      </c>
      <c r="L88" s="13">
        <v>422.938431489526</v>
      </c>
      <c r="M88" s="12">
        <v>440.660543173323</v>
      </c>
      <c r="N88" s="12">
        <v>398.92573724772</v>
      </c>
      <c r="O88" s="12">
        <v>497.026002455247</v>
      </c>
      <c r="P88" s="12">
        <v>533.276791027174</v>
      </c>
      <c r="Q88" s="12">
        <v>411.954643544871</v>
      </c>
      <c r="R88" s="12">
        <v>520.426931048784</v>
      </c>
      <c r="S88" s="12">
        <v>695.113025414853</v>
      </c>
      <c r="T88" s="12">
        <v>458.44920765469</v>
      </c>
      <c r="U88" s="12">
        <v>589.862095238095</v>
      </c>
      <c r="V88" s="7">
        <v>582.215955166892</v>
      </c>
      <c r="W88" s="7">
        <v>278.564130139251</v>
      </c>
      <c r="X88" s="7">
        <v>238.170619194287</v>
      </c>
    </row>
    <row r="89">
      <c r="A89" s="8">
        <v>42826.0</v>
      </c>
      <c r="B89" s="52">
        <f>IFERROR(__xludf.DUMMYFUNCTION("""COMPUTED_VALUE"""),902.0)</f>
        <v>902</v>
      </c>
      <c r="C89" s="12">
        <v>689.947450326262</v>
      </c>
      <c r="D89" s="12">
        <v>322.913948562962</v>
      </c>
      <c r="E89" s="12">
        <v>914.246414173847</v>
      </c>
      <c r="F89" s="12">
        <v>874.933709892265</v>
      </c>
      <c r="G89" s="12">
        <v>888.868216050592</v>
      </c>
      <c r="H89" s="12">
        <v>677.467921973754</v>
      </c>
      <c r="I89" s="12">
        <v>927.52644409304</v>
      </c>
      <c r="J89" s="12">
        <v>909.384719357451</v>
      </c>
      <c r="K89" s="12">
        <v>858.053251950643</v>
      </c>
      <c r="L89" s="13">
        <v>894.012462896321</v>
      </c>
      <c r="M89" s="12">
        <v>777.060816342322</v>
      </c>
      <c r="N89" s="12">
        <v>902.064712829835</v>
      </c>
      <c r="O89" s="12">
        <v>929.171157335191</v>
      </c>
      <c r="P89" s="12">
        <v>888.004371597661</v>
      </c>
      <c r="Q89" s="12">
        <v>954.862219251627</v>
      </c>
      <c r="R89" s="12">
        <v>670.987005592316</v>
      </c>
      <c r="S89" s="12">
        <v>874.212399104165</v>
      </c>
      <c r="T89" s="12">
        <v>934.308878909796</v>
      </c>
      <c r="U89" s="12">
        <v>899.756041730348</v>
      </c>
      <c r="V89" s="7">
        <v>788.09002780882</v>
      </c>
      <c r="W89" s="7">
        <v>506.953395758157</v>
      </c>
      <c r="X89" s="7">
        <v>330.222635398408</v>
      </c>
    </row>
    <row r="90">
      <c r="A90" s="8">
        <v>42856.0</v>
      </c>
      <c r="B90" s="52">
        <f>IFERROR(__xludf.DUMMYFUNCTION("""COMPUTED_VALUE"""),1525.0)</f>
        <v>1525</v>
      </c>
      <c r="C90" s="12">
        <v>1512.2665808059</v>
      </c>
      <c r="D90" s="12">
        <v>1140.46582332508</v>
      </c>
      <c r="E90" s="12">
        <v>1675.52172119536</v>
      </c>
      <c r="F90" s="12">
        <v>1478.85606659634</v>
      </c>
      <c r="G90" s="12">
        <v>1523.10700528963</v>
      </c>
      <c r="H90" s="12">
        <v>1618.85285270707</v>
      </c>
      <c r="I90" s="12">
        <v>1525.15856115248</v>
      </c>
      <c r="J90" s="12">
        <v>1032.53206961711</v>
      </c>
      <c r="K90" s="12">
        <v>1549.16239220485</v>
      </c>
      <c r="L90" s="13">
        <v>1524.18838648488</v>
      </c>
      <c r="M90" s="12">
        <v>1484.46991825629</v>
      </c>
      <c r="N90" s="12">
        <v>1530.24209631327</v>
      </c>
      <c r="O90" s="12">
        <v>1556.86250473679</v>
      </c>
      <c r="P90" s="12">
        <v>1528.42434996211</v>
      </c>
      <c r="Q90" s="12">
        <v>1504.51752294768</v>
      </c>
      <c r="R90" s="12">
        <v>1519.71371475848</v>
      </c>
      <c r="S90" s="12">
        <v>1530.06962903221</v>
      </c>
      <c r="T90" s="12">
        <v>1582.8850260006</v>
      </c>
      <c r="U90" s="12">
        <v>1590.15509150151</v>
      </c>
      <c r="V90" s="7">
        <v>1415.47986304883</v>
      </c>
      <c r="W90" s="7">
        <v>1209.08802685825</v>
      </c>
      <c r="X90" s="7">
        <v>1518.50240936815</v>
      </c>
    </row>
    <row r="91">
      <c r="A91" s="8">
        <v>42887.0</v>
      </c>
      <c r="B91" s="52">
        <f>IFERROR(__xludf.DUMMYFUNCTION("""COMPUTED_VALUE"""),365.0)</f>
        <v>365</v>
      </c>
      <c r="C91" s="12">
        <v>192.985228525926</v>
      </c>
      <c r="D91" s="12">
        <v>239.333882922907</v>
      </c>
      <c r="E91" s="12">
        <v>1266.97296488457</v>
      </c>
      <c r="F91" s="12">
        <v>303.699985982245</v>
      </c>
      <c r="G91" s="12">
        <v>374.069507502719</v>
      </c>
      <c r="H91" s="12">
        <v>230.938169315484</v>
      </c>
      <c r="I91" s="12">
        <v>230.261012135237</v>
      </c>
      <c r="J91" s="12">
        <v>33.3</v>
      </c>
      <c r="K91" s="12">
        <v>271.733238497701</v>
      </c>
      <c r="L91" s="13">
        <v>276.55084680495</v>
      </c>
      <c r="M91" s="12">
        <v>344.267529751502</v>
      </c>
      <c r="N91" s="12">
        <v>-470.582951517851</v>
      </c>
      <c r="O91" s="12">
        <v>350.134687835126</v>
      </c>
      <c r="P91" s="12">
        <v>537.976217590795</v>
      </c>
      <c r="Q91" s="12">
        <v>441.719644993155</v>
      </c>
      <c r="R91" s="12">
        <v>1701.38020367637</v>
      </c>
      <c r="S91" s="12">
        <v>596.926892295847</v>
      </c>
      <c r="T91" s="12">
        <v>532.004083399985</v>
      </c>
      <c r="U91" s="12">
        <v>587.477157142857</v>
      </c>
      <c r="V91" s="7">
        <v>1172.09691292911</v>
      </c>
      <c r="W91" s="7">
        <v>336.603351172986</v>
      </c>
      <c r="X91" s="7">
        <v>368.58898661541</v>
      </c>
    </row>
    <row r="92">
      <c r="A92" s="8">
        <v>42917.0</v>
      </c>
      <c r="B92" s="52">
        <f>IFERROR(__xludf.DUMMYFUNCTION("""COMPUTED_VALUE"""),1979.0)</f>
        <v>1979</v>
      </c>
      <c r="C92" s="12">
        <v>209.800541228833</v>
      </c>
      <c r="D92" s="12">
        <v>1323.94021229639</v>
      </c>
      <c r="E92" s="12">
        <v>2049.57596104984</v>
      </c>
      <c r="F92" s="12">
        <v>1940.1777485789</v>
      </c>
      <c r="G92" s="12">
        <v>1992.75594692641</v>
      </c>
      <c r="H92" s="12">
        <v>1982.16488262109</v>
      </c>
      <c r="I92" s="12">
        <v>1025.26006014346</v>
      </c>
      <c r="J92" s="12">
        <v>468.501620073464</v>
      </c>
      <c r="K92" s="12">
        <v>1991.99139754183</v>
      </c>
      <c r="L92" s="13">
        <v>1996.4593483182</v>
      </c>
      <c r="M92" s="12">
        <v>684.546178264272</v>
      </c>
      <c r="N92" s="12">
        <v>2815.37341376287</v>
      </c>
      <c r="O92" s="12">
        <v>816.082963365977</v>
      </c>
      <c r="P92" s="12">
        <v>234.669420830277</v>
      </c>
      <c r="Q92" s="12">
        <v>2524.05044159504</v>
      </c>
      <c r="R92" s="12">
        <v>628.977754337312</v>
      </c>
      <c r="S92" s="12">
        <v>566.978145522206</v>
      </c>
      <c r="T92" s="12">
        <v>832.102544392971</v>
      </c>
      <c r="U92" s="12">
        <v>617.675585714286</v>
      </c>
      <c r="V92" s="7">
        <v>958.359478804485</v>
      </c>
      <c r="W92" s="7">
        <v>351.872678419407</v>
      </c>
      <c r="X92" s="7">
        <v>907.483278014061</v>
      </c>
    </row>
    <row r="93">
      <c r="A93" s="8">
        <v>42948.0</v>
      </c>
      <c r="B93" s="52"/>
      <c r="C93" s="12">
        <v>148.451802194507</v>
      </c>
      <c r="D93" s="12">
        <v>201.725737506462</v>
      </c>
      <c r="E93" s="12">
        <v>350.160403733962</v>
      </c>
      <c r="F93" s="12">
        <v>278.723747640835</v>
      </c>
      <c r="G93" s="12">
        <v>272.66319824576</v>
      </c>
      <c r="H93" s="12">
        <v>193.884615649741</v>
      </c>
      <c r="I93" s="12">
        <v>195.384616007415</v>
      </c>
      <c r="J93" s="12">
        <v>162.257378225028</v>
      </c>
      <c r="K93" s="12">
        <v>194.20074227749</v>
      </c>
      <c r="L93" s="13">
        <v>271.321833917371</v>
      </c>
      <c r="M93" s="12">
        <v>858.088028140487</v>
      </c>
      <c r="N93" s="12">
        <v>196.053850844978</v>
      </c>
      <c r="O93" s="12">
        <v>821.004321215006</v>
      </c>
      <c r="P93" s="12">
        <v>447.753618192424</v>
      </c>
      <c r="Q93" s="12">
        <v>195.384628167816</v>
      </c>
      <c r="R93" s="12">
        <v>475.185595430644</v>
      </c>
      <c r="S93" s="12">
        <v>647.025387392667</v>
      </c>
      <c r="T93" s="12">
        <v>831.561057261799</v>
      </c>
      <c r="U93" s="12">
        <v>637.48510952381</v>
      </c>
      <c r="V93" s="7">
        <v>2291.24018380467</v>
      </c>
      <c r="W93" s="7">
        <v>191.591868235198</v>
      </c>
      <c r="X93" s="7">
        <v>236.197306546188</v>
      </c>
    </row>
    <row r="94">
      <c r="A94" s="14">
        <v>42979.0</v>
      </c>
      <c r="B94" s="52"/>
      <c r="C94" s="12">
        <v>208.600541228833</v>
      </c>
      <c r="D94" s="12">
        <v>160.696907036631</v>
      </c>
      <c r="E94" s="12">
        <v>814.165811019996</v>
      </c>
      <c r="F94" s="12">
        <v>259.648453921335</v>
      </c>
      <c r="G94" s="12">
        <v>237.117236038389</v>
      </c>
      <c r="H94" s="12">
        <v>197.884615649741</v>
      </c>
      <c r="I94" s="12">
        <v>195.384616007415</v>
      </c>
      <c r="J94" s="12">
        <v>247.945816599062</v>
      </c>
      <c r="K94" s="12">
        <v>169.266977726108</v>
      </c>
      <c r="L94" s="13">
        <v>272.403504293979</v>
      </c>
      <c r="M94" s="12">
        <v>805.290875406552</v>
      </c>
      <c r="N94" s="12">
        <v>558.150885347245</v>
      </c>
      <c r="O94" s="12">
        <v>781.344298872028</v>
      </c>
      <c r="P94" s="12">
        <v>516.232626414761</v>
      </c>
      <c r="Q94" s="12">
        <v>1518.0578580914</v>
      </c>
      <c r="R94" s="12">
        <v>1223.78593851505</v>
      </c>
      <c r="S94" s="12">
        <v>1607.08965637878</v>
      </c>
      <c r="T94" s="12">
        <v>1538.61771729366</v>
      </c>
      <c r="U94" s="12">
        <v>1423.0</v>
      </c>
      <c r="V94" s="7">
        <v>930.689442357586</v>
      </c>
      <c r="W94" s="7">
        <v>195.936334801092</v>
      </c>
      <c r="X94" s="7">
        <v>206.16394405506</v>
      </c>
    </row>
    <row r="95">
      <c r="A95" s="14">
        <v>43009.0</v>
      </c>
      <c r="B95" s="52">
        <f>IFERROR(__xludf.DUMMYFUNCTION("""COMPUTED_VALUE"""),651.0)</f>
        <v>651</v>
      </c>
      <c r="C95" s="12">
        <v>218.855604287108</v>
      </c>
      <c r="D95" s="12">
        <v>194.977782720138</v>
      </c>
      <c r="E95" s="12">
        <v>447.501988282631</v>
      </c>
      <c r="F95" s="12">
        <v>375.442930293737</v>
      </c>
      <c r="G95" s="12">
        <v>800.523473631099</v>
      </c>
      <c r="H95" s="12">
        <v>1208.10004603307</v>
      </c>
      <c r="I95" s="12">
        <v>195.384616007415</v>
      </c>
      <c r="J95" s="12">
        <v>420.894594483058</v>
      </c>
      <c r="K95" s="12">
        <v>509.307060224896</v>
      </c>
      <c r="L95" s="13">
        <v>380.229252908461</v>
      </c>
      <c r="M95" s="12">
        <v>1099.17999073979</v>
      </c>
      <c r="N95" s="12">
        <v>319.131378086175</v>
      </c>
      <c r="O95" s="12">
        <v>3917.21979276723</v>
      </c>
      <c r="P95" s="12">
        <v>406.680544078464</v>
      </c>
      <c r="Q95" s="12">
        <v>756.010083490757</v>
      </c>
      <c r="R95" s="12">
        <v>1232.78121440682</v>
      </c>
      <c r="S95" s="12">
        <v>3912.79785656239</v>
      </c>
      <c r="T95" s="12">
        <v>857.641433397751</v>
      </c>
      <c r="U95" s="12">
        <v>2907.04291071429</v>
      </c>
      <c r="V95" s="7">
        <v>792.072461006415</v>
      </c>
      <c r="W95" s="7">
        <v>201.047471937438</v>
      </c>
      <c r="X95" s="7">
        <v>393.557150604302</v>
      </c>
    </row>
    <row r="96">
      <c r="A96" s="14">
        <v>43040.0</v>
      </c>
      <c r="B96" s="52">
        <f>IFERROR(__xludf.DUMMYFUNCTION("""COMPUTED_VALUE"""),2310.0)</f>
        <v>2310</v>
      </c>
      <c r="C96" s="12">
        <v>237.800541228833</v>
      </c>
      <c r="D96" s="12">
        <v>82.0840594847315</v>
      </c>
      <c r="E96" s="12">
        <v>1971.63293047346</v>
      </c>
      <c r="F96" s="12">
        <v>119.377943694557</v>
      </c>
      <c r="G96" s="12">
        <v>436.593550714482</v>
      </c>
      <c r="H96" s="12">
        <v>756.136561448376</v>
      </c>
      <c r="I96" s="12">
        <v>195.384616007415</v>
      </c>
      <c r="J96" s="12">
        <v>233.092135275931</v>
      </c>
      <c r="K96" s="12">
        <v>116.358865458736</v>
      </c>
      <c r="L96" s="13">
        <v>208.729840555837</v>
      </c>
      <c r="M96" s="12">
        <v>644.615702939852</v>
      </c>
      <c r="N96" s="12">
        <v>194.16227608333</v>
      </c>
      <c r="O96" s="12">
        <v>3227.70654213524</v>
      </c>
      <c r="P96" s="12">
        <v>644.527320604132</v>
      </c>
      <c r="Q96" s="12">
        <v>707.892529441084</v>
      </c>
      <c r="R96" s="12">
        <v>1452.01383552475</v>
      </c>
      <c r="S96" s="12">
        <v>3155.61389253991</v>
      </c>
      <c r="T96" s="12">
        <v>833.627171951126</v>
      </c>
      <c r="U96" s="12">
        <v>2534.12380952381</v>
      </c>
      <c r="V96" s="7">
        <v>807.357338314942</v>
      </c>
      <c r="W96" s="7">
        <v>201.047471937438</v>
      </c>
      <c r="X96" s="7">
        <v>360.504903900341</v>
      </c>
    </row>
    <row r="97">
      <c r="A97" s="14">
        <v>43070.0</v>
      </c>
      <c r="B97" s="34">
        <f>IFERROR(__xludf.DUMMYFUNCTION("""COMPUTED_VALUE"""),441.0)</f>
        <v>441</v>
      </c>
      <c r="C97" s="12">
        <v>240.800541228833</v>
      </c>
      <c r="D97" s="12">
        <v>60.0194457578972</v>
      </c>
      <c r="E97" s="12">
        <v>1700.06197888352</v>
      </c>
      <c r="F97" s="12">
        <v>-1100.97271031653</v>
      </c>
      <c r="G97" s="12">
        <v>431.533261633211</v>
      </c>
      <c r="H97" s="12">
        <v>327.236702266577</v>
      </c>
      <c r="I97" s="12">
        <v>195.384616007415</v>
      </c>
      <c r="J97" s="12">
        <v>246.491703514062</v>
      </c>
      <c r="K97" s="12">
        <v>130.393135295753</v>
      </c>
      <c r="L97" s="12">
        <v>216.778269280011</v>
      </c>
      <c r="M97" s="12">
        <v>604.086409764532</v>
      </c>
      <c r="N97" s="12">
        <v>104.111395232953</v>
      </c>
      <c r="O97" s="12">
        <v>2389.26551464028</v>
      </c>
      <c r="P97" s="12">
        <v>692.928397163564</v>
      </c>
      <c r="Q97" s="12">
        <v>631.799653269507</v>
      </c>
      <c r="R97" s="12">
        <v>1423.27059012926</v>
      </c>
      <c r="S97" s="12">
        <v>2380.64346392237</v>
      </c>
      <c r="T97" s="12">
        <v>736.882014564256</v>
      </c>
      <c r="U97" s="12">
        <v>2210.63988095238</v>
      </c>
      <c r="V97" s="7">
        <v>722.235705915513</v>
      </c>
      <c r="W97" s="7">
        <v>812.439903172444</v>
      </c>
      <c r="X97" s="7">
        <v>348.472015186946</v>
      </c>
    </row>
    <row r="98">
      <c r="A98" s="19">
        <v>43101.0</v>
      </c>
      <c r="B98" s="43">
        <f>IFERROR(__xludf.DUMMYFUNCTION("""COMPUTED_VALUE"""),274.0)</f>
        <v>274</v>
      </c>
      <c r="C98" s="12">
        <v>255.200541228833</v>
      </c>
      <c r="D98" s="12">
        <v>151.738516488213</v>
      </c>
      <c r="E98" s="12">
        <v>2410.2419627235</v>
      </c>
      <c r="F98" s="12">
        <v>213.382588929694</v>
      </c>
      <c r="G98" s="12">
        <v>260.963430743977</v>
      </c>
      <c r="H98" s="12">
        <v>16.992515079462</v>
      </c>
      <c r="I98" s="12">
        <v>195.384616007415</v>
      </c>
      <c r="J98" s="12">
        <v>214.795510854445</v>
      </c>
      <c r="K98" s="12">
        <v>101.222698314233</v>
      </c>
      <c r="L98" s="12">
        <v>204.984640596148</v>
      </c>
      <c r="M98" s="12">
        <v>431.538863960178</v>
      </c>
      <c r="N98" s="12">
        <v>-101.955154785662</v>
      </c>
      <c r="O98" s="12">
        <v>1870.43895949052</v>
      </c>
      <c r="P98" s="12">
        <v>1150.80753591602</v>
      </c>
      <c r="Q98" s="12">
        <v>195.384628167816</v>
      </c>
      <c r="R98" s="12">
        <v>1540.49973742453</v>
      </c>
      <c r="S98" s="12">
        <v>1801.9537552167</v>
      </c>
      <c r="T98" s="12">
        <v>711.396713161698</v>
      </c>
      <c r="U98" s="12">
        <v>1886.87797619048</v>
      </c>
      <c r="V98" s="7">
        <v>661.0</v>
      </c>
      <c r="W98" s="7">
        <v>201.047471937438</v>
      </c>
      <c r="X98" s="7">
        <v>501.612307083992</v>
      </c>
    </row>
    <row r="99">
      <c r="A99" s="19">
        <v>43132.0</v>
      </c>
      <c r="B99" s="43">
        <f>IFERROR(__xludf.DUMMYFUNCTION("""COMPUTED_VALUE"""),6.0)</f>
        <v>6</v>
      </c>
      <c r="C99" s="12">
        <v>239.300541228833</v>
      </c>
      <c r="D99" s="12">
        <v>155.387814016377</v>
      </c>
      <c r="E99" s="12">
        <v>1867.4857878727</v>
      </c>
      <c r="F99" s="12">
        <v>196.403195230455</v>
      </c>
      <c r="G99" s="12">
        <v>237.222209007122</v>
      </c>
      <c r="H99" s="12">
        <v>241.286043652704</v>
      </c>
      <c r="I99" s="12">
        <v>195.384616007415</v>
      </c>
      <c r="J99" s="12">
        <v>0.0</v>
      </c>
      <c r="K99" s="12">
        <v>165.483828835043</v>
      </c>
      <c r="L99" s="12">
        <v>189.910170885351</v>
      </c>
      <c r="M99" s="12">
        <v>459.452058152003</v>
      </c>
      <c r="N99" s="12">
        <v>279.095144028641</v>
      </c>
      <c r="O99" s="12">
        <v>1120.03643558399</v>
      </c>
      <c r="P99" s="12">
        <v>1135.76904309922</v>
      </c>
      <c r="Q99" s="12">
        <v>667.608065585543</v>
      </c>
      <c r="R99" s="12">
        <v>1128.56915410909</v>
      </c>
      <c r="S99" s="12">
        <v>1236.24973968884</v>
      </c>
      <c r="T99" s="12">
        <v>860.098384826478</v>
      </c>
      <c r="U99" s="12">
        <v>1508.58601190476</v>
      </c>
      <c r="V99" s="7">
        <v>693.0</v>
      </c>
      <c r="W99" s="7">
        <v>201.047471937438</v>
      </c>
      <c r="X99" s="7">
        <v>441.458921817812</v>
      </c>
    </row>
    <row r="100">
      <c r="A100" s="19">
        <v>43160.0</v>
      </c>
      <c r="B100" s="43">
        <f>IFERROR(__xludf.DUMMYFUNCTION("""COMPUTED_VALUE"""),247.0)</f>
        <v>247</v>
      </c>
      <c r="C100" s="12">
        <v>222.700541228833</v>
      </c>
      <c r="D100" s="12">
        <v>162.069796389389</v>
      </c>
      <c r="E100" s="12">
        <v>906.252258223131</v>
      </c>
      <c r="F100" s="12">
        <v>189.183943304346</v>
      </c>
      <c r="G100" s="12">
        <v>311.655238901212</v>
      </c>
      <c r="H100" s="12">
        <v>741.071206779756</v>
      </c>
      <c r="I100" s="12">
        <v>195.384616007415</v>
      </c>
      <c r="J100" s="12">
        <v>206.007703837814</v>
      </c>
      <c r="K100" s="12">
        <v>189.486069632827</v>
      </c>
      <c r="L100" s="12">
        <v>185.556463090211</v>
      </c>
      <c r="M100" s="12">
        <v>445.357348273071</v>
      </c>
      <c r="N100" s="12">
        <v>461.72528384028</v>
      </c>
      <c r="O100" s="12">
        <v>1623.77026351058</v>
      </c>
      <c r="P100" s="12">
        <v>1110.54206712786</v>
      </c>
      <c r="Q100" s="12">
        <v>766.081199454643</v>
      </c>
      <c r="R100" s="12">
        <v>1116.32677158326</v>
      </c>
      <c r="S100" s="12">
        <v>1571.49246073193</v>
      </c>
      <c r="T100" s="12">
        <v>905.431004159467</v>
      </c>
      <c r="U100" s="12">
        <v>1781.09438222589</v>
      </c>
      <c r="V100" s="7">
        <v>2006.61863617681</v>
      </c>
      <c r="W100" s="7">
        <v>212.973734410895</v>
      </c>
      <c r="X100" s="7">
        <v>847.778275162839</v>
      </c>
    </row>
    <row r="101">
      <c r="A101" s="15">
        <v>43191.0</v>
      </c>
      <c r="B101" s="18">
        <f>IFERROR(__xludf.DUMMYFUNCTION("""COMPUTED_VALUE"""),211.0)</f>
        <v>211</v>
      </c>
      <c r="C101" s="12">
        <v>222.700541228833</v>
      </c>
      <c r="D101" s="12">
        <v>191.598263959883</v>
      </c>
      <c r="E101" s="12">
        <v>6715.81947841651</v>
      </c>
      <c r="F101" s="12">
        <v>248.897452428139</v>
      </c>
      <c r="G101" s="12">
        <v>229.109203735933</v>
      </c>
      <c r="H101" s="12">
        <v>293.826660032145</v>
      </c>
      <c r="I101" s="12">
        <v>195.384616007415</v>
      </c>
      <c r="J101" s="12">
        <v>198.520737043939</v>
      </c>
      <c r="K101" s="12">
        <v>203.710896296758</v>
      </c>
      <c r="L101" s="12">
        <v>180.792303053724</v>
      </c>
      <c r="M101" s="12">
        <v>405.135395472574</v>
      </c>
      <c r="N101" s="12">
        <v>738.711</v>
      </c>
      <c r="O101" s="12">
        <v>1444.01138174585</v>
      </c>
      <c r="P101" s="12">
        <v>1124.98997738673</v>
      </c>
      <c r="Q101" s="12">
        <v>698.877076992209</v>
      </c>
      <c r="R101" s="12">
        <v>2394.72102991992</v>
      </c>
      <c r="S101" s="12">
        <v>1346.13803997589</v>
      </c>
      <c r="T101" s="12">
        <v>849.238729998942</v>
      </c>
      <c r="U101" s="12">
        <v>1193.58453782073</v>
      </c>
      <c r="V101" s="7">
        <v>1819.10103875734</v>
      </c>
      <c r="W101" s="7">
        <v>210.794503921452</v>
      </c>
      <c r="X101" s="7">
        <v>320.303684242787</v>
      </c>
    </row>
    <row r="102">
      <c r="A102" s="48">
        <v>43221.0</v>
      </c>
      <c r="B102" s="18">
        <f>IFERROR(__xludf.DUMMYFUNCTION("""COMPUTED_VALUE"""),1523.0)</f>
        <v>1523</v>
      </c>
      <c r="C102" s="12">
        <v>224.200541228833</v>
      </c>
      <c r="D102" s="12">
        <v>5477.01128046132</v>
      </c>
      <c r="E102" s="12">
        <v>3178.43995992309</v>
      </c>
      <c r="F102" s="12">
        <v>176952.336631791</v>
      </c>
      <c r="G102" s="12">
        <v>101174.515493841</v>
      </c>
      <c r="H102" s="12">
        <v>1792.99039852944</v>
      </c>
      <c r="I102" s="12">
        <v>195.384616007415</v>
      </c>
      <c r="J102" s="12">
        <v>28804.3487741676</v>
      </c>
      <c r="K102" s="12">
        <v>132912.87721935</v>
      </c>
      <c r="L102" s="12">
        <v>960.75955055977</v>
      </c>
      <c r="M102" s="12">
        <v>401.07155390417</v>
      </c>
      <c r="N102" s="12">
        <v>92272.4931769405</v>
      </c>
      <c r="O102" s="12">
        <v>20613.681960461</v>
      </c>
      <c r="P102" s="12">
        <v>15505.5419218891</v>
      </c>
      <c r="Q102" s="12">
        <v>80863.9044860032</v>
      </c>
      <c r="R102" s="12">
        <v>15583.1214382886</v>
      </c>
      <c r="S102" s="12">
        <v>20945.2682208166</v>
      </c>
      <c r="T102" s="12">
        <v>14571.1458797041</v>
      </c>
      <c r="U102" s="12">
        <v>14527.5709308117</v>
      </c>
      <c r="V102" s="7">
        <v>701.0</v>
      </c>
      <c r="W102" s="7">
        <v>213.313575279765</v>
      </c>
      <c r="X102" s="7">
        <v>269.88693762944</v>
      </c>
    </row>
    <row r="103">
      <c r="A103" s="15">
        <v>43252.0</v>
      </c>
      <c r="B103" s="18">
        <f>IFERROR(__xludf.DUMMYFUNCTION("""COMPUTED_VALUE"""),945.0)</f>
        <v>945</v>
      </c>
      <c r="C103" s="7">
        <v>239.692884877379</v>
      </c>
      <c r="D103" s="7">
        <v>-1538.13267467866</v>
      </c>
      <c r="E103" s="7">
        <v>4117.89730028043</v>
      </c>
      <c r="F103" s="7">
        <v>123.144207532208</v>
      </c>
      <c r="G103" s="7">
        <v>33024.5958402691</v>
      </c>
      <c r="H103" s="7">
        <v>1705.2939256497</v>
      </c>
      <c r="I103" s="7">
        <v>1129.3641882253</v>
      </c>
      <c r="J103" s="7">
        <v>186.595761611576</v>
      </c>
      <c r="K103" s="7">
        <v>-1457.55040152187</v>
      </c>
      <c r="L103" s="7">
        <v>168.440904396737</v>
      </c>
      <c r="M103" s="7">
        <v>375.766488976388</v>
      </c>
      <c r="N103" s="7">
        <v>2426.922</v>
      </c>
      <c r="O103" s="7">
        <v>203978.028734455</v>
      </c>
      <c r="P103" s="7">
        <v>219466.895544451</v>
      </c>
      <c r="Q103" s="7">
        <v>397.510480315544</v>
      </c>
      <c r="R103" s="7">
        <v>186771.291778914</v>
      </c>
      <c r="S103" s="7">
        <v>206805.360684591</v>
      </c>
      <c r="T103" s="7">
        <v>201212.759514064</v>
      </c>
      <c r="U103" s="7">
        <v>203077.715279916</v>
      </c>
      <c r="V103" s="7">
        <v>4097.02403762991</v>
      </c>
      <c r="W103" s="7">
        <v>618.432778858515</v>
      </c>
      <c r="X103" s="7">
        <v>302.221164844481</v>
      </c>
    </row>
    <row r="104">
      <c r="A104" s="15">
        <v>43282.0</v>
      </c>
      <c r="B104" s="18">
        <f>IFERROR(__xludf.DUMMYFUNCTION("""COMPUTED_VALUE"""),1248.0)</f>
        <v>1248</v>
      </c>
      <c r="C104" s="7">
        <v>245.600541228833</v>
      </c>
      <c r="D104" s="7">
        <v>-1545.14966244323</v>
      </c>
      <c r="E104" s="7">
        <v>757.496709551822</v>
      </c>
      <c r="F104" s="7">
        <v>108.341834232565</v>
      </c>
      <c r="G104" s="7">
        <v>2695.56802104631</v>
      </c>
      <c r="H104" s="7">
        <v>205.884615649741</v>
      </c>
      <c r="I104" s="7">
        <v>195.384616007415</v>
      </c>
      <c r="J104" s="7">
        <v>295.609610537744</v>
      </c>
      <c r="K104" s="7">
        <v>-1262.46624480245</v>
      </c>
      <c r="L104" s="7">
        <v>164.269074949612</v>
      </c>
      <c r="M104" s="7">
        <v>406.087793095374</v>
      </c>
      <c r="N104" s="7">
        <v>3390.555</v>
      </c>
      <c r="O104" s="7">
        <v>33918.7174880554</v>
      </c>
      <c r="P104" s="7">
        <v>35605.3007760316</v>
      </c>
      <c r="Q104" s="7">
        <v>700.718984280715</v>
      </c>
      <c r="R104" s="7">
        <v>31773.0538198134</v>
      </c>
      <c r="S104" s="7">
        <v>34433.6722884709</v>
      </c>
      <c r="T104" s="7">
        <v>32885.5091416533</v>
      </c>
      <c r="U104" s="7">
        <v>33150.7790998254</v>
      </c>
      <c r="V104" s="7">
        <v>1224.31168273205</v>
      </c>
      <c r="W104" s="7">
        <v>231.345247697347</v>
      </c>
      <c r="X104" s="7">
        <v>1245.02667463283</v>
      </c>
    </row>
    <row r="105">
      <c r="A105" s="17">
        <v>43313.0</v>
      </c>
      <c r="B105" s="18"/>
      <c r="C105" s="7">
        <v>234.892884877379</v>
      </c>
      <c r="D105" s="7">
        <v>-1550.13721795871</v>
      </c>
      <c r="E105" s="7">
        <v>1050.54171866387</v>
      </c>
      <c r="F105" s="7">
        <v>106.398405571345</v>
      </c>
      <c r="G105" s="7">
        <v>945.994293702059</v>
      </c>
      <c r="H105" s="7">
        <v>202.923769812395</v>
      </c>
      <c r="I105" s="7">
        <v>195.384616007415</v>
      </c>
      <c r="J105" s="7">
        <v>317.773682991689</v>
      </c>
      <c r="K105" s="7">
        <v>-1260.47230847972</v>
      </c>
      <c r="L105" s="7">
        <v>159.703303101588</v>
      </c>
      <c r="M105" s="7">
        <v>377.691329022702</v>
      </c>
      <c r="N105" s="7">
        <v>3754.64903865803</v>
      </c>
      <c r="O105" s="7">
        <v>22531.5160992769</v>
      </c>
      <c r="P105" s="7">
        <v>23634.883375031</v>
      </c>
      <c r="Q105" s="7">
        <v>676.560168664552</v>
      </c>
      <c r="R105" s="7">
        <v>21348.3509913724</v>
      </c>
      <c r="S105" s="7">
        <v>22826.371100906</v>
      </c>
      <c r="T105" s="7">
        <v>19889.3688975286</v>
      </c>
      <c r="U105" s="7">
        <v>22075.8036060638</v>
      </c>
      <c r="V105" s="7">
        <v>3948.37907134017</v>
      </c>
      <c r="W105" s="7">
        <v>197.301893686396</v>
      </c>
      <c r="X105" s="7">
        <v>480.087034796913</v>
      </c>
    </row>
    <row r="106">
      <c r="A106" s="15">
        <v>43344.0</v>
      </c>
      <c r="B106" s="18"/>
    </row>
    <row r="107">
      <c r="A107" s="15">
        <v>43374.0</v>
      </c>
      <c r="B107" s="18"/>
    </row>
    <row r="108">
      <c r="A108" s="15">
        <v>43405.0</v>
      </c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0</v>
      </c>
      <c r="B1" s="21" t="s">
        <v>1</v>
      </c>
      <c r="C1" s="3" t="s">
        <v>240</v>
      </c>
      <c r="D1" s="3" t="s">
        <v>241</v>
      </c>
      <c r="E1" s="3" t="s">
        <v>242</v>
      </c>
      <c r="F1" s="3" t="s">
        <v>243</v>
      </c>
      <c r="G1" s="3" t="s">
        <v>244</v>
      </c>
      <c r="H1" s="3" t="s">
        <v>245</v>
      </c>
      <c r="I1" s="3" t="s">
        <v>246</v>
      </c>
      <c r="J1" s="3" t="s">
        <v>247</v>
      </c>
      <c r="K1" s="3" t="s">
        <v>248</v>
      </c>
      <c r="L1" s="37" t="s">
        <v>249</v>
      </c>
      <c r="M1" s="37" t="s">
        <v>250</v>
      </c>
      <c r="N1" s="37" t="s">
        <v>251</v>
      </c>
      <c r="O1" s="37" t="s">
        <v>252</v>
      </c>
      <c r="P1" s="53" t="s">
        <v>253</v>
      </c>
      <c r="Q1" s="37" t="s">
        <v>254</v>
      </c>
      <c r="R1" s="6" t="s">
        <v>255</v>
      </c>
      <c r="S1" s="37" t="s">
        <v>256</v>
      </c>
      <c r="T1" s="37" t="s">
        <v>257</v>
      </c>
      <c r="U1" s="37" t="s">
        <v>258</v>
      </c>
      <c r="V1" s="37" t="s">
        <v>259</v>
      </c>
      <c r="W1" s="37" t="s">
        <v>260</v>
      </c>
      <c r="X1" s="37" t="s">
        <v>261</v>
      </c>
    </row>
    <row r="2">
      <c r="A2" s="8">
        <v>40179.0</v>
      </c>
      <c r="B2" s="9">
        <f>IFERROR(__xludf.DUMMYFUNCTION("IMPORTRANGE(""https://docs.google.com/spreadsheets/d/1oPTPmoJ9phtMOkp-nMB7WHnPESomLzqUj9t0gcE9bYA"",""Current Region!N2:N150"")"),36.0)</f>
        <v>36</v>
      </c>
      <c r="C2" s="10" t="s">
        <v>26</v>
      </c>
      <c r="D2" s="10" t="s">
        <v>26</v>
      </c>
      <c r="E2" s="10" t="s">
        <v>26</v>
      </c>
      <c r="F2" s="10" t="s">
        <v>26</v>
      </c>
      <c r="G2" s="10" t="s">
        <v>26</v>
      </c>
      <c r="H2" s="10" t="s">
        <v>26</v>
      </c>
      <c r="I2" s="10" t="s">
        <v>26</v>
      </c>
      <c r="J2" s="10" t="s">
        <v>26</v>
      </c>
      <c r="K2" s="10" t="s">
        <v>26</v>
      </c>
      <c r="L2" s="11" t="s">
        <v>26</v>
      </c>
      <c r="M2" s="10" t="s">
        <v>26</v>
      </c>
      <c r="N2" s="10" t="s">
        <v>26</v>
      </c>
      <c r="O2" s="10" t="s">
        <v>26</v>
      </c>
      <c r="P2" s="54" t="s">
        <v>26</v>
      </c>
      <c r="Q2" s="10" t="s">
        <v>26</v>
      </c>
      <c r="R2" s="10" t="s">
        <v>26</v>
      </c>
      <c r="S2" s="10" t="s">
        <v>26</v>
      </c>
      <c r="T2" s="10" t="s">
        <v>26</v>
      </c>
      <c r="U2" s="10" t="s">
        <v>26</v>
      </c>
      <c r="V2" s="10" t="s">
        <v>26</v>
      </c>
      <c r="W2" s="10" t="s">
        <v>26</v>
      </c>
      <c r="X2" s="10" t="s">
        <v>26</v>
      </c>
    </row>
    <row r="3">
      <c r="A3" s="8">
        <v>40210.0</v>
      </c>
      <c r="B3" s="9">
        <f>IFERROR(__xludf.DUMMYFUNCTION("""COMPUTED_VALUE"""),55.0)</f>
        <v>55</v>
      </c>
      <c r="C3" s="10" t="s">
        <v>26</v>
      </c>
      <c r="D3" s="10" t="s">
        <v>26</v>
      </c>
      <c r="E3" s="10" t="s">
        <v>26</v>
      </c>
      <c r="F3" s="10" t="s">
        <v>26</v>
      </c>
      <c r="G3" s="10" t="s">
        <v>26</v>
      </c>
      <c r="H3" s="10" t="s">
        <v>26</v>
      </c>
      <c r="I3" s="10" t="s">
        <v>26</v>
      </c>
      <c r="J3" s="10" t="s">
        <v>26</v>
      </c>
      <c r="K3" s="10" t="s">
        <v>26</v>
      </c>
      <c r="L3" s="11" t="s">
        <v>26</v>
      </c>
      <c r="M3" s="10" t="s">
        <v>26</v>
      </c>
      <c r="N3" s="10" t="s">
        <v>26</v>
      </c>
      <c r="O3" s="10" t="s">
        <v>26</v>
      </c>
      <c r="P3" s="54" t="s">
        <v>26</v>
      </c>
      <c r="Q3" s="10" t="s">
        <v>26</v>
      </c>
      <c r="R3" s="10" t="s">
        <v>26</v>
      </c>
      <c r="S3" s="10" t="s">
        <v>26</v>
      </c>
      <c r="T3" s="10" t="s">
        <v>26</v>
      </c>
      <c r="U3" s="10" t="s">
        <v>26</v>
      </c>
      <c r="V3" s="10" t="s">
        <v>26</v>
      </c>
      <c r="W3" s="10" t="s">
        <v>26</v>
      </c>
      <c r="X3" s="10" t="s">
        <v>26</v>
      </c>
    </row>
    <row r="4">
      <c r="A4" s="8">
        <v>40238.0</v>
      </c>
      <c r="B4" s="9"/>
      <c r="C4" s="10" t="s">
        <v>26</v>
      </c>
      <c r="D4" s="10" t="s">
        <v>26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26</v>
      </c>
      <c r="J4" s="10" t="s">
        <v>26</v>
      </c>
      <c r="K4" s="10" t="s">
        <v>26</v>
      </c>
      <c r="L4" s="11" t="s">
        <v>26</v>
      </c>
      <c r="M4" s="10" t="s">
        <v>26</v>
      </c>
      <c r="N4" s="10" t="s">
        <v>26</v>
      </c>
      <c r="O4" s="10" t="s">
        <v>26</v>
      </c>
      <c r="P4" s="54" t="s">
        <v>26</v>
      </c>
      <c r="Q4" s="10" t="s">
        <v>26</v>
      </c>
      <c r="R4" s="10" t="s">
        <v>26</v>
      </c>
      <c r="S4" s="10" t="s">
        <v>26</v>
      </c>
      <c r="T4" s="10" t="s">
        <v>26</v>
      </c>
      <c r="U4" s="10" t="s">
        <v>26</v>
      </c>
      <c r="V4" s="10" t="s">
        <v>26</v>
      </c>
      <c r="W4" s="10" t="s">
        <v>26</v>
      </c>
      <c r="X4" s="10" t="s">
        <v>26</v>
      </c>
    </row>
    <row r="5">
      <c r="A5" s="8">
        <v>40269.0</v>
      </c>
      <c r="B5" s="9"/>
      <c r="C5" s="10" t="s">
        <v>26</v>
      </c>
      <c r="D5" s="10" t="s">
        <v>26</v>
      </c>
      <c r="E5" s="10" t="s">
        <v>26</v>
      </c>
      <c r="F5" s="10" t="s">
        <v>26</v>
      </c>
      <c r="G5" s="10" t="s">
        <v>26</v>
      </c>
      <c r="H5" s="10" t="s">
        <v>26</v>
      </c>
      <c r="I5" s="10" t="s">
        <v>26</v>
      </c>
      <c r="J5" s="10" t="s">
        <v>26</v>
      </c>
      <c r="K5" s="10" t="s">
        <v>26</v>
      </c>
      <c r="L5" s="11" t="s">
        <v>26</v>
      </c>
      <c r="M5" s="10" t="s">
        <v>26</v>
      </c>
      <c r="N5" s="10" t="s">
        <v>26</v>
      </c>
      <c r="O5" s="10" t="s">
        <v>26</v>
      </c>
      <c r="P5" s="54" t="s">
        <v>26</v>
      </c>
      <c r="Q5" s="10" t="s">
        <v>26</v>
      </c>
      <c r="R5" s="10" t="s">
        <v>26</v>
      </c>
      <c r="S5" s="10" t="s">
        <v>26</v>
      </c>
      <c r="T5" s="10" t="s">
        <v>26</v>
      </c>
      <c r="U5" s="10" t="s">
        <v>26</v>
      </c>
      <c r="V5" s="10" t="s">
        <v>26</v>
      </c>
      <c r="W5" s="10" t="s">
        <v>26</v>
      </c>
      <c r="X5" s="10" t="s">
        <v>26</v>
      </c>
    </row>
    <row r="6">
      <c r="A6" s="8">
        <v>40299.0</v>
      </c>
      <c r="B6" s="9"/>
      <c r="C6" s="10" t="s">
        <v>26</v>
      </c>
      <c r="D6" s="10" t="s">
        <v>26</v>
      </c>
      <c r="E6" s="10" t="s">
        <v>26</v>
      </c>
      <c r="F6" s="10" t="s">
        <v>26</v>
      </c>
      <c r="G6" s="10" t="s">
        <v>26</v>
      </c>
      <c r="H6" s="10" t="s">
        <v>26</v>
      </c>
      <c r="I6" s="10" t="s">
        <v>26</v>
      </c>
      <c r="J6" s="10" t="s">
        <v>26</v>
      </c>
      <c r="K6" s="10" t="s">
        <v>26</v>
      </c>
      <c r="L6" s="11" t="s">
        <v>26</v>
      </c>
      <c r="M6" s="10" t="s">
        <v>26</v>
      </c>
      <c r="N6" s="10" t="s">
        <v>26</v>
      </c>
      <c r="O6" s="10" t="s">
        <v>26</v>
      </c>
      <c r="P6" s="54" t="s">
        <v>26</v>
      </c>
      <c r="Q6" s="10" t="s">
        <v>26</v>
      </c>
      <c r="R6" s="10" t="s">
        <v>26</v>
      </c>
      <c r="S6" s="10" t="s">
        <v>26</v>
      </c>
      <c r="T6" s="10" t="s">
        <v>26</v>
      </c>
      <c r="U6" s="10" t="s">
        <v>26</v>
      </c>
      <c r="V6" s="10" t="s">
        <v>26</v>
      </c>
      <c r="W6" s="10" t="s">
        <v>26</v>
      </c>
      <c r="X6" s="10" t="s">
        <v>26</v>
      </c>
    </row>
    <row r="7">
      <c r="A7" s="8">
        <v>40330.0</v>
      </c>
      <c r="B7" s="9"/>
      <c r="C7" s="10" t="s">
        <v>26</v>
      </c>
      <c r="D7" s="10" t="s">
        <v>26</v>
      </c>
      <c r="E7" s="10" t="s">
        <v>26</v>
      </c>
      <c r="F7" s="10" t="s">
        <v>26</v>
      </c>
      <c r="G7" s="10" t="s">
        <v>26</v>
      </c>
      <c r="H7" s="10" t="s">
        <v>26</v>
      </c>
      <c r="I7" s="10" t="s">
        <v>26</v>
      </c>
      <c r="J7" s="10" t="s">
        <v>26</v>
      </c>
      <c r="K7" s="10" t="s">
        <v>26</v>
      </c>
      <c r="L7" s="11" t="s">
        <v>26</v>
      </c>
      <c r="M7" s="10" t="s">
        <v>26</v>
      </c>
      <c r="N7" s="10" t="s">
        <v>26</v>
      </c>
      <c r="O7" s="10" t="s">
        <v>26</v>
      </c>
      <c r="P7" s="54" t="s">
        <v>26</v>
      </c>
      <c r="Q7" s="10" t="s">
        <v>26</v>
      </c>
      <c r="R7" s="10" t="s">
        <v>26</v>
      </c>
      <c r="S7" s="10" t="s">
        <v>26</v>
      </c>
      <c r="T7" s="10" t="s">
        <v>26</v>
      </c>
      <c r="U7" s="10" t="s">
        <v>26</v>
      </c>
      <c r="V7" s="10" t="s">
        <v>26</v>
      </c>
      <c r="W7" s="10" t="s">
        <v>26</v>
      </c>
      <c r="X7" s="10" t="s">
        <v>26</v>
      </c>
    </row>
    <row r="8">
      <c r="A8" s="8">
        <v>40360.0</v>
      </c>
      <c r="B8" s="9">
        <f>IFERROR(__xludf.DUMMYFUNCTION("""COMPUTED_VALUE"""),8.0)</f>
        <v>8</v>
      </c>
      <c r="C8" s="10" t="s">
        <v>26</v>
      </c>
      <c r="D8" s="10" t="s">
        <v>26</v>
      </c>
      <c r="E8" s="10" t="s">
        <v>26</v>
      </c>
      <c r="F8" s="10" t="s">
        <v>26</v>
      </c>
      <c r="G8" s="10" t="s">
        <v>26</v>
      </c>
      <c r="H8" s="10" t="s">
        <v>26</v>
      </c>
      <c r="I8" s="10" t="s">
        <v>26</v>
      </c>
      <c r="J8" s="10" t="s">
        <v>26</v>
      </c>
      <c r="K8" s="10" t="s">
        <v>26</v>
      </c>
      <c r="L8" s="11" t="s">
        <v>26</v>
      </c>
      <c r="M8" s="10" t="s">
        <v>26</v>
      </c>
      <c r="N8" s="10" t="s">
        <v>26</v>
      </c>
      <c r="O8" s="10" t="s">
        <v>26</v>
      </c>
      <c r="P8" s="54" t="s">
        <v>26</v>
      </c>
      <c r="Q8" s="10" t="s">
        <v>26</v>
      </c>
      <c r="R8" s="10" t="s">
        <v>26</v>
      </c>
      <c r="S8" s="10" t="s">
        <v>26</v>
      </c>
      <c r="T8" s="10" t="s">
        <v>26</v>
      </c>
      <c r="U8" s="10" t="s">
        <v>26</v>
      </c>
      <c r="V8" s="10" t="s">
        <v>26</v>
      </c>
      <c r="W8" s="10" t="s">
        <v>26</v>
      </c>
      <c r="X8" s="10" t="s">
        <v>26</v>
      </c>
    </row>
    <row r="9">
      <c r="A9" s="8">
        <v>40391.0</v>
      </c>
      <c r="B9" s="9">
        <f>IFERROR(__xludf.DUMMYFUNCTION("""COMPUTED_VALUE"""),7.0)</f>
        <v>7</v>
      </c>
      <c r="C9" s="10" t="s">
        <v>26</v>
      </c>
      <c r="D9" s="10" t="s">
        <v>26</v>
      </c>
      <c r="E9" s="10" t="s">
        <v>26</v>
      </c>
      <c r="F9" s="10" t="s">
        <v>26</v>
      </c>
      <c r="G9" s="10" t="s">
        <v>26</v>
      </c>
      <c r="H9" s="10" t="s">
        <v>26</v>
      </c>
      <c r="I9" s="10" t="s">
        <v>26</v>
      </c>
      <c r="J9" s="10" t="s">
        <v>26</v>
      </c>
      <c r="K9" s="10" t="s">
        <v>26</v>
      </c>
      <c r="L9" s="11" t="s">
        <v>26</v>
      </c>
      <c r="M9" s="10" t="s">
        <v>26</v>
      </c>
      <c r="N9" s="10" t="s">
        <v>26</v>
      </c>
      <c r="O9" s="10" t="s">
        <v>26</v>
      </c>
      <c r="P9" s="54" t="s">
        <v>26</v>
      </c>
      <c r="Q9" s="10" t="s">
        <v>26</v>
      </c>
      <c r="R9" s="10" t="s">
        <v>26</v>
      </c>
      <c r="S9" s="10" t="s">
        <v>26</v>
      </c>
      <c r="T9" s="10" t="s">
        <v>26</v>
      </c>
      <c r="U9" s="10" t="s">
        <v>26</v>
      </c>
      <c r="V9" s="10" t="s">
        <v>26</v>
      </c>
      <c r="W9" s="10" t="s">
        <v>26</v>
      </c>
      <c r="X9" s="10" t="s">
        <v>26</v>
      </c>
    </row>
    <row r="10">
      <c r="A10" s="8">
        <v>40422.0</v>
      </c>
      <c r="B10" s="9">
        <f>IFERROR(__xludf.DUMMYFUNCTION("""COMPUTED_VALUE"""),10.0)</f>
        <v>10</v>
      </c>
      <c r="C10" s="10" t="s">
        <v>26</v>
      </c>
      <c r="D10" s="10" t="s">
        <v>26</v>
      </c>
      <c r="E10" s="10" t="s">
        <v>26</v>
      </c>
      <c r="F10" s="10" t="s">
        <v>26</v>
      </c>
      <c r="G10" s="10" t="s">
        <v>26</v>
      </c>
      <c r="H10" s="10" t="s">
        <v>26</v>
      </c>
      <c r="I10" s="10" t="s">
        <v>26</v>
      </c>
      <c r="J10" s="10" t="s">
        <v>26</v>
      </c>
      <c r="K10" s="10" t="s">
        <v>26</v>
      </c>
      <c r="L10" s="11" t="s">
        <v>26</v>
      </c>
      <c r="M10" s="10" t="s">
        <v>26</v>
      </c>
      <c r="N10" s="10" t="s">
        <v>26</v>
      </c>
      <c r="O10" s="10" t="s">
        <v>26</v>
      </c>
      <c r="P10" s="54" t="s">
        <v>26</v>
      </c>
      <c r="Q10" s="10" t="s">
        <v>26</v>
      </c>
      <c r="R10" s="10" t="s">
        <v>26</v>
      </c>
      <c r="S10" s="10" t="s">
        <v>26</v>
      </c>
      <c r="T10" s="10" t="s">
        <v>26</v>
      </c>
      <c r="U10" s="10" t="s">
        <v>26</v>
      </c>
      <c r="V10" s="10" t="s">
        <v>26</v>
      </c>
      <c r="W10" s="10" t="s">
        <v>26</v>
      </c>
      <c r="X10" s="10" t="s">
        <v>26</v>
      </c>
    </row>
    <row r="11">
      <c r="A11" s="8">
        <v>40452.0</v>
      </c>
      <c r="B11" s="9"/>
      <c r="C11" s="10" t="s">
        <v>26</v>
      </c>
      <c r="D11" s="10" t="s">
        <v>26</v>
      </c>
      <c r="E11" s="10" t="s">
        <v>26</v>
      </c>
      <c r="F11" s="10" t="s">
        <v>26</v>
      </c>
      <c r="G11" s="10" t="s">
        <v>26</v>
      </c>
      <c r="H11" s="10" t="s">
        <v>26</v>
      </c>
      <c r="I11" s="10" t="s">
        <v>26</v>
      </c>
      <c r="J11" s="10" t="s">
        <v>26</v>
      </c>
      <c r="K11" s="10" t="s">
        <v>26</v>
      </c>
      <c r="L11" s="11" t="s">
        <v>26</v>
      </c>
      <c r="M11" s="10" t="s">
        <v>26</v>
      </c>
      <c r="N11" s="10" t="s">
        <v>26</v>
      </c>
      <c r="O11" s="10" t="s">
        <v>26</v>
      </c>
      <c r="P11" s="54" t="s">
        <v>26</v>
      </c>
      <c r="Q11" s="10" t="s">
        <v>26</v>
      </c>
      <c r="R11" s="10" t="s">
        <v>26</v>
      </c>
      <c r="S11" s="10" t="s">
        <v>26</v>
      </c>
      <c r="T11" s="10" t="s">
        <v>26</v>
      </c>
      <c r="U11" s="10" t="s">
        <v>26</v>
      </c>
      <c r="V11" s="10" t="s">
        <v>26</v>
      </c>
      <c r="W11" s="10" t="s">
        <v>26</v>
      </c>
      <c r="X11" s="10" t="s">
        <v>26</v>
      </c>
    </row>
    <row r="12">
      <c r="A12" s="8">
        <v>40483.0</v>
      </c>
      <c r="B12" s="9"/>
      <c r="C12" s="10" t="s">
        <v>26</v>
      </c>
      <c r="D12" s="10" t="s">
        <v>26</v>
      </c>
      <c r="E12" s="10" t="s">
        <v>26</v>
      </c>
      <c r="F12" s="10" t="s">
        <v>26</v>
      </c>
      <c r="G12" s="10" t="s">
        <v>26</v>
      </c>
      <c r="H12" s="10" t="s">
        <v>26</v>
      </c>
      <c r="I12" s="10" t="s">
        <v>26</v>
      </c>
      <c r="J12" s="10" t="s">
        <v>26</v>
      </c>
      <c r="K12" s="10" t="s">
        <v>26</v>
      </c>
      <c r="L12" s="11" t="s">
        <v>26</v>
      </c>
      <c r="M12" s="10" t="s">
        <v>26</v>
      </c>
      <c r="N12" s="10" t="s">
        <v>26</v>
      </c>
      <c r="O12" s="10" t="s">
        <v>26</v>
      </c>
      <c r="P12" s="54" t="s">
        <v>26</v>
      </c>
      <c r="Q12" s="10" t="s">
        <v>26</v>
      </c>
      <c r="R12" s="10" t="s">
        <v>26</v>
      </c>
      <c r="S12" s="10" t="s">
        <v>26</v>
      </c>
      <c r="T12" s="10" t="s">
        <v>26</v>
      </c>
      <c r="U12" s="10" t="s">
        <v>26</v>
      </c>
      <c r="V12" s="10" t="s">
        <v>26</v>
      </c>
      <c r="W12" s="10" t="s">
        <v>26</v>
      </c>
      <c r="X12" s="10" t="s">
        <v>26</v>
      </c>
    </row>
    <row r="13">
      <c r="A13" s="8">
        <v>40513.0</v>
      </c>
      <c r="B13" s="9"/>
      <c r="C13" s="10" t="s">
        <v>26</v>
      </c>
      <c r="D13" s="10" t="s">
        <v>26</v>
      </c>
      <c r="E13" s="10" t="s">
        <v>26</v>
      </c>
      <c r="F13" s="10" t="s">
        <v>26</v>
      </c>
      <c r="G13" s="10" t="s">
        <v>26</v>
      </c>
      <c r="H13" s="10" t="s">
        <v>26</v>
      </c>
      <c r="I13" s="10" t="s">
        <v>26</v>
      </c>
      <c r="J13" s="10" t="s">
        <v>26</v>
      </c>
      <c r="K13" s="10" t="s">
        <v>26</v>
      </c>
      <c r="L13" s="11" t="s">
        <v>26</v>
      </c>
      <c r="M13" s="10" t="s">
        <v>26</v>
      </c>
      <c r="N13" s="10" t="s">
        <v>26</v>
      </c>
      <c r="O13" s="10" t="s">
        <v>26</v>
      </c>
      <c r="P13" s="54" t="s">
        <v>26</v>
      </c>
      <c r="Q13" s="10" t="s">
        <v>26</v>
      </c>
      <c r="R13" s="10" t="s">
        <v>26</v>
      </c>
      <c r="S13" s="10" t="s">
        <v>26</v>
      </c>
      <c r="T13" s="10" t="s">
        <v>26</v>
      </c>
      <c r="U13" s="10" t="s">
        <v>26</v>
      </c>
      <c r="V13" s="10" t="s">
        <v>26</v>
      </c>
      <c r="W13" s="10" t="s">
        <v>26</v>
      </c>
      <c r="X13" s="10" t="s">
        <v>26</v>
      </c>
    </row>
    <row r="14">
      <c r="A14" s="8">
        <v>40544.0</v>
      </c>
      <c r="B14" s="9"/>
      <c r="C14" s="10" t="s">
        <v>26</v>
      </c>
      <c r="D14" s="10" t="s">
        <v>26</v>
      </c>
      <c r="E14" s="10" t="s">
        <v>26</v>
      </c>
      <c r="F14" s="10" t="s">
        <v>26</v>
      </c>
      <c r="G14" s="10" t="s">
        <v>26</v>
      </c>
      <c r="H14" s="10" t="s">
        <v>26</v>
      </c>
      <c r="I14" s="10" t="s">
        <v>26</v>
      </c>
      <c r="J14" s="10" t="s">
        <v>26</v>
      </c>
      <c r="K14" s="10" t="s">
        <v>26</v>
      </c>
      <c r="L14" s="11" t="s">
        <v>26</v>
      </c>
      <c r="M14" s="10" t="s">
        <v>26</v>
      </c>
      <c r="N14" s="10" t="s">
        <v>26</v>
      </c>
      <c r="O14" s="10" t="s">
        <v>26</v>
      </c>
      <c r="P14" s="54" t="s">
        <v>26</v>
      </c>
      <c r="Q14" s="10" t="s">
        <v>26</v>
      </c>
      <c r="R14" s="10" t="s">
        <v>26</v>
      </c>
      <c r="S14" s="10" t="s">
        <v>26</v>
      </c>
      <c r="T14" s="10" t="s">
        <v>26</v>
      </c>
      <c r="U14" s="10" t="s">
        <v>26</v>
      </c>
      <c r="V14" s="10" t="s">
        <v>26</v>
      </c>
      <c r="W14" s="10" t="s">
        <v>26</v>
      </c>
      <c r="X14" s="10" t="s">
        <v>26</v>
      </c>
    </row>
    <row r="15">
      <c r="A15" s="8">
        <v>40575.0</v>
      </c>
      <c r="B15" s="9"/>
      <c r="C15" s="10" t="s">
        <v>26</v>
      </c>
      <c r="D15" s="10" t="s">
        <v>26</v>
      </c>
      <c r="E15" s="10" t="s">
        <v>26</v>
      </c>
      <c r="F15" s="10" t="s">
        <v>26</v>
      </c>
      <c r="G15" s="10" t="s">
        <v>26</v>
      </c>
      <c r="H15" s="10" t="s">
        <v>26</v>
      </c>
      <c r="I15" s="10" t="s">
        <v>26</v>
      </c>
      <c r="J15" s="10" t="s">
        <v>26</v>
      </c>
      <c r="K15" s="10" t="s">
        <v>26</v>
      </c>
      <c r="L15" s="11" t="s">
        <v>26</v>
      </c>
      <c r="M15" s="10" t="s">
        <v>26</v>
      </c>
      <c r="N15" s="10" t="s">
        <v>26</v>
      </c>
      <c r="O15" s="10" t="s">
        <v>26</v>
      </c>
      <c r="P15" s="54" t="s">
        <v>26</v>
      </c>
      <c r="Q15" s="10" t="s">
        <v>26</v>
      </c>
      <c r="R15" s="10" t="s">
        <v>26</v>
      </c>
      <c r="S15" s="10" t="s">
        <v>26</v>
      </c>
      <c r="T15" s="10" t="s">
        <v>26</v>
      </c>
      <c r="U15" s="10" t="s">
        <v>26</v>
      </c>
      <c r="V15" s="10" t="s">
        <v>26</v>
      </c>
      <c r="W15" s="10" t="s">
        <v>26</v>
      </c>
      <c r="X15" s="10" t="s">
        <v>26</v>
      </c>
    </row>
    <row r="16">
      <c r="A16" s="8">
        <v>40603.0</v>
      </c>
      <c r="B16" s="9"/>
      <c r="C16" s="10" t="s">
        <v>26</v>
      </c>
      <c r="D16" s="10" t="s">
        <v>26</v>
      </c>
      <c r="E16" s="10" t="s">
        <v>26</v>
      </c>
      <c r="F16" s="10" t="s">
        <v>26</v>
      </c>
      <c r="G16" s="10" t="s">
        <v>26</v>
      </c>
      <c r="H16" s="10" t="s">
        <v>26</v>
      </c>
      <c r="I16" s="10" t="s">
        <v>26</v>
      </c>
      <c r="J16" s="10" t="s">
        <v>26</v>
      </c>
      <c r="K16" s="10" t="s">
        <v>26</v>
      </c>
      <c r="L16" s="11" t="s">
        <v>26</v>
      </c>
      <c r="M16" s="10" t="s">
        <v>26</v>
      </c>
      <c r="N16" s="10" t="s">
        <v>26</v>
      </c>
      <c r="O16" s="10" t="s">
        <v>26</v>
      </c>
      <c r="P16" s="54" t="s">
        <v>26</v>
      </c>
      <c r="Q16" s="10" t="s">
        <v>26</v>
      </c>
      <c r="R16" s="10" t="s">
        <v>26</v>
      </c>
      <c r="S16" s="10" t="s">
        <v>26</v>
      </c>
      <c r="T16" s="10" t="s">
        <v>26</v>
      </c>
      <c r="U16" s="10" t="s">
        <v>26</v>
      </c>
      <c r="V16" s="10" t="s">
        <v>26</v>
      </c>
      <c r="W16" s="10" t="s">
        <v>26</v>
      </c>
      <c r="X16" s="10" t="s">
        <v>26</v>
      </c>
    </row>
    <row r="17">
      <c r="A17" s="8">
        <v>40634.0</v>
      </c>
      <c r="B17" s="9">
        <f>IFERROR(__xludf.DUMMYFUNCTION("""COMPUTED_VALUE"""),2.0)</f>
        <v>2</v>
      </c>
      <c r="C17" s="10" t="s">
        <v>26</v>
      </c>
      <c r="D17" s="10" t="s">
        <v>26</v>
      </c>
      <c r="E17" s="10" t="s">
        <v>26</v>
      </c>
      <c r="F17" s="10" t="s">
        <v>26</v>
      </c>
      <c r="G17" s="10" t="s">
        <v>26</v>
      </c>
      <c r="H17" s="10" t="s">
        <v>26</v>
      </c>
      <c r="I17" s="10" t="s">
        <v>26</v>
      </c>
      <c r="J17" s="10" t="s">
        <v>26</v>
      </c>
      <c r="K17" s="10" t="s">
        <v>26</v>
      </c>
      <c r="L17" s="11" t="s">
        <v>26</v>
      </c>
      <c r="M17" s="10" t="s">
        <v>26</v>
      </c>
      <c r="N17" s="10" t="s">
        <v>26</v>
      </c>
      <c r="O17" s="10" t="s">
        <v>26</v>
      </c>
      <c r="P17" s="54" t="s">
        <v>26</v>
      </c>
      <c r="Q17" s="10" t="s">
        <v>26</v>
      </c>
      <c r="R17" s="10" t="s">
        <v>26</v>
      </c>
      <c r="S17" s="10" t="s">
        <v>26</v>
      </c>
      <c r="T17" s="10" t="s">
        <v>26</v>
      </c>
      <c r="U17" s="10" t="s">
        <v>26</v>
      </c>
      <c r="V17" s="10" t="s">
        <v>26</v>
      </c>
      <c r="W17" s="10" t="s">
        <v>26</v>
      </c>
      <c r="X17" s="10" t="s">
        <v>26</v>
      </c>
    </row>
    <row r="18">
      <c r="A18" s="8">
        <v>40664.0</v>
      </c>
      <c r="B18" s="9"/>
      <c r="C18" s="10" t="s">
        <v>26</v>
      </c>
      <c r="D18" s="10" t="s">
        <v>26</v>
      </c>
      <c r="E18" s="10" t="s">
        <v>26</v>
      </c>
      <c r="F18" s="10" t="s">
        <v>26</v>
      </c>
      <c r="G18" s="10" t="s">
        <v>26</v>
      </c>
      <c r="H18" s="10" t="s">
        <v>26</v>
      </c>
      <c r="I18" s="10" t="s">
        <v>26</v>
      </c>
      <c r="J18" s="10" t="s">
        <v>26</v>
      </c>
      <c r="K18" s="10" t="s">
        <v>26</v>
      </c>
      <c r="L18" s="11" t="s">
        <v>26</v>
      </c>
      <c r="M18" s="10" t="s">
        <v>26</v>
      </c>
      <c r="N18" s="10" t="s">
        <v>26</v>
      </c>
      <c r="O18" s="10" t="s">
        <v>26</v>
      </c>
      <c r="P18" s="54" t="s">
        <v>26</v>
      </c>
      <c r="Q18" s="10" t="s">
        <v>26</v>
      </c>
      <c r="R18" s="10" t="s">
        <v>26</v>
      </c>
      <c r="S18" s="10" t="s">
        <v>26</v>
      </c>
      <c r="T18" s="10" t="s">
        <v>26</v>
      </c>
      <c r="U18" s="10" t="s">
        <v>26</v>
      </c>
      <c r="V18" s="10" t="s">
        <v>26</v>
      </c>
      <c r="W18" s="10" t="s">
        <v>26</v>
      </c>
      <c r="X18" s="10" t="s">
        <v>26</v>
      </c>
    </row>
    <row r="19">
      <c r="A19" s="8">
        <v>40695.0</v>
      </c>
      <c r="B19" s="9"/>
      <c r="C19" s="10" t="s">
        <v>26</v>
      </c>
      <c r="D19" s="10" t="s">
        <v>26</v>
      </c>
      <c r="E19" s="10" t="s">
        <v>26</v>
      </c>
      <c r="F19" s="10" t="s">
        <v>26</v>
      </c>
      <c r="G19" s="10" t="s">
        <v>26</v>
      </c>
      <c r="H19" s="10" t="s">
        <v>26</v>
      </c>
      <c r="I19" s="10" t="s">
        <v>26</v>
      </c>
      <c r="J19" s="10" t="s">
        <v>26</v>
      </c>
      <c r="K19" s="10" t="s">
        <v>26</v>
      </c>
      <c r="L19" s="11" t="s">
        <v>26</v>
      </c>
      <c r="M19" s="10" t="s">
        <v>26</v>
      </c>
      <c r="N19" s="10" t="s">
        <v>26</v>
      </c>
      <c r="O19" s="10" t="s">
        <v>26</v>
      </c>
      <c r="P19" s="54" t="s">
        <v>26</v>
      </c>
      <c r="Q19" s="10" t="s">
        <v>26</v>
      </c>
      <c r="R19" s="10" t="s">
        <v>26</v>
      </c>
      <c r="S19" s="10" t="s">
        <v>26</v>
      </c>
      <c r="T19" s="10" t="s">
        <v>26</v>
      </c>
      <c r="U19" s="10" t="s">
        <v>26</v>
      </c>
      <c r="V19" s="10" t="s">
        <v>26</v>
      </c>
      <c r="W19" s="10" t="s">
        <v>26</v>
      </c>
      <c r="X19" s="10" t="s">
        <v>26</v>
      </c>
    </row>
    <row r="20">
      <c r="A20" s="8">
        <v>40725.0</v>
      </c>
      <c r="B20" s="9">
        <f>IFERROR(__xludf.DUMMYFUNCTION("""COMPUTED_VALUE"""),123.0)</f>
        <v>123</v>
      </c>
      <c r="C20" s="10" t="s">
        <v>26</v>
      </c>
      <c r="D20" s="10" t="s">
        <v>26</v>
      </c>
      <c r="E20" s="10" t="s">
        <v>26</v>
      </c>
      <c r="F20" s="10" t="s">
        <v>26</v>
      </c>
      <c r="G20" s="10" t="s">
        <v>26</v>
      </c>
      <c r="H20" s="10" t="s">
        <v>26</v>
      </c>
      <c r="I20" s="10" t="s">
        <v>26</v>
      </c>
      <c r="J20" s="10" t="s">
        <v>26</v>
      </c>
      <c r="K20" s="10" t="s">
        <v>26</v>
      </c>
      <c r="L20" s="11" t="s">
        <v>26</v>
      </c>
      <c r="M20" s="10" t="s">
        <v>26</v>
      </c>
      <c r="N20" s="10" t="s">
        <v>26</v>
      </c>
      <c r="O20" s="10" t="s">
        <v>26</v>
      </c>
      <c r="P20" s="54" t="s">
        <v>26</v>
      </c>
      <c r="Q20" s="10" t="s">
        <v>26</v>
      </c>
      <c r="R20" s="10" t="s">
        <v>26</v>
      </c>
      <c r="S20" s="10" t="s">
        <v>26</v>
      </c>
      <c r="T20" s="10" t="s">
        <v>26</v>
      </c>
      <c r="U20" s="10" t="s">
        <v>26</v>
      </c>
      <c r="V20" s="10" t="s">
        <v>26</v>
      </c>
      <c r="W20" s="10" t="s">
        <v>26</v>
      </c>
      <c r="X20" s="10" t="s">
        <v>26</v>
      </c>
    </row>
    <row r="21">
      <c r="A21" s="8">
        <v>40756.0</v>
      </c>
      <c r="B21" s="9"/>
      <c r="C21" s="12">
        <v>126.101581510375</v>
      </c>
      <c r="D21" s="12">
        <v>134.72609426796</v>
      </c>
      <c r="E21" s="12">
        <v>126.0</v>
      </c>
      <c r="F21" s="12">
        <v>126.0</v>
      </c>
      <c r="G21" s="12">
        <v>126.045613275819</v>
      </c>
      <c r="H21" s="12">
        <v>126.0</v>
      </c>
      <c r="I21" s="12">
        <v>126.0</v>
      </c>
      <c r="J21" s="12">
        <v>126.0</v>
      </c>
      <c r="K21" s="12">
        <v>126.0</v>
      </c>
      <c r="L21" s="13">
        <v>126.0</v>
      </c>
      <c r="M21" s="12">
        <v>116.881521673896</v>
      </c>
      <c r="N21" s="12">
        <v>115.083334508743</v>
      </c>
      <c r="O21" s="12">
        <v>115.083337655478</v>
      </c>
      <c r="P21" s="55">
        <v>17.0000082088661</v>
      </c>
      <c r="Q21" s="12">
        <v>115.083333644486</v>
      </c>
      <c r="R21" s="12">
        <v>106.420496432923</v>
      </c>
      <c r="S21" s="12">
        <v>114.948952479674</v>
      </c>
      <c r="T21" s="12">
        <v>114.948952479674</v>
      </c>
      <c r="U21" s="12">
        <v>149.128748992331</v>
      </c>
      <c r="V21" s="12">
        <v>-15599.6686692213</v>
      </c>
      <c r="W21" s="12">
        <v>125.999999865488</v>
      </c>
      <c r="X21" s="12">
        <v>126.000405807824</v>
      </c>
    </row>
    <row r="22">
      <c r="A22" s="8">
        <v>40787.0</v>
      </c>
      <c r="B22" s="9"/>
      <c r="C22" s="12">
        <v>126.109793853864</v>
      </c>
      <c r="D22" s="12">
        <v>134.951645053883</v>
      </c>
      <c r="E22" s="12">
        <v>126.0</v>
      </c>
      <c r="F22" s="12">
        <v>126.0</v>
      </c>
      <c r="G22" s="12">
        <v>125.978946609152</v>
      </c>
      <c r="H22" s="12">
        <v>126.0</v>
      </c>
      <c r="I22" s="12">
        <v>126.0</v>
      </c>
      <c r="J22" s="12">
        <v>126.0</v>
      </c>
      <c r="K22" s="12">
        <v>126.0</v>
      </c>
      <c r="L22" s="13">
        <v>126.0</v>
      </c>
      <c r="M22" s="12">
        <v>111.269298720953</v>
      </c>
      <c r="N22" s="12">
        <v>115.083334508743</v>
      </c>
      <c r="O22" s="12">
        <v>115.083337655478</v>
      </c>
      <c r="P22" s="55">
        <v>17.0000082088661</v>
      </c>
      <c r="Q22" s="12">
        <v>115.083333644486</v>
      </c>
      <c r="R22" s="12">
        <v>106.400152455166</v>
      </c>
      <c r="S22" s="12">
        <v>114.948952479674</v>
      </c>
      <c r="T22" s="12">
        <v>114.948952479674</v>
      </c>
      <c r="U22" s="12">
        <v>124.429131199634</v>
      </c>
      <c r="V22" s="12">
        <v>-15599.6686692213</v>
      </c>
      <c r="W22" s="12">
        <v>125.999999865488</v>
      </c>
      <c r="X22" s="12">
        <v>126.000000067132</v>
      </c>
    </row>
    <row r="23">
      <c r="A23" s="8">
        <v>40817.0</v>
      </c>
      <c r="B23" s="9"/>
      <c r="C23" s="12">
        <v>126.108762351783</v>
      </c>
      <c r="D23" s="12">
        <v>134.313165141448</v>
      </c>
      <c r="E23" s="12">
        <v>126.0</v>
      </c>
      <c r="F23" s="12">
        <v>126.0</v>
      </c>
      <c r="G23" s="12">
        <v>125.931269331719</v>
      </c>
      <c r="H23" s="12">
        <v>126.0</v>
      </c>
      <c r="I23" s="12">
        <v>126.0</v>
      </c>
      <c r="J23" s="12">
        <v>126.0</v>
      </c>
      <c r="K23" s="12">
        <v>126.0</v>
      </c>
      <c r="L23" s="13">
        <v>126.0</v>
      </c>
      <c r="M23" s="12">
        <v>111.269298720953</v>
      </c>
      <c r="N23" s="12">
        <v>115.083334508743</v>
      </c>
      <c r="O23" s="12">
        <v>115.083337655478</v>
      </c>
      <c r="P23" s="55">
        <v>115.083333706852</v>
      </c>
      <c r="Q23" s="12">
        <v>115.083333644486</v>
      </c>
      <c r="R23" s="12">
        <v>106.414047268813</v>
      </c>
      <c r="S23" s="12">
        <v>114.948952479674</v>
      </c>
      <c r="T23" s="12">
        <v>114.948952479674</v>
      </c>
      <c r="U23" s="12">
        <v>115.083331395658</v>
      </c>
      <c r="V23" s="12">
        <v>115.083333144799</v>
      </c>
      <c r="W23" s="12">
        <v>125.999999865488</v>
      </c>
      <c r="X23" s="12">
        <v>126.009936737636</v>
      </c>
    </row>
    <row r="24">
      <c r="A24" s="8">
        <v>40848.0</v>
      </c>
      <c r="B24" s="9"/>
      <c r="C24" s="12">
        <v>126.136930293216</v>
      </c>
      <c r="D24" s="12">
        <v>134.951645053883</v>
      </c>
      <c r="E24" s="12">
        <v>126.0</v>
      </c>
      <c r="F24" s="12">
        <v>126.0</v>
      </c>
      <c r="G24" s="12">
        <v>125.928090219165</v>
      </c>
      <c r="H24" s="12">
        <v>126.0</v>
      </c>
      <c r="I24" s="12">
        <v>126.0</v>
      </c>
      <c r="J24" s="12">
        <v>126.0</v>
      </c>
      <c r="K24" s="12">
        <v>126.0</v>
      </c>
      <c r="L24" s="13">
        <v>126.0</v>
      </c>
      <c r="M24" s="12">
        <v>111.269298720953</v>
      </c>
      <c r="N24" s="12">
        <v>115.083334508743</v>
      </c>
      <c r="O24" s="12">
        <v>115.083337655478</v>
      </c>
      <c r="P24" s="55">
        <v>115.082570719043</v>
      </c>
      <c r="Q24" s="12">
        <v>115.083333644486</v>
      </c>
      <c r="R24" s="12">
        <v>106.411124991326</v>
      </c>
      <c r="S24" s="12">
        <v>114.948952479674</v>
      </c>
      <c r="T24" s="12">
        <v>114.948952479674</v>
      </c>
      <c r="U24" s="12">
        <v>115.083329872667</v>
      </c>
      <c r="V24" s="12">
        <v>-15599.6686692213</v>
      </c>
      <c r="W24" s="12">
        <v>125.999999865488</v>
      </c>
      <c r="X24" s="12">
        <v>126.00046304995</v>
      </c>
    </row>
    <row r="25">
      <c r="A25" s="8">
        <v>40878.0</v>
      </c>
      <c r="B25" s="9"/>
      <c r="C25" s="12">
        <v>126.136930293216</v>
      </c>
      <c r="D25" s="12">
        <v>134.951645053883</v>
      </c>
      <c r="E25" s="12">
        <v>126.0</v>
      </c>
      <c r="F25" s="12">
        <v>126.0</v>
      </c>
      <c r="G25" s="12">
        <v>126.039201330276</v>
      </c>
      <c r="H25" s="12">
        <v>126.0</v>
      </c>
      <c r="I25" s="12">
        <v>126.0</v>
      </c>
      <c r="J25" s="12">
        <v>126.0</v>
      </c>
      <c r="K25" s="12">
        <v>126.0</v>
      </c>
      <c r="L25" s="13">
        <v>126.0</v>
      </c>
      <c r="M25" s="12">
        <v>111.269298720953</v>
      </c>
      <c r="N25" s="12">
        <v>115.083334508743</v>
      </c>
      <c r="O25" s="12">
        <v>115.083337655478</v>
      </c>
      <c r="P25" s="55">
        <v>115.08091757879</v>
      </c>
      <c r="Q25" s="12">
        <v>115.083333644486</v>
      </c>
      <c r="R25" s="12">
        <v>106.821497843702</v>
      </c>
      <c r="S25" s="12">
        <v>114.948952479674</v>
      </c>
      <c r="T25" s="12">
        <v>114.948952479674</v>
      </c>
      <c r="U25" s="12">
        <v>115.083344331167</v>
      </c>
      <c r="V25" s="12">
        <v>-15599.6686692213</v>
      </c>
      <c r="W25" s="12">
        <v>125.999999865488</v>
      </c>
      <c r="X25" s="12">
        <v>126.494171612757</v>
      </c>
    </row>
    <row r="26">
      <c r="A26" s="8">
        <v>40909.0</v>
      </c>
      <c r="B26" s="9"/>
      <c r="C26" s="12">
        <v>126.136930293216</v>
      </c>
      <c r="D26" s="12">
        <v>134.951645053883</v>
      </c>
      <c r="E26" s="12">
        <v>126.0</v>
      </c>
      <c r="F26" s="12">
        <v>126.0</v>
      </c>
      <c r="G26" s="12">
        <v>125.938950499824</v>
      </c>
      <c r="H26" s="12">
        <v>126.0</v>
      </c>
      <c r="I26" s="12">
        <v>126.0</v>
      </c>
      <c r="J26" s="12">
        <v>126.0</v>
      </c>
      <c r="K26" s="12">
        <v>126.0</v>
      </c>
      <c r="L26" s="13">
        <v>126.0</v>
      </c>
      <c r="M26" s="12">
        <v>111.269298720953</v>
      </c>
      <c r="N26" s="12">
        <v>115.083334508743</v>
      </c>
      <c r="O26" s="12">
        <v>115.083337655478</v>
      </c>
      <c r="P26" s="55">
        <v>115.061989921568</v>
      </c>
      <c r="Q26" s="12">
        <v>115.083333644486</v>
      </c>
      <c r="R26" s="12">
        <v>106.486141309969</v>
      </c>
      <c r="S26" s="12">
        <v>114.948952479674</v>
      </c>
      <c r="T26" s="12">
        <v>114.948952479674</v>
      </c>
      <c r="U26" s="12">
        <v>145.79096280413</v>
      </c>
      <c r="V26" s="12">
        <v>-15599.6686692213</v>
      </c>
      <c r="W26" s="12">
        <v>125.999999865488</v>
      </c>
      <c r="X26" s="12">
        <v>187.316812479521</v>
      </c>
    </row>
    <row r="27">
      <c r="A27" s="8">
        <v>40940.0</v>
      </c>
      <c r="B27" s="9"/>
      <c r="C27" s="12">
        <v>126.136930293216</v>
      </c>
      <c r="D27" s="12">
        <v>134.951645053883</v>
      </c>
      <c r="E27" s="12">
        <v>126.0</v>
      </c>
      <c r="F27" s="12">
        <v>126.0</v>
      </c>
      <c r="G27" s="12">
        <v>126.01725027611</v>
      </c>
      <c r="H27" s="12">
        <v>126.0</v>
      </c>
      <c r="I27" s="12">
        <v>126.0</v>
      </c>
      <c r="J27" s="12">
        <v>126.0</v>
      </c>
      <c r="K27" s="12">
        <v>126.0</v>
      </c>
      <c r="L27" s="13">
        <v>126.0</v>
      </c>
      <c r="M27" s="12">
        <v>111.269298720953</v>
      </c>
      <c r="N27" s="12">
        <v>115.083334508743</v>
      </c>
      <c r="O27" s="12">
        <v>115.083337655478</v>
      </c>
      <c r="P27" s="55">
        <v>115.071087272672</v>
      </c>
      <c r="Q27" s="12">
        <v>115.083333644486</v>
      </c>
      <c r="R27" s="12">
        <v>107.18955925307</v>
      </c>
      <c r="S27" s="12">
        <v>114.948952479674</v>
      </c>
      <c r="T27" s="12">
        <v>114.948952479674</v>
      </c>
      <c r="U27" s="12">
        <v>204.202221097675</v>
      </c>
      <c r="V27" s="12">
        <v>-15599.6686692213</v>
      </c>
      <c r="W27" s="12">
        <v>125.999999865488</v>
      </c>
      <c r="X27" s="12">
        <v>126.00126322697</v>
      </c>
    </row>
    <row r="28">
      <c r="A28" s="8">
        <v>40969.0</v>
      </c>
      <c r="B28" s="9"/>
      <c r="C28" s="12">
        <v>126.136930293216</v>
      </c>
      <c r="D28" s="12">
        <v>134.951645053883</v>
      </c>
      <c r="E28" s="12">
        <v>126.0</v>
      </c>
      <c r="F28" s="12">
        <v>126.0</v>
      </c>
      <c r="G28" s="12">
        <v>125.912552289533</v>
      </c>
      <c r="H28" s="12">
        <v>126.0</v>
      </c>
      <c r="I28" s="12">
        <v>126.0</v>
      </c>
      <c r="J28" s="12">
        <v>126.0</v>
      </c>
      <c r="K28" s="12">
        <v>126.0</v>
      </c>
      <c r="L28" s="13">
        <v>126.0</v>
      </c>
      <c r="M28" s="12">
        <v>118.269298720953</v>
      </c>
      <c r="N28" s="12">
        <v>115.083334508743</v>
      </c>
      <c r="O28" s="12">
        <v>115.083337655478</v>
      </c>
      <c r="P28" s="55">
        <v>115.083265233587</v>
      </c>
      <c r="Q28" s="12">
        <v>115.083333644486</v>
      </c>
      <c r="R28" s="12">
        <v>106.403567377134</v>
      </c>
      <c r="S28" s="12">
        <v>115.042812517698</v>
      </c>
      <c r="T28" s="12">
        <v>115.042812517698</v>
      </c>
      <c r="U28" s="12">
        <v>137.112718714804</v>
      </c>
      <c r="V28" s="12">
        <v>-15599.6686692213</v>
      </c>
      <c r="W28" s="12">
        <v>125.999999865488</v>
      </c>
      <c r="X28" s="12">
        <v>126.000124871052</v>
      </c>
    </row>
    <row r="29">
      <c r="A29" s="8">
        <v>41000.0</v>
      </c>
      <c r="B29" s="9"/>
      <c r="C29" s="12">
        <v>126.136930293216</v>
      </c>
      <c r="D29" s="12">
        <v>134.951645053883</v>
      </c>
      <c r="E29" s="12">
        <v>126.0</v>
      </c>
      <c r="F29" s="12">
        <v>126.0</v>
      </c>
      <c r="G29" s="12">
        <v>125.918432350152</v>
      </c>
      <c r="H29" s="12">
        <v>126.0</v>
      </c>
      <c r="I29" s="12">
        <v>126.0</v>
      </c>
      <c r="J29" s="12">
        <v>126.0</v>
      </c>
      <c r="K29" s="12">
        <v>126.0</v>
      </c>
      <c r="L29" s="13">
        <v>126.0</v>
      </c>
      <c r="M29" s="12">
        <v>162.769298720953</v>
      </c>
      <c r="N29" s="12">
        <v>115.083334508743</v>
      </c>
      <c r="O29" s="12">
        <v>115.083337655478</v>
      </c>
      <c r="P29" s="55">
        <v>115.083333706852</v>
      </c>
      <c r="Q29" s="12">
        <v>115.083333644486</v>
      </c>
      <c r="R29" s="12">
        <v>111.090433995162</v>
      </c>
      <c r="S29" s="12">
        <v>114.935806863615</v>
      </c>
      <c r="T29" s="12">
        <v>114.935806863615</v>
      </c>
      <c r="U29" s="12">
        <v>115.083329872667</v>
      </c>
      <c r="V29" s="12">
        <v>-15599.6686692213</v>
      </c>
      <c r="W29" s="12">
        <v>125.999999865488</v>
      </c>
      <c r="X29" s="12">
        <v>126.000000263571</v>
      </c>
    </row>
    <row r="30">
      <c r="A30" s="8">
        <v>41030.0</v>
      </c>
      <c r="B30" s="9">
        <f>IFERROR(__xludf.DUMMYFUNCTION("""COMPUTED_VALUE"""),9.0)</f>
        <v>9</v>
      </c>
      <c r="C30" s="12">
        <v>126.136930293216</v>
      </c>
      <c r="D30" s="12">
        <v>134.951645053883</v>
      </c>
      <c r="E30" s="12">
        <v>126.0</v>
      </c>
      <c r="F30" s="12">
        <v>126.0</v>
      </c>
      <c r="G30" s="12">
        <v>125.900367834023</v>
      </c>
      <c r="H30" s="12">
        <v>126.0</v>
      </c>
      <c r="I30" s="12">
        <v>126.0</v>
      </c>
      <c r="J30" s="12">
        <v>126.0</v>
      </c>
      <c r="K30" s="12">
        <v>126.0</v>
      </c>
      <c r="L30" s="13">
        <v>126.0</v>
      </c>
      <c r="M30" s="12">
        <v>162.769298720953</v>
      </c>
      <c r="N30" s="12">
        <v>115.083334508743</v>
      </c>
      <c r="O30" s="12">
        <v>115.083337655478</v>
      </c>
      <c r="P30" s="55">
        <v>115.083333706852</v>
      </c>
      <c r="Q30" s="12">
        <v>115.083333644486</v>
      </c>
      <c r="R30" s="12">
        <v>117.058486791077</v>
      </c>
      <c r="S30" s="12">
        <v>114.952284306489</v>
      </c>
      <c r="T30" s="12">
        <v>114.952284306489</v>
      </c>
      <c r="U30" s="12">
        <v>115.750887110308</v>
      </c>
      <c r="V30" s="12">
        <v>-15599.6686692213</v>
      </c>
      <c r="W30" s="12">
        <v>125.999999865488</v>
      </c>
      <c r="X30" s="12">
        <v>126.000000000418</v>
      </c>
    </row>
    <row r="31">
      <c r="A31" s="8">
        <v>41061.0</v>
      </c>
      <c r="B31" s="9"/>
      <c r="C31" s="12">
        <v>126.136930293216</v>
      </c>
      <c r="D31" s="12">
        <v>134.951645053883</v>
      </c>
      <c r="E31" s="12">
        <v>126.0</v>
      </c>
      <c r="F31" s="12">
        <v>126.0</v>
      </c>
      <c r="G31" s="12">
        <v>125.918414251568</v>
      </c>
      <c r="H31" s="12">
        <v>126.0</v>
      </c>
      <c r="I31" s="12">
        <v>126.0</v>
      </c>
      <c r="J31" s="12">
        <v>126.0</v>
      </c>
      <c r="K31" s="12">
        <v>126.0</v>
      </c>
      <c r="L31" s="13">
        <v>126.0</v>
      </c>
      <c r="M31" s="12">
        <v>163.269298720953</v>
      </c>
      <c r="N31" s="12">
        <v>115.083334508743</v>
      </c>
      <c r="O31" s="12">
        <v>115.083337655478</v>
      </c>
      <c r="P31" s="55">
        <v>115.083333706852</v>
      </c>
      <c r="Q31" s="12">
        <v>115.083333644486</v>
      </c>
      <c r="R31" s="12">
        <v>111.832538719654</v>
      </c>
      <c r="S31" s="12">
        <v>114.918263998232</v>
      </c>
      <c r="T31" s="12">
        <v>114.918263998232</v>
      </c>
      <c r="U31" s="12">
        <v>131.770124138428</v>
      </c>
      <c r="V31" s="12">
        <v>-15599.6686692213</v>
      </c>
      <c r="W31" s="12">
        <v>125.999999865488</v>
      </c>
      <c r="X31" s="12">
        <v>126.002417173616</v>
      </c>
    </row>
    <row r="32">
      <c r="A32" s="8">
        <v>41091.0</v>
      </c>
      <c r="B32" s="9"/>
      <c r="C32" s="12">
        <v>126.136930293216</v>
      </c>
      <c r="D32" s="12">
        <v>134.951645053883</v>
      </c>
      <c r="E32" s="12">
        <v>126.0</v>
      </c>
      <c r="F32" s="12">
        <v>126.0</v>
      </c>
      <c r="G32" s="12">
        <v>125.897787188862</v>
      </c>
      <c r="H32" s="12">
        <v>126.0</v>
      </c>
      <c r="I32" s="12">
        <v>126.0</v>
      </c>
      <c r="J32" s="12">
        <v>126.0</v>
      </c>
      <c r="K32" s="12">
        <v>126.0</v>
      </c>
      <c r="L32" s="13">
        <v>126.0</v>
      </c>
      <c r="M32" s="12">
        <v>142.269298720953</v>
      </c>
      <c r="N32" s="12">
        <v>115.083334508743</v>
      </c>
      <c r="O32" s="12">
        <v>115.083337655478</v>
      </c>
      <c r="P32" s="55">
        <v>115.083333706852</v>
      </c>
      <c r="Q32" s="12">
        <v>115.083333644486</v>
      </c>
      <c r="R32" s="12">
        <v>114.441991466975</v>
      </c>
      <c r="S32" s="12">
        <v>114.952312672372</v>
      </c>
      <c r="T32" s="12">
        <v>114.952312672372</v>
      </c>
      <c r="U32" s="12">
        <v>115.083329872667</v>
      </c>
      <c r="V32" s="12">
        <v>-15599.6686692213</v>
      </c>
      <c r="W32" s="12">
        <v>125.999999865488</v>
      </c>
      <c r="X32" s="12">
        <v>126.00030417673</v>
      </c>
    </row>
    <row r="33">
      <c r="A33" s="8">
        <v>41122.0</v>
      </c>
      <c r="B33" s="9"/>
      <c r="C33" s="12">
        <v>126.136930293216</v>
      </c>
      <c r="D33" s="12">
        <v>134.951645053883</v>
      </c>
      <c r="E33" s="12">
        <v>126.0</v>
      </c>
      <c r="F33" s="12">
        <v>126.0</v>
      </c>
      <c r="G33" s="12">
        <v>125.90356276642</v>
      </c>
      <c r="H33" s="12">
        <v>126.0</v>
      </c>
      <c r="I33" s="12">
        <v>126.0</v>
      </c>
      <c r="J33" s="12">
        <v>126.666666666667</v>
      </c>
      <c r="K33" s="12">
        <v>126.0</v>
      </c>
      <c r="L33" s="13">
        <v>126.0</v>
      </c>
      <c r="M33" s="12">
        <v>183.93596538762</v>
      </c>
      <c r="N33" s="12">
        <v>115.083334508743</v>
      </c>
      <c r="O33" s="12">
        <v>115.083337655478</v>
      </c>
      <c r="P33" s="55">
        <v>17.0000082088661</v>
      </c>
      <c r="Q33" s="12">
        <v>115.083333644486</v>
      </c>
      <c r="R33" s="12">
        <v>108.605842739249</v>
      </c>
      <c r="S33" s="12">
        <v>114.948952479674</v>
      </c>
      <c r="T33" s="12">
        <v>114.948952479674</v>
      </c>
      <c r="U33" s="12">
        <v>117.419780204409</v>
      </c>
      <c r="V33" s="12">
        <v>-15599.6686692213</v>
      </c>
      <c r="W33" s="12">
        <v>125.999999865488</v>
      </c>
      <c r="X33" s="12">
        <v>126.000006174219</v>
      </c>
    </row>
    <row r="34">
      <c r="A34" s="8">
        <v>41153.0</v>
      </c>
      <c r="B34" s="9"/>
      <c r="C34" s="12">
        <v>126.136930293216</v>
      </c>
      <c r="D34" s="12">
        <v>134.951645053883</v>
      </c>
      <c r="E34" s="12">
        <v>126.0</v>
      </c>
      <c r="F34" s="12">
        <v>126.0</v>
      </c>
      <c r="G34" s="12">
        <v>125.925766463473</v>
      </c>
      <c r="H34" s="12">
        <v>178.0</v>
      </c>
      <c r="I34" s="12">
        <v>126.0</v>
      </c>
      <c r="J34" s="12">
        <v>133.833333333333</v>
      </c>
      <c r="K34" s="12">
        <v>126.0</v>
      </c>
      <c r="L34" s="13">
        <v>126.0</v>
      </c>
      <c r="M34" s="12">
        <v>270.269298720953</v>
      </c>
      <c r="N34" s="12">
        <v>115.083334508743</v>
      </c>
      <c r="O34" s="12">
        <v>115.083337655478</v>
      </c>
      <c r="P34" s="55">
        <v>115.083333706852</v>
      </c>
      <c r="Q34" s="12">
        <v>115.083333644486</v>
      </c>
      <c r="R34" s="12">
        <v>112.974207232834</v>
      </c>
      <c r="S34" s="12">
        <v>115.664160584933</v>
      </c>
      <c r="T34" s="12">
        <v>115.664160584933</v>
      </c>
      <c r="U34" s="12">
        <v>124.095352580814</v>
      </c>
      <c r="V34" s="12">
        <v>-15599.6686692213</v>
      </c>
      <c r="W34" s="12">
        <v>125.999999865488</v>
      </c>
      <c r="X34" s="12">
        <v>126.000341498029</v>
      </c>
    </row>
    <row r="35">
      <c r="A35" s="8">
        <v>41183.0</v>
      </c>
      <c r="B35" s="9">
        <f>IFERROR(__xludf.DUMMYFUNCTION("""COMPUTED_VALUE"""),107.0)</f>
        <v>107</v>
      </c>
      <c r="C35" s="12">
        <v>126.136930293216</v>
      </c>
      <c r="D35" s="12">
        <v>134.951645053883</v>
      </c>
      <c r="E35" s="12">
        <v>126.0</v>
      </c>
      <c r="F35" s="12">
        <v>126.0</v>
      </c>
      <c r="G35" s="12">
        <v>125.916440038603</v>
      </c>
      <c r="H35" s="12">
        <v>126.0</v>
      </c>
      <c r="I35" s="12">
        <v>126.0</v>
      </c>
      <c r="J35" s="12">
        <v>126.0</v>
      </c>
      <c r="K35" s="12">
        <v>126.0</v>
      </c>
      <c r="L35" s="13">
        <v>126.0</v>
      </c>
      <c r="M35" s="12">
        <v>269.602632054286</v>
      </c>
      <c r="N35" s="12">
        <v>115.083334508743</v>
      </c>
      <c r="O35" s="12">
        <v>115.083337655478</v>
      </c>
      <c r="P35" s="55">
        <v>17.0000082088661</v>
      </c>
      <c r="Q35" s="12">
        <v>115.083333644486</v>
      </c>
      <c r="R35" s="12">
        <v>109.481071946666</v>
      </c>
      <c r="S35" s="12">
        <v>116.453355735564</v>
      </c>
      <c r="T35" s="12">
        <v>116.453355735564</v>
      </c>
      <c r="U35" s="12">
        <v>121.091345011432</v>
      </c>
      <c r="V35" s="12">
        <v>-15599.6686692213</v>
      </c>
      <c r="W35" s="12">
        <v>137.91707188375</v>
      </c>
      <c r="X35" s="12">
        <v>126.000260417219</v>
      </c>
    </row>
    <row r="36">
      <c r="A36" s="8">
        <v>41214.0</v>
      </c>
      <c r="B36" s="9"/>
      <c r="C36" s="12">
        <v>126.136930293216</v>
      </c>
      <c r="D36" s="12">
        <v>134.951645053883</v>
      </c>
      <c r="E36" s="12">
        <v>126.0</v>
      </c>
      <c r="F36" s="12">
        <v>126.0</v>
      </c>
      <c r="G36" s="12">
        <v>126.169631849056</v>
      </c>
      <c r="H36" s="12">
        <v>126.0</v>
      </c>
      <c r="I36" s="12">
        <v>126.0</v>
      </c>
      <c r="J36" s="12">
        <v>126.0</v>
      </c>
      <c r="K36" s="12">
        <v>126.0</v>
      </c>
      <c r="L36" s="13">
        <v>126.0</v>
      </c>
      <c r="M36" s="12">
        <v>116.975612668666</v>
      </c>
      <c r="N36" s="12">
        <v>115.083334508743</v>
      </c>
      <c r="O36" s="12">
        <v>115.083337655478</v>
      </c>
      <c r="P36" s="55">
        <v>115.083333706852</v>
      </c>
      <c r="Q36" s="12">
        <v>115.083333644486</v>
      </c>
      <c r="R36" s="12">
        <v>120.373369862277</v>
      </c>
      <c r="S36" s="12">
        <v>114.956366776784</v>
      </c>
      <c r="T36" s="12">
        <v>114.956366776784</v>
      </c>
      <c r="U36" s="12">
        <v>115.083329872667</v>
      </c>
      <c r="V36" s="12">
        <v>-15599.6686692213</v>
      </c>
      <c r="W36" s="12">
        <v>125.999999865488</v>
      </c>
      <c r="X36" s="12">
        <v>126.000000066988</v>
      </c>
    </row>
    <row r="37">
      <c r="A37" s="8">
        <v>41244.0</v>
      </c>
      <c r="B37" s="9"/>
      <c r="C37" s="12">
        <v>126.136930293216</v>
      </c>
      <c r="D37" s="12">
        <v>134.951645053883</v>
      </c>
      <c r="E37" s="12">
        <v>126.0</v>
      </c>
      <c r="F37" s="12">
        <v>126.0</v>
      </c>
      <c r="G37" s="12">
        <v>126.031120522195</v>
      </c>
      <c r="H37" s="12">
        <v>126.0</v>
      </c>
      <c r="I37" s="12">
        <v>126.0</v>
      </c>
      <c r="J37" s="12">
        <v>126.0</v>
      </c>
      <c r="K37" s="12">
        <v>126.0</v>
      </c>
      <c r="L37" s="13">
        <v>126.0</v>
      </c>
      <c r="M37" s="12">
        <v>115.663096743091</v>
      </c>
      <c r="N37" s="12">
        <v>115.083334508743</v>
      </c>
      <c r="O37" s="12">
        <v>115.083337655478</v>
      </c>
      <c r="P37" s="55">
        <v>115.083333706852</v>
      </c>
      <c r="Q37" s="12">
        <v>115.083333644486</v>
      </c>
      <c r="R37" s="12">
        <v>119.825237190271</v>
      </c>
      <c r="S37" s="12">
        <v>114.991127583521</v>
      </c>
      <c r="T37" s="12">
        <v>114.991127583521</v>
      </c>
      <c r="U37" s="12">
        <v>127.766917387837</v>
      </c>
      <c r="V37" s="12">
        <v>-15599.6686692213</v>
      </c>
      <c r="W37" s="12">
        <v>125.999999865488</v>
      </c>
      <c r="X37" s="12">
        <v>126.000356073591</v>
      </c>
    </row>
    <row r="38">
      <c r="A38" s="8">
        <v>41275.0</v>
      </c>
      <c r="B38" s="9"/>
      <c r="C38" s="12">
        <v>126.136930293216</v>
      </c>
      <c r="D38" s="12">
        <v>134.951645053883</v>
      </c>
      <c r="E38" s="12">
        <v>126.0</v>
      </c>
      <c r="F38" s="12">
        <v>126.0</v>
      </c>
      <c r="G38" s="12">
        <v>125.989185038324</v>
      </c>
      <c r="H38" s="12">
        <v>126.0</v>
      </c>
      <c r="I38" s="12">
        <v>126.0</v>
      </c>
      <c r="J38" s="12">
        <v>126.0</v>
      </c>
      <c r="K38" s="12">
        <v>126.0</v>
      </c>
      <c r="L38" s="13">
        <v>126.0</v>
      </c>
      <c r="M38" s="12">
        <v>130.769298720953</v>
      </c>
      <c r="N38" s="12">
        <v>115.083334508743</v>
      </c>
      <c r="O38" s="12">
        <v>115.083337655478</v>
      </c>
      <c r="P38" s="55">
        <v>17.0000082088661</v>
      </c>
      <c r="Q38" s="12">
        <v>115.083333644486</v>
      </c>
      <c r="R38" s="12">
        <v>121.163782115006</v>
      </c>
      <c r="S38" s="12">
        <v>114.948952479674</v>
      </c>
      <c r="T38" s="12">
        <v>114.948952479674</v>
      </c>
      <c r="U38" s="12">
        <v>115.083329872667</v>
      </c>
      <c r="V38" s="12">
        <v>-15599.6686692213</v>
      </c>
      <c r="W38" s="12">
        <v>125.999999865488</v>
      </c>
      <c r="X38" s="12">
        <v>126.000004994153</v>
      </c>
    </row>
    <row r="39">
      <c r="A39" s="8">
        <v>41306.0</v>
      </c>
      <c r="B39" s="9">
        <f>IFERROR(__xludf.DUMMYFUNCTION("""COMPUTED_VALUE"""),37.0)</f>
        <v>37</v>
      </c>
      <c r="C39" s="12">
        <v>126.136930293216</v>
      </c>
      <c r="D39" s="12">
        <v>134.951645053883</v>
      </c>
      <c r="E39" s="12">
        <v>126.0</v>
      </c>
      <c r="F39" s="12">
        <v>126.0</v>
      </c>
      <c r="G39" s="12">
        <v>125.897787188862</v>
      </c>
      <c r="H39" s="12">
        <v>126.0</v>
      </c>
      <c r="I39" s="12">
        <v>126.0</v>
      </c>
      <c r="J39" s="12">
        <v>126.0</v>
      </c>
      <c r="K39" s="12">
        <v>126.0</v>
      </c>
      <c r="L39" s="13">
        <v>126.0</v>
      </c>
      <c r="M39" s="12">
        <v>147.269298720953</v>
      </c>
      <c r="N39" s="12">
        <v>115.083334508743</v>
      </c>
      <c r="O39" s="12">
        <v>115.083337655478</v>
      </c>
      <c r="P39" s="55">
        <v>115.083333706852</v>
      </c>
      <c r="Q39" s="12">
        <v>115.083333644486</v>
      </c>
      <c r="R39" s="12">
        <v>113.234398910865</v>
      </c>
      <c r="S39" s="12">
        <v>117.2713295301</v>
      </c>
      <c r="T39" s="12">
        <v>117.2713295301</v>
      </c>
      <c r="U39" s="12">
        <v>115.083329872667</v>
      </c>
      <c r="V39" s="12">
        <v>-15599.6686692213</v>
      </c>
      <c r="W39" s="12">
        <v>125.999999865488</v>
      </c>
      <c r="X39" s="12">
        <v>126.000000542884</v>
      </c>
    </row>
    <row r="40">
      <c r="A40" s="8">
        <v>41334.0</v>
      </c>
      <c r="B40" s="9"/>
      <c r="C40" s="12">
        <v>126.075278207318</v>
      </c>
      <c r="D40" s="12">
        <v>134.951645053883</v>
      </c>
      <c r="E40" s="12">
        <v>126.0</v>
      </c>
      <c r="F40" s="12">
        <v>126.0</v>
      </c>
      <c r="G40" s="12">
        <v>126.420514461589</v>
      </c>
      <c r="H40" s="12">
        <v>126.0</v>
      </c>
      <c r="I40" s="12">
        <v>126.0</v>
      </c>
      <c r="J40" s="12">
        <v>126.0</v>
      </c>
      <c r="K40" s="12">
        <v>126.0</v>
      </c>
      <c r="L40" s="13">
        <v>126.0</v>
      </c>
      <c r="M40" s="12">
        <v>115.065356178053</v>
      </c>
      <c r="N40" s="12">
        <v>115.083334508743</v>
      </c>
      <c r="O40" s="12">
        <v>115.083337655478</v>
      </c>
      <c r="P40" s="55">
        <v>115.083333706852</v>
      </c>
      <c r="Q40" s="12">
        <v>115.083333644486</v>
      </c>
      <c r="R40" s="12">
        <v>109.550455697427</v>
      </c>
      <c r="S40" s="12">
        <v>114.970105467813</v>
      </c>
      <c r="T40" s="12">
        <v>114.970105467813</v>
      </c>
      <c r="U40" s="12">
        <v>115.083329872667</v>
      </c>
      <c r="V40" s="12">
        <v>-15599.6686692213</v>
      </c>
      <c r="W40" s="12">
        <v>125.999999865488</v>
      </c>
      <c r="X40" s="12">
        <v>126.000000000122</v>
      </c>
    </row>
    <row r="41">
      <c r="A41" s="8">
        <v>41365.0</v>
      </c>
      <c r="B41" s="9">
        <f>IFERROR(__xludf.DUMMYFUNCTION("""COMPUTED_VALUE"""),5.0)</f>
        <v>5</v>
      </c>
      <c r="C41" s="12">
        <v>126.136930293216</v>
      </c>
      <c r="D41" s="12">
        <v>134.951645053883</v>
      </c>
      <c r="E41" s="12">
        <v>126.0</v>
      </c>
      <c r="F41" s="12">
        <v>126.0</v>
      </c>
      <c r="G41" s="12">
        <v>126.306878097953</v>
      </c>
      <c r="H41" s="12">
        <v>126.0</v>
      </c>
      <c r="I41" s="12">
        <v>126.0</v>
      </c>
      <c r="J41" s="12">
        <v>126.0</v>
      </c>
      <c r="K41" s="12">
        <v>126.0</v>
      </c>
      <c r="L41" s="13">
        <v>126.0</v>
      </c>
      <c r="M41" s="12">
        <v>206.269298720953</v>
      </c>
      <c r="N41" s="12">
        <v>115.083334508743</v>
      </c>
      <c r="O41" s="12">
        <v>115.083337655478</v>
      </c>
      <c r="P41" s="55">
        <v>17.0000082088661</v>
      </c>
      <c r="Q41" s="12">
        <v>115.083333644486</v>
      </c>
      <c r="R41" s="12">
        <v>115.921565579256</v>
      </c>
      <c r="S41" s="12">
        <v>115.831790399722</v>
      </c>
      <c r="T41" s="12">
        <v>115.831790399722</v>
      </c>
      <c r="U41" s="12">
        <v>127.09889330589</v>
      </c>
      <c r="V41" s="12">
        <v>-15599.6686692213</v>
      </c>
      <c r="W41" s="12">
        <v>125.999999865488</v>
      </c>
      <c r="X41" s="12">
        <v>126.00000000007</v>
      </c>
    </row>
    <row r="42">
      <c r="A42" s="8">
        <v>41395.0</v>
      </c>
      <c r="B42" s="9"/>
      <c r="C42" s="12">
        <v>126.136930293216</v>
      </c>
      <c r="D42" s="12">
        <v>134.951645053883</v>
      </c>
      <c r="E42" s="12">
        <v>126.0</v>
      </c>
      <c r="F42" s="12">
        <v>126.0</v>
      </c>
      <c r="G42" s="12">
        <v>125.998506613322</v>
      </c>
      <c r="H42" s="12">
        <v>126.0</v>
      </c>
      <c r="I42" s="12">
        <v>126.0</v>
      </c>
      <c r="J42" s="12">
        <v>126.0</v>
      </c>
      <c r="K42" s="12">
        <v>126.0</v>
      </c>
      <c r="L42" s="13">
        <v>126.0</v>
      </c>
      <c r="M42" s="12">
        <v>2423.93596538762</v>
      </c>
      <c r="N42" s="12">
        <v>115.083334508743</v>
      </c>
      <c r="O42" s="12">
        <v>115.083337655478</v>
      </c>
      <c r="P42" s="55">
        <v>17.0000082088661</v>
      </c>
      <c r="Q42" s="12">
        <v>115.083333644486</v>
      </c>
      <c r="R42" s="12">
        <v>121.354298934174</v>
      </c>
      <c r="S42" s="12">
        <v>116.927834948011</v>
      </c>
      <c r="T42" s="12">
        <v>116.927834948011</v>
      </c>
      <c r="U42" s="12">
        <v>115.083329872667</v>
      </c>
      <c r="V42" s="12">
        <v>-15599.6686692213</v>
      </c>
      <c r="W42" s="12">
        <v>125.999999865488</v>
      </c>
      <c r="X42" s="12">
        <v>126.000000042289</v>
      </c>
    </row>
    <row r="43">
      <c r="A43" s="8">
        <v>41426.0</v>
      </c>
      <c r="B43" s="9"/>
      <c r="C43" s="12">
        <v>126.136930293216</v>
      </c>
      <c r="D43" s="12">
        <v>134.951645053883</v>
      </c>
      <c r="E43" s="12">
        <v>126.0</v>
      </c>
      <c r="F43" s="12">
        <v>126.0</v>
      </c>
      <c r="G43" s="12">
        <v>127.027283591739</v>
      </c>
      <c r="H43" s="12">
        <v>126.0</v>
      </c>
      <c r="I43" s="12">
        <v>126.0</v>
      </c>
      <c r="J43" s="12">
        <v>126.0</v>
      </c>
      <c r="K43" s="12">
        <v>126.0</v>
      </c>
      <c r="L43" s="13">
        <v>126.0</v>
      </c>
      <c r="M43" s="12">
        <v>3086.26929872095</v>
      </c>
      <c r="N43" s="12">
        <v>115.083334508743</v>
      </c>
      <c r="O43" s="12">
        <v>115.083337655478</v>
      </c>
      <c r="P43" s="55">
        <v>17.0000082088661</v>
      </c>
      <c r="Q43" s="12">
        <v>115.083333644486</v>
      </c>
      <c r="R43" s="12">
        <v>120.688847449539</v>
      </c>
      <c r="S43" s="12">
        <v>115.01178003968</v>
      </c>
      <c r="T43" s="12">
        <v>115.01178003968</v>
      </c>
      <c r="U43" s="12">
        <v>115.083329872667</v>
      </c>
      <c r="V43" s="12">
        <v>-15599.6686692213</v>
      </c>
      <c r="W43" s="12">
        <v>159.41707188375</v>
      </c>
      <c r="X43" s="12">
        <v>126.000000096963</v>
      </c>
    </row>
    <row r="44">
      <c r="A44" s="8">
        <v>41456.0</v>
      </c>
      <c r="B44" s="9">
        <f>IFERROR(__xludf.DUMMYFUNCTION("""COMPUTED_VALUE"""),56.0)</f>
        <v>56</v>
      </c>
      <c r="C44" s="12">
        <v>126.136930293216</v>
      </c>
      <c r="D44" s="12">
        <v>134.951645053883</v>
      </c>
      <c r="E44" s="12">
        <v>126.0</v>
      </c>
      <c r="F44" s="12">
        <v>126.0</v>
      </c>
      <c r="G44" s="12">
        <v>126.633081306509</v>
      </c>
      <c r="H44" s="12">
        <v>126.0</v>
      </c>
      <c r="I44" s="12">
        <v>126.0</v>
      </c>
      <c r="J44" s="12">
        <v>126.0</v>
      </c>
      <c r="K44" s="12">
        <v>126.0</v>
      </c>
      <c r="L44" s="13">
        <v>126.0</v>
      </c>
      <c r="M44" s="12">
        <v>3148.60263205429</v>
      </c>
      <c r="N44" s="12">
        <v>115.083334508743</v>
      </c>
      <c r="O44" s="12">
        <v>115.083337655478</v>
      </c>
      <c r="P44" s="55">
        <v>115.083333706852</v>
      </c>
      <c r="Q44" s="12">
        <v>115.083333644486</v>
      </c>
      <c r="R44" s="12">
        <v>119.816067285052</v>
      </c>
      <c r="S44" s="12">
        <v>114.941673349807</v>
      </c>
      <c r="T44" s="12">
        <v>114.941673349807</v>
      </c>
      <c r="U44" s="12">
        <v>131.77226081368</v>
      </c>
      <c r="V44" s="12">
        <v>-15599.6686692213</v>
      </c>
      <c r="W44" s="12">
        <v>159.41707188375</v>
      </c>
      <c r="X44" s="12">
        <v>126.000000000456</v>
      </c>
    </row>
    <row r="45">
      <c r="A45" s="8">
        <v>41487.0</v>
      </c>
      <c r="B45" s="9">
        <f>IFERROR(__xludf.DUMMYFUNCTION("""COMPUTED_VALUE"""),549.0)</f>
        <v>549</v>
      </c>
      <c r="C45" s="12">
        <v>126.136930293216</v>
      </c>
      <c r="D45" s="12">
        <v>134.951645053883</v>
      </c>
      <c r="E45" s="12">
        <v>539.83822667255</v>
      </c>
      <c r="F45" s="12">
        <v>126.0</v>
      </c>
      <c r="G45" s="12">
        <v>560.630179589159</v>
      </c>
      <c r="H45" s="12">
        <v>331.5</v>
      </c>
      <c r="I45" s="12">
        <v>126.0</v>
      </c>
      <c r="J45" s="12">
        <v>126.0</v>
      </c>
      <c r="K45" s="12">
        <v>135.5</v>
      </c>
      <c r="L45" s="13">
        <v>537.5</v>
      </c>
      <c r="M45" s="12">
        <v>550.134222766805</v>
      </c>
      <c r="N45" s="12">
        <v>550.365134289795</v>
      </c>
      <c r="O45" s="12">
        <v>522.686526118328</v>
      </c>
      <c r="P45" s="55">
        <v>115.083333706852</v>
      </c>
      <c r="Q45" s="12">
        <v>115.083333644486</v>
      </c>
      <c r="R45" s="12">
        <v>548.448236389889</v>
      </c>
      <c r="S45" s="12">
        <v>502.042249608024</v>
      </c>
      <c r="T45" s="12">
        <v>502.042249608024</v>
      </c>
      <c r="U45" s="12">
        <v>119.756230536151</v>
      </c>
      <c r="V45" s="12">
        <v>-15599.6686692213</v>
      </c>
      <c r="W45" s="12">
        <v>226.41707188375</v>
      </c>
      <c r="X45" s="12">
        <v>126.000000001164</v>
      </c>
    </row>
    <row r="46">
      <c r="A46" s="8">
        <v>41518.0</v>
      </c>
      <c r="B46" s="9">
        <f>IFERROR(__xludf.DUMMYFUNCTION("""COMPUTED_VALUE"""),325.0)</f>
        <v>325</v>
      </c>
      <c r="C46" s="12">
        <v>125.505889058795</v>
      </c>
      <c r="D46" s="12">
        <v>134.951645053883</v>
      </c>
      <c r="E46" s="12">
        <v>126.0</v>
      </c>
      <c r="F46" s="12">
        <v>126.0</v>
      </c>
      <c r="G46" s="12">
        <v>127.133081306509</v>
      </c>
      <c r="H46" s="12">
        <v>416.711306902968</v>
      </c>
      <c r="I46" s="12">
        <v>126.0</v>
      </c>
      <c r="J46" s="12">
        <v>327.0</v>
      </c>
      <c r="K46" s="12">
        <v>444.472891455892</v>
      </c>
      <c r="L46" s="13">
        <v>313.0</v>
      </c>
      <c r="M46" s="12">
        <v>363.269298720953</v>
      </c>
      <c r="N46" s="12">
        <v>115.083334508743</v>
      </c>
      <c r="O46" s="12">
        <v>115.083337655478</v>
      </c>
      <c r="P46" s="55">
        <v>115.083333706852</v>
      </c>
      <c r="Q46" s="12">
        <v>115.083333644486</v>
      </c>
      <c r="R46" s="12">
        <v>331.263324754097</v>
      </c>
      <c r="S46" s="12">
        <v>385.775848086755</v>
      </c>
      <c r="T46" s="12">
        <v>385.775848086755</v>
      </c>
      <c r="U46" s="12">
        <v>143.120695532425</v>
      </c>
      <c r="V46" s="12">
        <v>-15599.6686692213</v>
      </c>
      <c r="W46" s="12">
        <v>263.91707188375</v>
      </c>
      <c r="X46" s="12">
        <v>126.000000002106</v>
      </c>
    </row>
    <row r="47">
      <c r="A47" s="8">
        <v>41548.0</v>
      </c>
      <c r="B47" s="9">
        <f>IFERROR(__xludf.DUMMYFUNCTION("""COMPUTED_VALUE"""),265.0)</f>
        <v>265</v>
      </c>
      <c r="C47" s="12">
        <v>121.856990121621</v>
      </c>
      <c r="D47" s="12">
        <v>134.951645053883</v>
      </c>
      <c r="E47" s="12">
        <v>126.0</v>
      </c>
      <c r="F47" s="12">
        <v>126.0</v>
      </c>
      <c r="G47" s="12">
        <v>127.252625898539</v>
      </c>
      <c r="H47" s="12">
        <v>258.279995070953</v>
      </c>
      <c r="I47" s="12">
        <v>126.0</v>
      </c>
      <c r="J47" s="12">
        <v>126.0</v>
      </c>
      <c r="K47" s="12">
        <v>254.4217366827</v>
      </c>
      <c r="L47" s="13">
        <v>168.333333333333</v>
      </c>
      <c r="M47" s="12">
        <v>315.269298720953</v>
      </c>
      <c r="N47" s="12">
        <v>251.805996133893</v>
      </c>
      <c r="O47" s="12">
        <v>115.083337655478</v>
      </c>
      <c r="P47" s="55">
        <v>115.083289284473</v>
      </c>
      <c r="Q47" s="12">
        <v>115.083333644486</v>
      </c>
      <c r="R47" s="12">
        <v>169.608468761115</v>
      </c>
      <c r="S47" s="12">
        <v>224.756109471983</v>
      </c>
      <c r="T47" s="12">
        <v>224.756109471983</v>
      </c>
      <c r="U47" s="12">
        <v>142.612547141303</v>
      </c>
      <c r="V47" s="12">
        <v>-15599.6686692213</v>
      </c>
      <c r="W47" s="12">
        <v>230.41707188375</v>
      </c>
      <c r="X47" s="12">
        <v>126.000000001853</v>
      </c>
    </row>
    <row r="48">
      <c r="A48" s="8">
        <v>41579.0</v>
      </c>
      <c r="B48" s="9">
        <f>IFERROR(__xludf.DUMMYFUNCTION("""COMPUTED_VALUE"""),325.0)</f>
        <v>325</v>
      </c>
      <c r="C48" s="12">
        <v>124.444275052012</v>
      </c>
      <c r="D48" s="12">
        <v>134.951645053883</v>
      </c>
      <c r="E48" s="12">
        <v>126.0</v>
      </c>
      <c r="F48" s="12">
        <v>126.0</v>
      </c>
      <c r="G48" s="12">
        <v>126.930045253378</v>
      </c>
      <c r="H48" s="12">
        <v>439.25</v>
      </c>
      <c r="I48" s="12">
        <v>126.0</v>
      </c>
      <c r="J48" s="12">
        <v>292.666666666667</v>
      </c>
      <c r="K48" s="12">
        <v>302.22887185853</v>
      </c>
      <c r="L48" s="13">
        <v>210.0</v>
      </c>
      <c r="M48" s="12">
        <v>376.269298720953</v>
      </c>
      <c r="N48" s="12">
        <v>212.852440843514</v>
      </c>
      <c r="O48" s="12">
        <v>115.083337655478</v>
      </c>
      <c r="P48" s="55">
        <v>17.0000082088661</v>
      </c>
      <c r="Q48" s="12">
        <v>115.083333644486</v>
      </c>
      <c r="R48" s="12">
        <v>159.939442927782</v>
      </c>
      <c r="S48" s="12">
        <v>312.033902957835</v>
      </c>
      <c r="T48" s="12">
        <v>312.033902957835</v>
      </c>
      <c r="U48" s="12">
        <v>115.083329872667</v>
      </c>
      <c r="V48" s="12">
        <v>-15599.6686692213</v>
      </c>
      <c r="W48" s="12">
        <v>213.41707188375</v>
      </c>
      <c r="X48" s="12">
        <v>126.000000000246</v>
      </c>
    </row>
    <row r="49">
      <c r="A49" s="8">
        <v>41609.0</v>
      </c>
      <c r="B49" s="9">
        <f>IFERROR(__xludf.DUMMYFUNCTION("""COMPUTED_VALUE"""),17.0)</f>
        <v>17</v>
      </c>
      <c r="C49" s="12">
        <v>125.956417429101</v>
      </c>
      <c r="D49" s="12">
        <v>134.951645053883</v>
      </c>
      <c r="E49" s="12">
        <v>126.0</v>
      </c>
      <c r="F49" s="12">
        <v>126.0</v>
      </c>
      <c r="G49" s="12">
        <v>125.897787188862</v>
      </c>
      <c r="H49" s="12">
        <v>509.500048161782</v>
      </c>
      <c r="I49" s="12">
        <v>126.0</v>
      </c>
      <c r="J49" s="12">
        <v>285.833333333333</v>
      </c>
      <c r="K49" s="12">
        <v>144.5</v>
      </c>
      <c r="L49" s="13">
        <v>212.666666666667</v>
      </c>
      <c r="M49" s="12">
        <v>111.694427732053</v>
      </c>
      <c r="N49" s="12">
        <v>156.506913052227</v>
      </c>
      <c r="O49" s="12">
        <v>349.932296159209</v>
      </c>
      <c r="P49" s="55">
        <v>17.0000082088661</v>
      </c>
      <c r="Q49" s="12">
        <v>115.083333644486</v>
      </c>
      <c r="R49" s="12">
        <v>151.407741379028</v>
      </c>
      <c r="S49" s="12">
        <v>185.467051459882</v>
      </c>
      <c r="T49" s="12">
        <v>185.467051459882</v>
      </c>
      <c r="U49" s="12">
        <v>115.083329872667</v>
      </c>
      <c r="V49" s="12">
        <v>-15599.6686692213</v>
      </c>
      <c r="W49" s="12">
        <v>270.41707188375</v>
      </c>
      <c r="X49" s="12">
        <v>126.000000088181</v>
      </c>
    </row>
    <row r="50">
      <c r="A50" s="8">
        <v>41640.0</v>
      </c>
      <c r="B50" s="9">
        <f>IFERROR(__xludf.DUMMYFUNCTION("""COMPUTED_VALUE"""),210.0)</f>
        <v>210</v>
      </c>
      <c r="C50" s="12">
        <v>126.136930293216</v>
      </c>
      <c r="D50" s="12">
        <v>134.951645053883</v>
      </c>
      <c r="E50" s="12">
        <v>126.0</v>
      </c>
      <c r="F50" s="12">
        <v>126.0</v>
      </c>
      <c r="G50" s="12">
        <v>125.897787188862</v>
      </c>
      <c r="H50" s="12">
        <v>236.0</v>
      </c>
      <c r="I50" s="12">
        <v>126.0</v>
      </c>
      <c r="J50" s="12">
        <v>126.0</v>
      </c>
      <c r="K50" s="12">
        <v>143.0</v>
      </c>
      <c r="L50" s="13">
        <v>218.0</v>
      </c>
      <c r="M50" s="12">
        <v>117.123092249203</v>
      </c>
      <c r="N50" s="12">
        <v>470.287565565793</v>
      </c>
      <c r="O50" s="12">
        <v>211.744652655351</v>
      </c>
      <c r="P50" s="55">
        <v>115.083300822753</v>
      </c>
      <c r="Q50" s="12">
        <v>115.083333644486</v>
      </c>
      <c r="R50" s="12">
        <v>120.412865772189</v>
      </c>
      <c r="S50" s="12">
        <v>114.959721564239</v>
      </c>
      <c r="T50" s="12">
        <v>114.959721564239</v>
      </c>
      <c r="U50" s="12">
        <v>115.083329872667</v>
      </c>
      <c r="V50" s="12">
        <v>-15599.6686692213</v>
      </c>
      <c r="W50" s="12">
        <v>182.91707188375</v>
      </c>
      <c r="X50" s="12">
        <v>126.0</v>
      </c>
    </row>
    <row r="51">
      <c r="A51" s="8">
        <v>41671.0</v>
      </c>
      <c r="B51" s="9"/>
      <c r="C51" s="12">
        <v>126.123600112482</v>
      </c>
      <c r="D51" s="12">
        <v>134.951645053883</v>
      </c>
      <c r="E51" s="12">
        <v>126.0</v>
      </c>
      <c r="F51" s="12">
        <v>126.0</v>
      </c>
      <c r="G51" s="12">
        <v>125.897787188862</v>
      </c>
      <c r="H51" s="12">
        <v>164.0</v>
      </c>
      <c r="I51" s="12">
        <v>126.0</v>
      </c>
      <c r="J51" s="12">
        <v>126.0</v>
      </c>
      <c r="K51" s="12">
        <v>146.596016190141</v>
      </c>
      <c r="L51" s="13">
        <v>126.0</v>
      </c>
      <c r="M51" s="12">
        <v>118.048991238389</v>
      </c>
      <c r="N51" s="12">
        <v>155.42389829591</v>
      </c>
      <c r="O51" s="12">
        <v>115.083337655478</v>
      </c>
      <c r="P51" s="55">
        <v>115.083333706852</v>
      </c>
      <c r="Q51" s="12">
        <v>115.083333644486</v>
      </c>
      <c r="R51" s="12">
        <v>110.617948372625</v>
      </c>
      <c r="S51" s="12">
        <v>116.470097226344</v>
      </c>
      <c r="T51" s="12">
        <v>116.470097226344</v>
      </c>
      <c r="U51" s="12">
        <v>115.083329872667</v>
      </c>
      <c r="V51" s="12">
        <v>-15599.6686692213</v>
      </c>
      <c r="W51" s="12">
        <v>125.999999865488</v>
      </c>
      <c r="X51" s="12">
        <v>126.000000001019</v>
      </c>
    </row>
    <row r="52">
      <c r="A52" s="8">
        <v>41699.0</v>
      </c>
      <c r="B52" s="9">
        <f>IFERROR(__xludf.DUMMYFUNCTION("""COMPUTED_VALUE"""),140.0)</f>
        <v>140</v>
      </c>
      <c r="C52" s="12">
        <v>126.136930293216</v>
      </c>
      <c r="D52" s="12">
        <v>134.951645053883</v>
      </c>
      <c r="E52" s="12">
        <v>126.0</v>
      </c>
      <c r="F52" s="12">
        <v>126.0</v>
      </c>
      <c r="G52" s="12">
        <v>125.945406236481</v>
      </c>
      <c r="H52" s="12">
        <v>235.0</v>
      </c>
      <c r="I52" s="12">
        <v>126.0</v>
      </c>
      <c r="J52" s="12">
        <v>126.0</v>
      </c>
      <c r="K52" s="12">
        <v>126.0</v>
      </c>
      <c r="L52" s="13">
        <v>126.0</v>
      </c>
      <c r="M52" s="12">
        <v>2431.93596538762</v>
      </c>
      <c r="N52" s="12">
        <v>123.170734506897</v>
      </c>
      <c r="O52" s="12">
        <v>115.083337655478</v>
      </c>
      <c r="P52" s="55">
        <v>17.0000082088661</v>
      </c>
      <c r="Q52" s="12">
        <v>115.083333644486</v>
      </c>
      <c r="R52" s="12">
        <v>117.058621148663</v>
      </c>
      <c r="S52" s="12">
        <v>116.411179648128</v>
      </c>
      <c r="T52" s="12">
        <v>116.411179648128</v>
      </c>
      <c r="U52" s="12">
        <v>117.21988640906</v>
      </c>
      <c r="V52" s="12">
        <v>-15599.6686692213</v>
      </c>
      <c r="W52" s="12">
        <v>125.999999865488</v>
      </c>
      <c r="X52" s="12">
        <v>126.000000146608</v>
      </c>
    </row>
    <row r="53">
      <c r="A53" s="8">
        <v>41730.0</v>
      </c>
      <c r="B53" s="9"/>
      <c r="C53" s="12">
        <v>126.106937386563</v>
      </c>
      <c r="D53" s="12">
        <v>134.951645053883</v>
      </c>
      <c r="E53" s="12">
        <v>126.0</v>
      </c>
      <c r="F53" s="12">
        <v>126.0</v>
      </c>
      <c r="G53" s="12">
        <v>125.897787188862</v>
      </c>
      <c r="H53" s="12">
        <v>126.0</v>
      </c>
      <c r="I53" s="12">
        <v>126.0</v>
      </c>
      <c r="J53" s="12">
        <v>126.0</v>
      </c>
      <c r="K53" s="12">
        <v>126.0</v>
      </c>
      <c r="L53" s="13">
        <v>126.0</v>
      </c>
      <c r="M53" s="12">
        <v>116.524657865202</v>
      </c>
      <c r="N53" s="12">
        <v>115.083334508743</v>
      </c>
      <c r="O53" s="12">
        <v>115.083337655478</v>
      </c>
      <c r="P53" s="55">
        <v>17.0000082088661</v>
      </c>
      <c r="Q53" s="12">
        <v>115.083333644486</v>
      </c>
      <c r="R53" s="12">
        <v>119.943246444813</v>
      </c>
      <c r="S53" s="12">
        <v>116.48468492398</v>
      </c>
      <c r="T53" s="12">
        <v>116.48468492398</v>
      </c>
      <c r="U53" s="12">
        <v>115.083329872667</v>
      </c>
      <c r="V53" s="12">
        <v>-15599.6686692213</v>
      </c>
      <c r="W53" s="12">
        <v>143.41707188375</v>
      </c>
      <c r="X53" s="12">
        <v>126.000000017673</v>
      </c>
    </row>
    <row r="54">
      <c r="A54" s="8">
        <v>41760.0</v>
      </c>
      <c r="B54" s="9"/>
      <c r="C54" s="12">
        <v>126.136930293216</v>
      </c>
      <c r="D54" s="12">
        <v>134.951645053883</v>
      </c>
      <c r="E54" s="12">
        <v>126.0</v>
      </c>
      <c r="F54" s="12">
        <v>126.0</v>
      </c>
      <c r="G54" s="12">
        <v>125.897787188862</v>
      </c>
      <c r="H54" s="12">
        <v>126.0</v>
      </c>
      <c r="I54" s="12">
        <v>126.0</v>
      </c>
      <c r="J54" s="12">
        <v>126.0</v>
      </c>
      <c r="K54" s="12">
        <v>126.0</v>
      </c>
      <c r="L54" s="13">
        <v>126.0</v>
      </c>
      <c r="M54" s="12">
        <v>594.602632054286</v>
      </c>
      <c r="N54" s="12">
        <v>115.083334508743</v>
      </c>
      <c r="O54" s="12">
        <v>115.083337655478</v>
      </c>
      <c r="P54" s="55">
        <v>115.08332620697</v>
      </c>
      <c r="Q54" s="12">
        <v>115.083333644486</v>
      </c>
      <c r="R54" s="12">
        <v>106.391374426238</v>
      </c>
      <c r="S54" s="12">
        <v>115.16148191572</v>
      </c>
      <c r="T54" s="12">
        <v>115.16148191572</v>
      </c>
      <c r="U54" s="12">
        <v>115.083329872667</v>
      </c>
      <c r="V54" s="12">
        <v>-15599.6686692213</v>
      </c>
      <c r="W54" s="12">
        <v>125.999999865488</v>
      </c>
      <c r="X54" s="12">
        <v>126.0</v>
      </c>
    </row>
    <row r="55">
      <c r="A55" s="8">
        <v>41791.0</v>
      </c>
      <c r="B55" s="9"/>
      <c r="C55" s="12">
        <v>126.136930293216</v>
      </c>
      <c r="D55" s="12">
        <v>134.951645053883</v>
      </c>
      <c r="E55" s="12">
        <v>126.0</v>
      </c>
      <c r="F55" s="12">
        <v>126.0</v>
      </c>
      <c r="G55" s="12">
        <v>126.049356164587</v>
      </c>
      <c r="H55" s="12">
        <v>126.0</v>
      </c>
      <c r="I55" s="12">
        <v>126.0</v>
      </c>
      <c r="J55" s="12">
        <v>126.0</v>
      </c>
      <c r="K55" s="12">
        <v>126.0</v>
      </c>
      <c r="L55" s="13">
        <v>126.0</v>
      </c>
      <c r="M55" s="12">
        <v>473.602632054286</v>
      </c>
      <c r="N55" s="12">
        <v>115.083334508743</v>
      </c>
      <c r="O55" s="12">
        <v>115.083337655478</v>
      </c>
      <c r="P55" s="55">
        <v>115.083327360798</v>
      </c>
      <c r="Q55" s="12">
        <v>115.083333644486</v>
      </c>
      <c r="R55" s="12">
        <v>106.574817316485</v>
      </c>
      <c r="S55" s="12">
        <v>110.743580160128</v>
      </c>
      <c r="T55" s="12">
        <v>110.743580160128</v>
      </c>
      <c r="U55" s="12">
        <v>115.083329872667</v>
      </c>
      <c r="V55" s="12">
        <v>-15599.6686692213</v>
      </c>
      <c r="W55" s="12">
        <v>125.999999865488</v>
      </c>
      <c r="X55" s="12">
        <v>126.000827414824</v>
      </c>
    </row>
    <row r="56">
      <c r="A56" s="8">
        <v>41821.0</v>
      </c>
      <c r="B56" s="9"/>
      <c r="C56" s="12">
        <v>126.136930293216</v>
      </c>
      <c r="D56" s="12">
        <v>134.951645053883</v>
      </c>
      <c r="E56" s="12">
        <v>126.0</v>
      </c>
      <c r="F56" s="12">
        <v>126.0</v>
      </c>
      <c r="G56" s="12">
        <v>125.897787188862</v>
      </c>
      <c r="H56" s="12">
        <v>126.0</v>
      </c>
      <c r="I56" s="12">
        <v>126.0</v>
      </c>
      <c r="J56" s="12">
        <v>126.0</v>
      </c>
      <c r="K56" s="12">
        <v>126.0</v>
      </c>
      <c r="L56" s="13">
        <v>126.0</v>
      </c>
      <c r="M56" s="12">
        <v>243.93596538762</v>
      </c>
      <c r="N56" s="12">
        <v>115.083334508743</v>
      </c>
      <c r="O56" s="12">
        <v>115.083337655478</v>
      </c>
      <c r="P56" s="55">
        <v>17.0000082088661</v>
      </c>
      <c r="Q56" s="12">
        <v>115.083333644486</v>
      </c>
      <c r="R56" s="12">
        <v>106.391374426238</v>
      </c>
      <c r="S56" s="12">
        <v>114.948952479674</v>
      </c>
      <c r="T56" s="12">
        <v>114.948952479674</v>
      </c>
      <c r="U56" s="12">
        <v>115.083329872667</v>
      </c>
      <c r="V56" s="12">
        <v>-15599.6686692213</v>
      </c>
      <c r="W56" s="12">
        <v>125.999999865488</v>
      </c>
      <c r="X56" s="12">
        <v>126.000000088193</v>
      </c>
    </row>
    <row r="57">
      <c r="A57" s="8">
        <v>41852.0</v>
      </c>
      <c r="B57" s="9"/>
      <c r="C57" s="12">
        <v>126.136930293216</v>
      </c>
      <c r="D57" s="12">
        <v>134.951645053883</v>
      </c>
      <c r="E57" s="12">
        <v>126.0</v>
      </c>
      <c r="F57" s="12">
        <v>126.0</v>
      </c>
      <c r="G57" s="12">
        <v>125.897787188862</v>
      </c>
      <c r="H57" s="12">
        <v>126.0</v>
      </c>
      <c r="I57" s="12">
        <v>126.0</v>
      </c>
      <c r="J57" s="12">
        <v>126.0</v>
      </c>
      <c r="K57" s="12">
        <v>126.0</v>
      </c>
      <c r="L57" s="13">
        <v>126.0</v>
      </c>
      <c r="M57" s="12">
        <v>257.602632054286</v>
      </c>
      <c r="N57" s="12">
        <v>115.083334508743</v>
      </c>
      <c r="O57" s="12">
        <v>115.083337655478</v>
      </c>
      <c r="P57" s="55">
        <v>17.0000082088661</v>
      </c>
      <c r="Q57" s="12">
        <v>115.083333644486</v>
      </c>
      <c r="R57" s="12">
        <v>106.391374426238</v>
      </c>
      <c r="S57" s="12">
        <v>117.043969741435</v>
      </c>
      <c r="T57" s="12">
        <v>117.043969741435</v>
      </c>
      <c r="U57" s="12">
        <v>115.083329872667</v>
      </c>
      <c r="V57" s="12">
        <v>-15599.6686692213</v>
      </c>
      <c r="W57" s="12">
        <v>125.999999865488</v>
      </c>
      <c r="X57" s="12">
        <v>126.0</v>
      </c>
    </row>
    <row r="58">
      <c r="A58" s="8">
        <v>41883.0</v>
      </c>
      <c r="B58" s="9"/>
      <c r="C58" s="12">
        <v>126.136930293216</v>
      </c>
      <c r="D58" s="12">
        <v>134.951645053883</v>
      </c>
      <c r="E58" s="12">
        <v>126.0</v>
      </c>
      <c r="F58" s="12">
        <v>126.0</v>
      </c>
      <c r="G58" s="12">
        <v>125.897787188862</v>
      </c>
      <c r="H58" s="12">
        <v>126.0</v>
      </c>
      <c r="I58" s="12">
        <v>126.0</v>
      </c>
      <c r="J58" s="12">
        <v>126.0</v>
      </c>
      <c r="K58" s="12">
        <v>126.0</v>
      </c>
      <c r="L58" s="13">
        <v>126.0</v>
      </c>
      <c r="M58" s="12">
        <v>289.269298720953</v>
      </c>
      <c r="N58" s="12">
        <v>115.083334508743</v>
      </c>
      <c r="O58" s="12">
        <v>115.083337655478</v>
      </c>
      <c r="P58" s="55">
        <v>17.0000082088661</v>
      </c>
      <c r="Q58" s="12">
        <v>115.083333644486</v>
      </c>
      <c r="R58" s="12">
        <v>106.391374426238</v>
      </c>
      <c r="S58" s="12">
        <v>123.910970766097</v>
      </c>
      <c r="T58" s="12">
        <v>123.910970766097</v>
      </c>
      <c r="U58" s="12">
        <v>115.083329872667</v>
      </c>
      <c r="V58" s="12">
        <v>-15599.6686692213</v>
      </c>
      <c r="W58" s="12">
        <v>125.999999865488</v>
      </c>
      <c r="X58" s="12">
        <v>126.0</v>
      </c>
    </row>
    <row r="59">
      <c r="A59" s="8">
        <v>41913.0</v>
      </c>
      <c r="B59" s="9"/>
      <c r="C59" s="12">
        <v>126.136930293216</v>
      </c>
      <c r="D59" s="12">
        <v>123.956044240149</v>
      </c>
      <c r="E59" s="12">
        <v>126.0</v>
      </c>
      <c r="F59" s="12">
        <v>126.0</v>
      </c>
      <c r="G59" s="12">
        <v>125.902504169994</v>
      </c>
      <c r="H59" s="12">
        <v>126.0</v>
      </c>
      <c r="I59" s="12">
        <v>126.0</v>
      </c>
      <c r="J59" s="12">
        <v>126.0</v>
      </c>
      <c r="K59" s="12">
        <v>126.0</v>
      </c>
      <c r="L59" s="13">
        <v>126.0</v>
      </c>
      <c r="M59" s="12">
        <v>115.662659614026</v>
      </c>
      <c r="N59" s="12">
        <v>115.083334508743</v>
      </c>
      <c r="O59" s="12">
        <v>115.083337655478</v>
      </c>
      <c r="P59" s="55">
        <v>17.0000082088661</v>
      </c>
      <c r="Q59" s="12">
        <v>115.083333644486</v>
      </c>
      <c r="R59" s="12">
        <v>106.391385622703</v>
      </c>
      <c r="S59" s="12">
        <v>120.118773954066</v>
      </c>
      <c r="T59" s="12">
        <v>120.118773954066</v>
      </c>
      <c r="U59" s="12">
        <v>115.083329872667</v>
      </c>
      <c r="V59" s="12">
        <v>-15599.6686692213</v>
      </c>
      <c r="W59" s="12">
        <v>125.999999865488</v>
      </c>
      <c r="X59" s="12">
        <v>126.0</v>
      </c>
    </row>
    <row r="60">
      <c r="A60" s="8">
        <v>41944.0</v>
      </c>
      <c r="B60" s="9"/>
      <c r="C60" s="12">
        <v>126.136930293216</v>
      </c>
      <c r="D60" s="12">
        <v>132.401394397973</v>
      </c>
      <c r="E60" s="12">
        <v>126.0</v>
      </c>
      <c r="F60" s="12">
        <v>126.0</v>
      </c>
      <c r="G60" s="12">
        <v>125.911938132258</v>
      </c>
      <c r="H60" s="12">
        <v>145.5</v>
      </c>
      <c r="I60" s="12">
        <v>126.0</v>
      </c>
      <c r="J60" s="12">
        <v>126.0</v>
      </c>
      <c r="K60" s="12">
        <v>126.0</v>
      </c>
      <c r="L60" s="13">
        <v>126.0</v>
      </c>
      <c r="M60" s="12">
        <v>1561.64873630377</v>
      </c>
      <c r="N60" s="12">
        <v>115.083334508743</v>
      </c>
      <c r="O60" s="12">
        <v>115.083337655478</v>
      </c>
      <c r="P60" s="55">
        <v>115.083333706852</v>
      </c>
      <c r="Q60" s="12">
        <v>115.083333644486</v>
      </c>
      <c r="R60" s="12">
        <v>106.391475194427</v>
      </c>
      <c r="S60" s="12">
        <v>116.940493205957</v>
      </c>
      <c r="T60" s="12">
        <v>116.940493205957</v>
      </c>
      <c r="U60" s="12">
        <v>115.083329872667</v>
      </c>
      <c r="V60" s="12">
        <v>115.083333144799</v>
      </c>
      <c r="W60" s="12">
        <v>143.41707188375</v>
      </c>
      <c r="X60" s="12">
        <v>126.0</v>
      </c>
    </row>
    <row r="61">
      <c r="A61" s="8">
        <v>41974.0</v>
      </c>
      <c r="B61" s="9"/>
      <c r="C61" s="12">
        <v>126.136930293216</v>
      </c>
      <c r="D61" s="12">
        <v>130.687917225914</v>
      </c>
      <c r="E61" s="12">
        <v>126.0</v>
      </c>
      <c r="F61" s="12">
        <v>126.0</v>
      </c>
      <c r="G61" s="12">
        <v>125.91665511339</v>
      </c>
      <c r="H61" s="12">
        <v>126.0</v>
      </c>
      <c r="I61" s="12">
        <v>126.0</v>
      </c>
      <c r="J61" s="12">
        <v>126.0</v>
      </c>
      <c r="K61" s="12">
        <v>126.0</v>
      </c>
      <c r="L61" s="13">
        <v>126.0</v>
      </c>
      <c r="M61" s="12">
        <v>13333.9359653876</v>
      </c>
      <c r="N61" s="12">
        <v>115.083334508743</v>
      </c>
      <c r="O61" s="12">
        <v>115.083337655478</v>
      </c>
      <c r="P61" s="55">
        <v>115.083333706852</v>
      </c>
      <c r="Q61" s="12">
        <v>115.083333644486</v>
      </c>
      <c r="R61" s="12">
        <v>126.987715498905</v>
      </c>
      <c r="S61" s="12">
        <v>115.309703085265</v>
      </c>
      <c r="T61" s="12">
        <v>115.309703085265</v>
      </c>
      <c r="U61" s="12">
        <v>115.083329872667</v>
      </c>
      <c r="V61" s="12">
        <v>115.083333144799</v>
      </c>
      <c r="W61" s="12">
        <v>125.999999865488</v>
      </c>
      <c r="X61" s="12">
        <v>126.0</v>
      </c>
    </row>
    <row r="62">
      <c r="A62" s="8">
        <v>42005.0</v>
      </c>
      <c r="B62" s="9"/>
      <c r="C62" s="12">
        <v>126.136930293216</v>
      </c>
      <c r="D62" s="12">
        <v>134.951645053883</v>
      </c>
      <c r="E62" s="12">
        <v>126.0</v>
      </c>
      <c r="F62" s="12">
        <v>126.0</v>
      </c>
      <c r="G62" s="12">
        <v>126.036248727323</v>
      </c>
      <c r="H62" s="12">
        <v>126.0</v>
      </c>
      <c r="I62" s="12">
        <v>126.0</v>
      </c>
      <c r="J62" s="12">
        <v>126.0</v>
      </c>
      <c r="K62" s="12">
        <v>126.0</v>
      </c>
      <c r="L62" s="13">
        <v>126.0</v>
      </c>
      <c r="M62" s="12">
        <v>115.662665413628</v>
      </c>
      <c r="N62" s="12">
        <v>115.083334508743</v>
      </c>
      <c r="O62" s="12">
        <v>115.083337655478</v>
      </c>
      <c r="P62" s="55">
        <v>115.083333706852</v>
      </c>
      <c r="Q62" s="12">
        <v>115.083333644486</v>
      </c>
      <c r="R62" s="12">
        <v>120.547949636571</v>
      </c>
      <c r="S62" s="12">
        <v>115.069833423055</v>
      </c>
      <c r="T62" s="12">
        <v>115.069833423055</v>
      </c>
      <c r="U62" s="12">
        <v>115.083329872667</v>
      </c>
      <c r="V62" s="12">
        <v>-15599.6686692213</v>
      </c>
      <c r="W62" s="12">
        <v>125.999999865488</v>
      </c>
      <c r="X62" s="12">
        <v>126.0</v>
      </c>
    </row>
    <row r="63">
      <c r="A63" s="8">
        <v>42036.0</v>
      </c>
      <c r="B63" s="9"/>
      <c r="C63" s="12">
        <v>126.136930293216</v>
      </c>
      <c r="D63" s="12">
        <v>134.428741839606</v>
      </c>
      <c r="E63" s="12">
        <v>126.0</v>
      </c>
      <c r="F63" s="12">
        <v>126.0</v>
      </c>
      <c r="G63" s="12">
        <v>127.547040920205</v>
      </c>
      <c r="H63" s="12">
        <v>126.0</v>
      </c>
      <c r="I63" s="12">
        <v>126.0</v>
      </c>
      <c r="J63" s="12">
        <v>126.0</v>
      </c>
      <c r="K63" s="12">
        <v>126.0</v>
      </c>
      <c r="L63" s="13">
        <v>126.0</v>
      </c>
      <c r="M63" s="12">
        <v>114.615268925222</v>
      </c>
      <c r="N63" s="12">
        <v>115.083334508743</v>
      </c>
      <c r="O63" s="12">
        <v>115.083337655478</v>
      </c>
      <c r="P63" s="55">
        <v>115.083333706852</v>
      </c>
      <c r="Q63" s="12">
        <v>115.083333644486</v>
      </c>
      <c r="R63" s="12">
        <v>106.938220996218</v>
      </c>
      <c r="S63" s="12">
        <v>115.03890168278</v>
      </c>
      <c r="T63" s="12">
        <v>115.03890168278</v>
      </c>
      <c r="U63" s="12">
        <v>115.083329872667</v>
      </c>
      <c r="V63" s="12">
        <v>115.083333144799</v>
      </c>
      <c r="W63" s="12">
        <v>125.999999865488</v>
      </c>
      <c r="X63" s="12">
        <v>126.0</v>
      </c>
    </row>
    <row r="64">
      <c r="A64" s="8">
        <v>42064.0</v>
      </c>
      <c r="B64" s="9"/>
      <c r="C64" s="12">
        <v>126.12752775502</v>
      </c>
      <c r="D64" s="12">
        <v>134.933343279222</v>
      </c>
      <c r="E64" s="12">
        <v>126.0</v>
      </c>
      <c r="F64" s="12">
        <v>126.0</v>
      </c>
      <c r="G64" s="12">
        <v>126.539578233638</v>
      </c>
      <c r="H64" s="12">
        <v>126.000000000041</v>
      </c>
      <c r="I64" s="12">
        <v>126.0</v>
      </c>
      <c r="J64" s="12">
        <v>126.0</v>
      </c>
      <c r="K64" s="12">
        <v>126.0</v>
      </c>
      <c r="L64" s="13">
        <v>126.0</v>
      </c>
      <c r="M64" s="12">
        <v>779.769298720953</v>
      </c>
      <c r="N64" s="12">
        <v>115.083334508743</v>
      </c>
      <c r="O64" s="12">
        <v>115.083337655478</v>
      </c>
      <c r="P64" s="55">
        <v>115.083333706852</v>
      </c>
      <c r="Q64" s="12">
        <v>115.083333644486</v>
      </c>
      <c r="R64" s="12">
        <v>106.474183484848</v>
      </c>
      <c r="S64" s="12">
        <v>114.948952479674</v>
      </c>
      <c r="T64" s="12">
        <v>114.948952479674</v>
      </c>
      <c r="U64" s="12">
        <v>115.083329872667</v>
      </c>
      <c r="V64" s="12">
        <v>115.083333144799</v>
      </c>
      <c r="W64" s="12">
        <v>125.999999865488</v>
      </c>
      <c r="X64" s="12">
        <v>126.000018544642</v>
      </c>
    </row>
    <row r="65">
      <c r="A65" s="8">
        <v>42095.0</v>
      </c>
      <c r="B65" s="9"/>
      <c r="C65" s="12">
        <v>126.136930293216</v>
      </c>
      <c r="D65" s="12">
        <v>121.594030418791</v>
      </c>
      <c r="E65" s="12">
        <v>126.0</v>
      </c>
      <c r="F65" s="12">
        <v>126.0</v>
      </c>
      <c r="G65" s="12">
        <v>125.920428698296</v>
      </c>
      <c r="H65" s="12">
        <v>126.011731198309</v>
      </c>
      <c r="I65" s="12">
        <v>126.0</v>
      </c>
      <c r="J65" s="12">
        <v>126.0</v>
      </c>
      <c r="K65" s="12">
        <v>126.0</v>
      </c>
      <c r="L65" s="13">
        <v>126.0</v>
      </c>
      <c r="M65" s="12">
        <v>116.161926862882</v>
      </c>
      <c r="N65" s="12">
        <v>115.083334508743</v>
      </c>
      <c r="O65" s="12">
        <v>115.083337655478</v>
      </c>
      <c r="P65" s="55">
        <v>115.083333706852</v>
      </c>
      <c r="Q65" s="12">
        <v>115.083333644486</v>
      </c>
      <c r="R65" s="12">
        <v>106.391777498995</v>
      </c>
      <c r="S65" s="12">
        <v>114.980347793319</v>
      </c>
      <c r="T65" s="12">
        <v>114.980347793319</v>
      </c>
      <c r="U65" s="12">
        <v>115.083329872667</v>
      </c>
      <c r="V65" s="12">
        <v>115.083333144799</v>
      </c>
      <c r="W65" s="12">
        <v>125.999999865488</v>
      </c>
      <c r="X65" s="12">
        <v>126.000013631837</v>
      </c>
    </row>
    <row r="66">
      <c r="A66" s="8">
        <v>42125.0</v>
      </c>
      <c r="B66" s="9">
        <f>IFERROR(__xludf.DUMMYFUNCTION("""COMPUTED_VALUE"""),6.0)</f>
        <v>6</v>
      </c>
      <c r="C66" s="12">
        <v>126.136930293216</v>
      </c>
      <c r="D66" s="12">
        <v>134.951645053883</v>
      </c>
      <c r="E66" s="12">
        <v>126.0</v>
      </c>
      <c r="F66" s="12">
        <v>126.0</v>
      </c>
      <c r="G66" s="12">
        <v>125.909107943579</v>
      </c>
      <c r="H66" s="12">
        <v>126.0</v>
      </c>
      <c r="I66" s="12">
        <v>126.0</v>
      </c>
      <c r="J66" s="12">
        <v>126.0</v>
      </c>
      <c r="K66" s="12">
        <v>126.0</v>
      </c>
      <c r="L66" s="13">
        <v>126.0</v>
      </c>
      <c r="M66" s="12">
        <v>114.658333598672</v>
      </c>
      <c r="N66" s="12">
        <v>115.083334508743</v>
      </c>
      <c r="O66" s="12">
        <v>115.083337655478</v>
      </c>
      <c r="P66" s="55">
        <v>115.083333706852</v>
      </c>
      <c r="Q66" s="12">
        <v>115.083333644486</v>
      </c>
      <c r="R66" s="12">
        <v>106.391475194427</v>
      </c>
      <c r="S66" s="12">
        <v>114.944288369701</v>
      </c>
      <c r="T66" s="12">
        <v>114.944288369701</v>
      </c>
      <c r="U66" s="12">
        <v>115.083329872667</v>
      </c>
      <c r="V66" s="12">
        <v>-15599.6686692213</v>
      </c>
      <c r="W66" s="12">
        <v>125.999999865488</v>
      </c>
      <c r="X66" s="12">
        <v>126.00017430738</v>
      </c>
    </row>
    <row r="67">
      <c r="A67" s="8">
        <v>42156.0</v>
      </c>
      <c r="B67" s="9"/>
      <c r="C67" s="12">
        <v>126.136930293216</v>
      </c>
      <c r="D67" s="12">
        <v>134.951645053883</v>
      </c>
      <c r="E67" s="12">
        <v>126.0</v>
      </c>
      <c r="F67" s="12">
        <v>126.0</v>
      </c>
      <c r="G67" s="12">
        <v>125.921261367266</v>
      </c>
      <c r="H67" s="12">
        <v>126.0</v>
      </c>
      <c r="I67" s="12">
        <v>126.0</v>
      </c>
      <c r="J67" s="12">
        <v>126.0</v>
      </c>
      <c r="K67" s="12">
        <v>126.0</v>
      </c>
      <c r="L67" s="13">
        <v>126.0</v>
      </c>
      <c r="M67" s="12">
        <v>115.208224691831</v>
      </c>
      <c r="N67" s="12">
        <v>115.083334508743</v>
      </c>
      <c r="O67" s="12">
        <v>138.550948010142</v>
      </c>
      <c r="P67" s="55">
        <v>115.083333706852</v>
      </c>
      <c r="Q67" s="12">
        <v>115.083333644486</v>
      </c>
      <c r="R67" s="12">
        <v>106.391654337875</v>
      </c>
      <c r="S67" s="12">
        <v>114.94816507396</v>
      </c>
      <c r="T67" s="12">
        <v>114.94816507396</v>
      </c>
      <c r="U67" s="12">
        <v>115.083329872667</v>
      </c>
      <c r="V67" s="12">
        <v>-15599.6686692213</v>
      </c>
      <c r="W67" s="12">
        <v>125.999999865488</v>
      </c>
      <c r="X67" s="12">
        <v>126.0</v>
      </c>
    </row>
    <row r="68">
      <c r="A68" s="8">
        <v>42186.0</v>
      </c>
      <c r="B68" s="9"/>
      <c r="C68" s="12">
        <v>126.136930293216</v>
      </c>
      <c r="D68" s="12">
        <v>134.951645053883</v>
      </c>
      <c r="E68" s="12">
        <v>126.0</v>
      </c>
      <c r="F68" s="12">
        <v>126.0</v>
      </c>
      <c r="G68" s="12">
        <v>125.922944421566</v>
      </c>
      <c r="H68" s="12">
        <v>126.0</v>
      </c>
      <c r="I68" s="12">
        <v>126.0</v>
      </c>
      <c r="J68" s="12">
        <v>126.0</v>
      </c>
      <c r="K68" s="12">
        <v>126.0</v>
      </c>
      <c r="L68" s="13">
        <v>126.0</v>
      </c>
      <c r="M68" s="12">
        <v>115.06525975967</v>
      </c>
      <c r="N68" s="12">
        <v>115.083334508743</v>
      </c>
      <c r="O68" s="12">
        <v>115.083337655478</v>
      </c>
      <c r="P68" s="55">
        <v>115.083333706852</v>
      </c>
      <c r="Q68" s="12">
        <v>115.083333644486</v>
      </c>
      <c r="R68" s="12">
        <v>106.391553569686</v>
      </c>
      <c r="S68" s="12">
        <v>114.948952479674</v>
      </c>
      <c r="T68" s="12">
        <v>114.948952479674</v>
      </c>
      <c r="U68" s="12">
        <v>115.083329872667</v>
      </c>
      <c r="V68" s="12">
        <v>-15599.6686692213</v>
      </c>
      <c r="W68" s="12">
        <v>125.999999865488</v>
      </c>
      <c r="X68" s="12">
        <v>126.0</v>
      </c>
    </row>
    <row r="69">
      <c r="A69" s="8">
        <v>42217.0</v>
      </c>
      <c r="B69" s="9">
        <f>IFERROR(__xludf.DUMMYFUNCTION("""COMPUTED_VALUE"""),3000.0)</f>
        <v>3000</v>
      </c>
      <c r="C69" s="12">
        <v>2900.211624727</v>
      </c>
      <c r="D69" s="12">
        <v>3607.6545110577</v>
      </c>
      <c r="E69" s="12">
        <v>2325.93822667255</v>
      </c>
      <c r="F69" s="12">
        <v>126.0</v>
      </c>
      <c r="G69" s="12">
        <v>2999.92283367244</v>
      </c>
      <c r="H69" s="12">
        <v>2016.35785138037</v>
      </c>
      <c r="I69" s="12">
        <v>126.0</v>
      </c>
      <c r="J69" s="12">
        <v>126.0</v>
      </c>
      <c r="K69" s="12">
        <v>126.0</v>
      </c>
      <c r="L69" s="13">
        <v>126.0</v>
      </c>
      <c r="M69" s="12">
        <v>115.355258559221</v>
      </c>
      <c r="N69" s="12">
        <v>3022.53755218547</v>
      </c>
      <c r="O69" s="12">
        <v>115.083337655478</v>
      </c>
      <c r="P69" s="55">
        <v>115.083333706852</v>
      </c>
      <c r="Q69" s="12">
        <v>115.083333644486</v>
      </c>
      <c r="R69" s="12">
        <v>106.391374426238</v>
      </c>
      <c r="S69" s="12">
        <v>115.134698245341</v>
      </c>
      <c r="T69" s="12">
        <v>115.134698245341</v>
      </c>
      <c r="U69" s="12">
        <v>115.083329872667</v>
      </c>
      <c r="V69" s="12">
        <v>-15599.6686692213</v>
      </c>
      <c r="W69" s="12">
        <v>125.999999865488</v>
      </c>
      <c r="X69" s="12">
        <v>126.0</v>
      </c>
    </row>
    <row r="70">
      <c r="A70" s="8">
        <v>42248.0</v>
      </c>
      <c r="B70" s="9"/>
      <c r="C70" s="12">
        <v>126.136930293216</v>
      </c>
      <c r="D70" s="12">
        <v>134.755968923579</v>
      </c>
      <c r="E70" s="12">
        <v>126.0</v>
      </c>
      <c r="F70" s="12">
        <v>126.0</v>
      </c>
      <c r="G70" s="12">
        <v>125.900322043108</v>
      </c>
      <c r="H70" s="12">
        <v>126.0</v>
      </c>
      <c r="I70" s="12">
        <v>126.0</v>
      </c>
      <c r="J70" s="12">
        <v>126.0</v>
      </c>
      <c r="K70" s="12">
        <v>126.0</v>
      </c>
      <c r="L70" s="13">
        <v>126.0</v>
      </c>
      <c r="M70" s="12">
        <v>115.126734611641</v>
      </c>
      <c r="N70" s="12">
        <v>115.083334508743</v>
      </c>
      <c r="O70" s="12">
        <v>115.083337655478</v>
      </c>
      <c r="P70" s="55">
        <v>115.083333706852</v>
      </c>
      <c r="Q70" s="12">
        <v>115.083333644486</v>
      </c>
      <c r="R70" s="12">
        <v>106.393919959907</v>
      </c>
      <c r="S70" s="12">
        <v>125.879542422085</v>
      </c>
      <c r="T70" s="12">
        <v>125.879542422085</v>
      </c>
      <c r="U70" s="12">
        <v>115.083329872667</v>
      </c>
      <c r="V70" s="12">
        <v>115.083333144799</v>
      </c>
      <c r="W70" s="12">
        <v>125.999999865488</v>
      </c>
      <c r="X70" s="12">
        <v>126.0</v>
      </c>
    </row>
    <row r="71">
      <c r="A71" s="8">
        <v>42278.0</v>
      </c>
      <c r="B71" s="9"/>
      <c r="C71" s="12">
        <v>126.136930293216</v>
      </c>
      <c r="D71" s="12">
        <v>123.093925808905</v>
      </c>
      <c r="E71" s="12">
        <v>126.0</v>
      </c>
      <c r="F71" s="12">
        <v>126.0</v>
      </c>
      <c r="G71" s="12">
        <v>125.903490610915</v>
      </c>
      <c r="H71" s="12">
        <v>126.000000072799</v>
      </c>
      <c r="I71" s="12">
        <v>126.0</v>
      </c>
      <c r="J71" s="12">
        <v>126.0</v>
      </c>
      <c r="K71" s="12">
        <v>126.0</v>
      </c>
      <c r="L71" s="13">
        <v>126.0</v>
      </c>
      <c r="M71" s="12">
        <v>114.52928558797</v>
      </c>
      <c r="N71" s="12">
        <v>115.083334508743</v>
      </c>
      <c r="O71" s="12">
        <v>115.083337655478</v>
      </c>
      <c r="P71" s="55">
        <v>115.083333706852</v>
      </c>
      <c r="Q71" s="12">
        <v>115.083333644486</v>
      </c>
      <c r="R71" s="12">
        <v>106.392281339941</v>
      </c>
      <c r="S71" s="12">
        <v>114.942799667342</v>
      </c>
      <c r="T71" s="12">
        <v>114.942799667342</v>
      </c>
      <c r="U71" s="12">
        <v>115.083329872667</v>
      </c>
      <c r="V71" s="12">
        <v>115.083333144799</v>
      </c>
      <c r="W71" s="12">
        <v>125.999999865488</v>
      </c>
      <c r="X71" s="12">
        <v>981.389604334868</v>
      </c>
    </row>
    <row r="72">
      <c r="A72" s="8">
        <v>42309.0</v>
      </c>
      <c r="B72" s="9"/>
      <c r="C72" s="12">
        <v>126.136930293216</v>
      </c>
      <c r="D72" s="12">
        <v>125.67661806231</v>
      </c>
      <c r="E72" s="12">
        <v>126.0</v>
      </c>
      <c r="F72" s="12">
        <v>126.0</v>
      </c>
      <c r="G72" s="12">
        <v>125.963122942038</v>
      </c>
      <c r="H72" s="12">
        <v>126.0</v>
      </c>
      <c r="I72" s="12">
        <v>126.0</v>
      </c>
      <c r="J72" s="12">
        <v>126.0</v>
      </c>
      <c r="K72" s="12">
        <v>126.0</v>
      </c>
      <c r="L72" s="13">
        <v>126.0</v>
      </c>
      <c r="M72" s="12">
        <v>114.926482492202</v>
      </c>
      <c r="N72" s="12">
        <v>115.083334508743</v>
      </c>
      <c r="O72" s="12">
        <v>115.083337655478</v>
      </c>
      <c r="P72" s="55">
        <v>115.083333706852</v>
      </c>
      <c r="Q72" s="12">
        <v>115.083333644486</v>
      </c>
      <c r="R72" s="12">
        <v>106.405885045486</v>
      </c>
      <c r="S72" s="12">
        <v>114.91350699405</v>
      </c>
      <c r="T72" s="12">
        <v>114.91350699405</v>
      </c>
      <c r="U72" s="12">
        <v>115.083329872667</v>
      </c>
      <c r="V72" s="12">
        <v>115.083333144799</v>
      </c>
      <c r="W72" s="12">
        <v>125.999999865488</v>
      </c>
      <c r="X72" s="12">
        <v>126.0</v>
      </c>
    </row>
    <row r="73">
      <c r="A73" s="8">
        <v>42339.0</v>
      </c>
      <c r="B73" s="9"/>
      <c r="C73" s="12">
        <v>126.136930293216</v>
      </c>
      <c r="D73" s="12">
        <v>123.735572777943</v>
      </c>
      <c r="E73" s="12">
        <v>126.0</v>
      </c>
      <c r="F73" s="12">
        <v>126.0</v>
      </c>
      <c r="G73" s="12">
        <v>125.907812251518</v>
      </c>
      <c r="H73" s="12">
        <v>126.0</v>
      </c>
      <c r="I73" s="12">
        <v>126.0</v>
      </c>
      <c r="J73" s="12">
        <v>126.0</v>
      </c>
      <c r="K73" s="12">
        <v>126.0</v>
      </c>
      <c r="L73" s="13">
        <v>126.0</v>
      </c>
      <c r="M73" s="12">
        <v>116.340014909467</v>
      </c>
      <c r="N73" s="12">
        <v>115.083334508743</v>
      </c>
      <c r="O73" s="12">
        <v>115.083337655478</v>
      </c>
      <c r="P73" s="55">
        <v>115.083333706852</v>
      </c>
      <c r="Q73" s="12">
        <v>115.083333644486</v>
      </c>
      <c r="R73" s="12">
        <v>106.391553569686</v>
      </c>
      <c r="S73" s="12">
        <v>115.429832116099</v>
      </c>
      <c r="T73" s="12">
        <v>115.429832116099</v>
      </c>
      <c r="U73" s="12">
        <v>115.083329872667</v>
      </c>
      <c r="V73" s="12">
        <v>115.083333144799</v>
      </c>
      <c r="W73" s="12">
        <v>125.999999865488</v>
      </c>
      <c r="X73" s="12">
        <v>2127.62962182944</v>
      </c>
    </row>
    <row r="74">
      <c r="A74" s="8">
        <v>42370.0</v>
      </c>
      <c r="B74" s="9"/>
      <c r="C74" s="12">
        <v>126.133121670149</v>
      </c>
      <c r="D74" s="12">
        <v>131.221041741918</v>
      </c>
      <c r="E74" s="12">
        <v>126.0</v>
      </c>
      <c r="F74" s="12">
        <v>126.0</v>
      </c>
      <c r="G74" s="12">
        <v>126.157629708547</v>
      </c>
      <c r="H74" s="12">
        <v>126.0</v>
      </c>
      <c r="I74" s="12">
        <v>126.0</v>
      </c>
      <c r="J74" s="12">
        <v>126.0</v>
      </c>
      <c r="K74" s="12">
        <v>126.0</v>
      </c>
      <c r="L74" s="13">
        <v>126.0</v>
      </c>
      <c r="M74" s="12">
        <v>141.602632054286</v>
      </c>
      <c r="N74" s="12">
        <v>115.083334508743</v>
      </c>
      <c r="O74" s="12">
        <v>115.083337655478</v>
      </c>
      <c r="P74" s="55">
        <v>115.083333706852</v>
      </c>
      <c r="Q74" s="12">
        <v>115.083333644486</v>
      </c>
      <c r="R74" s="12">
        <v>106.403567377134</v>
      </c>
      <c r="S74" s="12">
        <v>114.948820074395</v>
      </c>
      <c r="T74" s="12">
        <v>114.948820074395</v>
      </c>
      <c r="U74" s="12">
        <v>115.083329872667</v>
      </c>
      <c r="V74" s="12">
        <v>115.083333144799</v>
      </c>
      <c r="W74" s="12">
        <v>125.999999865488</v>
      </c>
      <c r="X74" s="12">
        <v>126.0</v>
      </c>
    </row>
    <row r="75">
      <c r="A75" s="8">
        <v>42401.0</v>
      </c>
      <c r="B75" s="9"/>
      <c r="C75" s="12">
        <v>125.624670490698</v>
      </c>
      <c r="D75" s="12">
        <v>134.781179145051</v>
      </c>
      <c r="E75" s="12">
        <v>126.0</v>
      </c>
      <c r="F75" s="12">
        <v>126.0</v>
      </c>
      <c r="G75" s="12">
        <v>127.935381173824</v>
      </c>
      <c r="H75" s="12">
        <v>126.0</v>
      </c>
      <c r="I75" s="12">
        <v>126.0</v>
      </c>
      <c r="J75" s="12">
        <v>126.0</v>
      </c>
      <c r="K75" s="12">
        <v>126.0</v>
      </c>
      <c r="L75" s="13">
        <v>409.5</v>
      </c>
      <c r="M75" s="12">
        <v>138.93596538762</v>
      </c>
      <c r="N75" s="12">
        <v>115.083334508743</v>
      </c>
      <c r="O75" s="12">
        <v>115.083337655478</v>
      </c>
      <c r="P75" s="55">
        <v>115.083333706852</v>
      </c>
      <c r="Q75" s="12">
        <v>115.083333644486</v>
      </c>
      <c r="R75" s="12">
        <v>113.791891010937</v>
      </c>
      <c r="S75" s="12">
        <v>114.949286416109</v>
      </c>
      <c r="T75" s="12">
        <v>114.949286416109</v>
      </c>
      <c r="U75" s="12">
        <v>115.083329872667</v>
      </c>
      <c r="V75" s="12">
        <v>115.083333144799</v>
      </c>
      <c r="W75" s="12">
        <v>125.999999865488</v>
      </c>
      <c r="X75" s="12">
        <v>126.0</v>
      </c>
    </row>
    <row r="76">
      <c r="A76" s="8">
        <v>42430.0</v>
      </c>
      <c r="B76" s="9"/>
      <c r="C76" s="12">
        <v>126.136930293216</v>
      </c>
      <c r="D76" s="12">
        <v>132.755592237523</v>
      </c>
      <c r="E76" s="12">
        <v>126.0</v>
      </c>
      <c r="F76" s="12">
        <v>409.5</v>
      </c>
      <c r="G76" s="12">
        <v>126.011423552498</v>
      </c>
      <c r="H76" s="12">
        <v>126.011731198309</v>
      </c>
      <c r="I76" s="12">
        <v>126.0</v>
      </c>
      <c r="J76" s="12">
        <v>126.0</v>
      </c>
      <c r="K76" s="12">
        <v>126.0</v>
      </c>
      <c r="L76" s="13">
        <v>409.5</v>
      </c>
      <c r="M76" s="12">
        <v>133.602632054286</v>
      </c>
      <c r="N76" s="12">
        <v>115.083334508743</v>
      </c>
      <c r="O76" s="12">
        <v>115.083337655478</v>
      </c>
      <c r="P76" s="55">
        <v>115.083333706852</v>
      </c>
      <c r="Q76" s="12">
        <v>115.083333644486</v>
      </c>
      <c r="R76" s="12">
        <v>106.393893630969</v>
      </c>
      <c r="S76" s="12">
        <v>114.947688793678</v>
      </c>
      <c r="T76" s="12">
        <v>114.947688793678</v>
      </c>
      <c r="U76" s="12">
        <v>115.083329872667</v>
      </c>
      <c r="V76" s="12">
        <v>115.083333144799</v>
      </c>
      <c r="W76" s="12">
        <v>125.999999865488</v>
      </c>
      <c r="X76" s="12">
        <v>126.002298360437</v>
      </c>
    </row>
    <row r="77">
      <c r="A77" s="8">
        <v>42461.0</v>
      </c>
      <c r="B77" s="9"/>
      <c r="C77" s="12">
        <v>126.122013186204</v>
      </c>
      <c r="D77" s="12">
        <v>75.8236488038878</v>
      </c>
      <c r="E77" s="12">
        <v>126.0</v>
      </c>
      <c r="F77" s="12">
        <v>126.0</v>
      </c>
      <c r="G77" s="12">
        <v>126.197382330563</v>
      </c>
      <c r="H77" s="12">
        <v>126.0</v>
      </c>
      <c r="I77" s="12">
        <v>126.0</v>
      </c>
      <c r="J77" s="12">
        <v>126.0</v>
      </c>
      <c r="K77" s="12">
        <v>126.0</v>
      </c>
      <c r="L77" s="13">
        <v>126.0</v>
      </c>
      <c r="M77" s="12">
        <v>116.269298720953</v>
      </c>
      <c r="N77" s="12">
        <v>115.083334508743</v>
      </c>
      <c r="O77" s="12">
        <v>115.083337655478</v>
      </c>
      <c r="P77" s="55">
        <v>115.083333706852</v>
      </c>
      <c r="Q77" s="12">
        <v>115.083333644486</v>
      </c>
      <c r="R77" s="12">
        <v>106.452686271147</v>
      </c>
      <c r="S77" s="12">
        <v>114.950040936154</v>
      </c>
      <c r="T77" s="12">
        <v>114.950040936154</v>
      </c>
      <c r="U77" s="12">
        <v>115.083329872667</v>
      </c>
      <c r="V77" s="12">
        <v>115.083333144799</v>
      </c>
      <c r="W77" s="12">
        <v>125.999999865488</v>
      </c>
      <c r="X77" s="12">
        <v>126.000001761412</v>
      </c>
    </row>
    <row r="78">
      <c r="A78" s="8">
        <v>42491.0</v>
      </c>
      <c r="B78" s="9"/>
      <c r="C78" s="12">
        <v>126.136930293216</v>
      </c>
      <c r="D78" s="12">
        <v>102.17917773111</v>
      </c>
      <c r="E78" s="12">
        <v>126.0</v>
      </c>
      <c r="F78" s="12">
        <v>126.0</v>
      </c>
      <c r="G78" s="12">
        <v>126.092119172667</v>
      </c>
      <c r="H78" s="12">
        <v>126.0</v>
      </c>
      <c r="I78" s="12">
        <v>126.0</v>
      </c>
      <c r="J78" s="12">
        <v>126.0</v>
      </c>
      <c r="K78" s="12">
        <v>126.0</v>
      </c>
      <c r="L78" s="13">
        <v>126.0</v>
      </c>
      <c r="M78" s="12">
        <v>738.269298720953</v>
      </c>
      <c r="N78" s="12">
        <v>115.083334508743</v>
      </c>
      <c r="O78" s="12">
        <v>115.083337655478</v>
      </c>
      <c r="P78" s="55">
        <v>115.083333706852</v>
      </c>
      <c r="Q78" s="12">
        <v>115.083333644486</v>
      </c>
      <c r="R78" s="12">
        <v>106.417171082679</v>
      </c>
      <c r="S78" s="12">
        <v>114.945883674961</v>
      </c>
      <c r="T78" s="12">
        <v>114.945883674961</v>
      </c>
      <c r="U78" s="12">
        <v>115.083329872667</v>
      </c>
      <c r="V78" s="12">
        <v>115.083333144799</v>
      </c>
      <c r="W78" s="12">
        <v>125.999999865488</v>
      </c>
      <c r="X78" s="12">
        <v>126.000017964971</v>
      </c>
    </row>
    <row r="79">
      <c r="A79" s="8">
        <v>42522.0</v>
      </c>
      <c r="B79" s="9"/>
      <c r="C79" s="12">
        <v>126.136930293216</v>
      </c>
      <c r="D79" s="12">
        <v>127.958990847237</v>
      </c>
      <c r="E79" s="12">
        <v>126.0</v>
      </c>
      <c r="F79" s="12">
        <v>126.0</v>
      </c>
      <c r="G79" s="12">
        <v>125.897787188862</v>
      </c>
      <c r="H79" s="12">
        <v>126.0</v>
      </c>
      <c r="I79" s="12">
        <v>126.0</v>
      </c>
      <c r="J79" s="12">
        <v>126.0</v>
      </c>
      <c r="K79" s="12">
        <v>126.0</v>
      </c>
      <c r="L79" s="13">
        <v>126.0</v>
      </c>
      <c r="M79" s="12">
        <v>742.769298720953</v>
      </c>
      <c r="N79" s="12">
        <v>115.083334508743</v>
      </c>
      <c r="O79" s="12">
        <v>115.083337655478</v>
      </c>
      <c r="P79" s="55">
        <v>115.083333706852</v>
      </c>
      <c r="Q79" s="12">
        <v>115.083333644486</v>
      </c>
      <c r="R79" s="12">
        <v>106.391374426238</v>
      </c>
      <c r="S79" s="12">
        <v>114.948780417835</v>
      </c>
      <c r="T79" s="12">
        <v>114.948780417835</v>
      </c>
      <c r="U79" s="12">
        <v>115.083329872667</v>
      </c>
      <c r="V79" s="12">
        <v>115.083333144799</v>
      </c>
      <c r="W79" s="12">
        <v>125.999999865488</v>
      </c>
      <c r="X79" s="12">
        <v>126.000210045132</v>
      </c>
    </row>
    <row r="80">
      <c r="A80" s="8">
        <v>42552.0</v>
      </c>
      <c r="B80" s="9"/>
      <c r="C80" s="12">
        <v>124.270228912479</v>
      </c>
      <c r="D80" s="12">
        <v>134.788145108384</v>
      </c>
      <c r="E80" s="12">
        <v>126.0</v>
      </c>
      <c r="F80" s="12">
        <v>409.5</v>
      </c>
      <c r="G80" s="12">
        <v>126.857136782358</v>
      </c>
      <c r="H80" s="12">
        <v>126.0</v>
      </c>
      <c r="I80" s="12">
        <v>126.0</v>
      </c>
      <c r="J80" s="12">
        <v>126.0</v>
      </c>
      <c r="K80" s="12">
        <v>126.0</v>
      </c>
      <c r="L80" s="13">
        <v>372.5</v>
      </c>
      <c r="M80" s="12">
        <v>558.269298720953</v>
      </c>
      <c r="N80" s="12">
        <v>407.031425640243</v>
      </c>
      <c r="O80" s="12">
        <v>115.083337655478</v>
      </c>
      <c r="P80" s="55">
        <v>115.083333706852</v>
      </c>
      <c r="Q80" s="12">
        <v>115.083333644486</v>
      </c>
      <c r="R80" s="12">
        <v>108.885767789324</v>
      </c>
      <c r="S80" s="12">
        <v>114.949154228295</v>
      </c>
      <c r="T80" s="12">
        <v>114.949154228295</v>
      </c>
      <c r="U80" s="12">
        <v>115.083329872667</v>
      </c>
      <c r="V80" s="12">
        <v>115.083333144799</v>
      </c>
      <c r="W80" s="12">
        <v>125.999999865488</v>
      </c>
      <c r="X80" s="12">
        <v>126.019949392274</v>
      </c>
    </row>
    <row r="81">
      <c r="A81" s="8">
        <v>42583.0</v>
      </c>
      <c r="B81" s="9"/>
      <c r="C81" s="12">
        <v>126.136454215333</v>
      </c>
      <c r="D81" s="12">
        <v>129.608335481544</v>
      </c>
      <c r="E81" s="12">
        <v>126.0</v>
      </c>
      <c r="F81" s="12">
        <v>126.0</v>
      </c>
      <c r="G81" s="12">
        <v>125.99371742142</v>
      </c>
      <c r="H81" s="12">
        <v>126.0</v>
      </c>
      <c r="I81" s="12">
        <v>126.0</v>
      </c>
      <c r="J81" s="12">
        <v>126.0</v>
      </c>
      <c r="K81" s="12">
        <v>126.0</v>
      </c>
      <c r="L81" s="13">
        <v>126.0</v>
      </c>
      <c r="M81" s="12">
        <v>233.269298720953</v>
      </c>
      <c r="N81" s="12">
        <v>115.083334508743</v>
      </c>
      <c r="O81" s="12">
        <v>115.083337655478</v>
      </c>
      <c r="P81" s="55">
        <v>115.083333706852</v>
      </c>
      <c r="Q81" s="12">
        <v>115.083333644486</v>
      </c>
      <c r="R81" s="12">
        <v>106.403567377134</v>
      </c>
      <c r="S81" s="12">
        <v>114.968200075135</v>
      </c>
      <c r="T81" s="12">
        <v>114.968200075135</v>
      </c>
      <c r="U81" s="12">
        <v>115.083329872667</v>
      </c>
      <c r="V81" s="12">
        <v>115.083333144799</v>
      </c>
      <c r="W81" s="12">
        <v>125.999999865488</v>
      </c>
      <c r="X81" s="12">
        <v>126.000000137636</v>
      </c>
    </row>
    <row r="82">
      <c r="A82" s="8">
        <v>42614.0</v>
      </c>
      <c r="B82" s="9"/>
      <c r="C82" s="12">
        <v>126.136930293216</v>
      </c>
      <c r="D82" s="12">
        <v>134.506795672552</v>
      </c>
      <c r="E82" s="12">
        <v>126.0</v>
      </c>
      <c r="F82" s="12">
        <v>126.0</v>
      </c>
      <c r="G82" s="12">
        <v>125.910392230879</v>
      </c>
      <c r="H82" s="12">
        <v>126.0</v>
      </c>
      <c r="I82" s="12">
        <v>126.0</v>
      </c>
      <c r="J82" s="12">
        <v>126.0</v>
      </c>
      <c r="K82" s="12">
        <v>126.0</v>
      </c>
      <c r="L82" s="13">
        <v>126.0</v>
      </c>
      <c r="M82" s="12">
        <v>231.269298720953</v>
      </c>
      <c r="N82" s="12">
        <v>115.083334508743</v>
      </c>
      <c r="O82" s="12">
        <v>115.083337655478</v>
      </c>
      <c r="P82" s="55">
        <v>115.083333706852</v>
      </c>
      <c r="Q82" s="12">
        <v>115.083333644486</v>
      </c>
      <c r="R82" s="12">
        <v>106.391475194427</v>
      </c>
      <c r="S82" s="12">
        <v>114.897513455399</v>
      </c>
      <c r="T82" s="12">
        <v>114.897513455399</v>
      </c>
      <c r="U82" s="12">
        <v>115.083329872667</v>
      </c>
      <c r="V82" s="12">
        <v>115.083333144799</v>
      </c>
      <c r="W82" s="12">
        <v>125.999999865488</v>
      </c>
      <c r="X82" s="12">
        <v>147.499525183975</v>
      </c>
    </row>
    <row r="83">
      <c r="A83" s="8">
        <v>42644.0</v>
      </c>
      <c r="B83" s="9"/>
      <c r="C83" s="12">
        <v>126.133320035934</v>
      </c>
      <c r="D83" s="12">
        <v>134.951645053883</v>
      </c>
      <c r="E83" s="12">
        <v>126.0</v>
      </c>
      <c r="F83" s="12">
        <v>126.0</v>
      </c>
      <c r="G83" s="12">
        <v>125.926012995314</v>
      </c>
      <c r="H83" s="12">
        <v>126.0</v>
      </c>
      <c r="I83" s="12">
        <v>126.0</v>
      </c>
      <c r="J83" s="12">
        <v>126.0</v>
      </c>
      <c r="K83" s="12">
        <v>126.0</v>
      </c>
      <c r="L83" s="13">
        <v>126.0</v>
      </c>
      <c r="M83" s="12">
        <v>252.269298720953</v>
      </c>
      <c r="N83" s="12">
        <v>115.083334508743</v>
      </c>
      <c r="O83" s="12">
        <v>115.083337655478</v>
      </c>
      <c r="P83" s="55">
        <v>115.083333706852</v>
      </c>
      <c r="Q83" s="12">
        <v>115.083333644486</v>
      </c>
      <c r="R83" s="12">
        <v>106.391923053046</v>
      </c>
      <c r="S83" s="12">
        <v>114.948952479674</v>
      </c>
      <c r="T83" s="12">
        <v>114.948952479674</v>
      </c>
      <c r="U83" s="12">
        <v>115.083329872667</v>
      </c>
      <c r="V83" s="12">
        <v>-15599.6686692213</v>
      </c>
      <c r="W83" s="12">
        <v>125.999999865488</v>
      </c>
      <c r="X83" s="12">
        <v>126.000022641764</v>
      </c>
    </row>
    <row r="84">
      <c r="A84" s="8">
        <v>42675.0</v>
      </c>
      <c r="B84" s="9"/>
      <c r="C84" s="12">
        <v>126.136930293216</v>
      </c>
      <c r="D84" s="12">
        <v>129.852149255818</v>
      </c>
      <c r="E84" s="12">
        <v>126.0</v>
      </c>
      <c r="F84" s="12">
        <v>126.0</v>
      </c>
      <c r="G84" s="12">
        <v>125.954238801765</v>
      </c>
      <c r="H84" s="12">
        <v>126.0</v>
      </c>
      <c r="I84" s="12">
        <v>126.0</v>
      </c>
      <c r="J84" s="12">
        <v>126.0</v>
      </c>
      <c r="K84" s="12">
        <v>126.0</v>
      </c>
      <c r="L84" s="13">
        <v>126.0</v>
      </c>
      <c r="M84" s="12">
        <v>117.660540542808</v>
      </c>
      <c r="N84" s="12">
        <v>115.083334508743</v>
      </c>
      <c r="O84" s="12">
        <v>115.083337655478</v>
      </c>
      <c r="P84" s="55">
        <v>115.083333706852</v>
      </c>
      <c r="Q84" s="12">
        <v>115.083333644486</v>
      </c>
      <c r="R84" s="12">
        <v>106.39356893347</v>
      </c>
      <c r="S84" s="12">
        <v>114.948952479674</v>
      </c>
      <c r="T84" s="12">
        <v>114.948952479674</v>
      </c>
      <c r="U84" s="12">
        <v>759.575912485467</v>
      </c>
      <c r="V84" s="12">
        <v>115.083333144799</v>
      </c>
      <c r="W84" s="12">
        <v>125.999999865488</v>
      </c>
      <c r="X84" s="12">
        <v>126.000006191476</v>
      </c>
    </row>
    <row r="85">
      <c r="A85" s="8">
        <v>42705.0</v>
      </c>
      <c r="B85" s="9"/>
      <c r="C85" s="12">
        <v>125.984783736319</v>
      </c>
      <c r="D85" s="12">
        <v>134.951645053883</v>
      </c>
      <c r="E85" s="12">
        <v>126.0</v>
      </c>
      <c r="F85" s="12">
        <v>126.0</v>
      </c>
      <c r="G85" s="12">
        <v>127.821174285636</v>
      </c>
      <c r="H85" s="12">
        <v>126.0</v>
      </c>
      <c r="I85" s="12">
        <v>126.0</v>
      </c>
      <c r="J85" s="12">
        <v>126.0</v>
      </c>
      <c r="K85" s="12">
        <v>126.0</v>
      </c>
      <c r="L85" s="13">
        <v>126.0</v>
      </c>
      <c r="M85" s="12">
        <v>126.633212500852</v>
      </c>
      <c r="N85" s="12">
        <v>115.083334508743</v>
      </c>
      <c r="O85" s="12">
        <v>115.083337655478</v>
      </c>
      <c r="P85" s="55">
        <v>115.083333706852</v>
      </c>
      <c r="Q85" s="12">
        <v>115.083333644486</v>
      </c>
      <c r="R85" s="12">
        <v>108.938895017975</v>
      </c>
      <c r="S85" s="12">
        <v>114.959397491635</v>
      </c>
      <c r="T85" s="12">
        <v>114.959397491635</v>
      </c>
      <c r="U85" s="12">
        <v>115.083329872667</v>
      </c>
      <c r="V85" s="12">
        <v>-15599.6686692213</v>
      </c>
      <c r="W85" s="12">
        <v>125.999999865488</v>
      </c>
      <c r="X85" s="12">
        <v>126.000051268623</v>
      </c>
    </row>
    <row r="86">
      <c r="A86" s="8">
        <v>42736.0</v>
      </c>
      <c r="B86" s="9"/>
      <c r="C86" s="12">
        <v>126.13597813745</v>
      </c>
      <c r="D86" s="12">
        <v>-17.6486315144773</v>
      </c>
      <c r="E86" s="12">
        <v>126.0</v>
      </c>
      <c r="F86" s="12">
        <v>126.0</v>
      </c>
      <c r="G86" s="12">
        <v>126.819504360579</v>
      </c>
      <c r="H86" s="12">
        <v>126.0</v>
      </c>
      <c r="I86" s="12">
        <v>126.0</v>
      </c>
      <c r="J86" s="12">
        <v>126.0</v>
      </c>
      <c r="K86" s="12">
        <v>126.0</v>
      </c>
      <c r="L86" s="13">
        <v>126.0</v>
      </c>
      <c r="M86" s="12">
        <v>137.269298720953</v>
      </c>
      <c r="N86" s="12">
        <v>115.083334508743</v>
      </c>
      <c r="O86" s="12">
        <v>115.083337655478</v>
      </c>
      <c r="P86" s="55">
        <v>115.083333706852</v>
      </c>
      <c r="Q86" s="12">
        <v>115.083333644486</v>
      </c>
      <c r="R86" s="12">
        <v>107.88302353837</v>
      </c>
      <c r="S86" s="12">
        <v>114.947958030226</v>
      </c>
      <c r="T86" s="12">
        <v>114.947958030226</v>
      </c>
      <c r="U86" s="12">
        <v>-207.911091714859</v>
      </c>
      <c r="V86" s="12">
        <v>115.083333144799</v>
      </c>
      <c r="W86" s="12">
        <v>125.999999865488</v>
      </c>
      <c r="X86" s="12">
        <v>126.000000030695</v>
      </c>
    </row>
    <row r="87">
      <c r="A87" s="8">
        <v>42767.0</v>
      </c>
      <c r="B87" s="9"/>
      <c r="C87" s="12">
        <v>125.817918438194</v>
      </c>
      <c r="D87" s="12">
        <v>97.9005686808198</v>
      </c>
      <c r="E87" s="12">
        <v>126.0</v>
      </c>
      <c r="F87" s="12">
        <v>126.050113208257</v>
      </c>
      <c r="G87" s="12">
        <v>126.060078358313</v>
      </c>
      <c r="H87" s="12">
        <v>126.0</v>
      </c>
      <c r="I87" s="12">
        <v>126.0</v>
      </c>
      <c r="J87" s="12">
        <v>126.0</v>
      </c>
      <c r="K87" s="12">
        <v>126.0</v>
      </c>
      <c r="L87" s="13">
        <v>126.0</v>
      </c>
      <c r="M87" s="12">
        <v>119.514725880415</v>
      </c>
      <c r="N87" s="12">
        <v>115.083334508743</v>
      </c>
      <c r="O87" s="12">
        <v>115.083337655478</v>
      </c>
      <c r="P87" s="55">
        <v>115.083333706852</v>
      </c>
      <c r="Q87" s="12">
        <v>115.083333644486</v>
      </c>
      <c r="R87" s="12">
        <v>106.598464251556</v>
      </c>
      <c r="S87" s="12">
        <v>114.951840446758</v>
      </c>
      <c r="T87" s="12">
        <v>114.951840446758</v>
      </c>
      <c r="U87" s="12">
        <v>160.477222032222</v>
      </c>
      <c r="V87" s="12">
        <v>115.083333144799</v>
      </c>
      <c r="W87" s="12">
        <v>125.999999865488</v>
      </c>
      <c r="X87" s="12">
        <v>126.000264154572</v>
      </c>
    </row>
    <row r="88">
      <c r="A88" s="8">
        <v>42795.0</v>
      </c>
      <c r="B88" s="9">
        <f>IFERROR(__xludf.DUMMYFUNCTION("""COMPUTED_VALUE"""),31996.0)</f>
        <v>31996</v>
      </c>
      <c r="C88" s="12">
        <v>38.7966339639085</v>
      </c>
      <c r="D88" s="12">
        <v>31995.8940270934</v>
      </c>
      <c r="E88" s="12">
        <v>126.0</v>
      </c>
      <c r="F88" s="12">
        <v>31998.1478464644</v>
      </c>
      <c r="G88" s="12">
        <v>31997.857596929</v>
      </c>
      <c r="H88" s="12">
        <v>31995.9320228454</v>
      </c>
      <c r="I88" s="12">
        <v>126.0</v>
      </c>
      <c r="J88" s="12">
        <v>28058.2530489892</v>
      </c>
      <c r="K88" s="12">
        <v>31996.0</v>
      </c>
      <c r="L88" s="13">
        <v>31996.0005089319</v>
      </c>
      <c r="M88" s="12">
        <v>119.769298720953</v>
      </c>
      <c r="N88" s="12">
        <v>32003.8389534864</v>
      </c>
      <c r="O88" s="12">
        <v>31951.8672168194</v>
      </c>
      <c r="P88" s="55">
        <v>115.083333706852</v>
      </c>
      <c r="Q88" s="12">
        <v>23766.7747626764</v>
      </c>
      <c r="R88" s="12">
        <v>218.832561884887</v>
      </c>
      <c r="S88" s="12">
        <v>114.575288641254</v>
      </c>
      <c r="T88" s="12">
        <v>114.575288641254</v>
      </c>
      <c r="U88" s="12">
        <v>33605.850443365</v>
      </c>
      <c r="V88" s="12">
        <v>31996.0000047487</v>
      </c>
      <c r="W88" s="12">
        <v>31996.0294109776</v>
      </c>
      <c r="X88" s="12">
        <v>33296.5140760898</v>
      </c>
    </row>
    <row r="89">
      <c r="A89" s="8">
        <v>42826.0</v>
      </c>
      <c r="B89" s="9">
        <f>IFERROR(__xludf.DUMMYFUNCTION("""COMPUTED_VALUE"""),3977.0)</f>
        <v>3977</v>
      </c>
      <c r="C89" s="12">
        <v>3608.3313472379</v>
      </c>
      <c r="D89" s="12">
        <v>3973.86011986788</v>
      </c>
      <c r="E89" s="12">
        <v>2749.19086277679</v>
      </c>
      <c r="F89" s="12">
        <v>4549.6262914869</v>
      </c>
      <c r="G89" s="12">
        <v>3907.0127297176</v>
      </c>
      <c r="H89" s="12">
        <v>1778.04051123606</v>
      </c>
      <c r="I89" s="12">
        <v>126.0</v>
      </c>
      <c r="J89" s="12">
        <v>126.0</v>
      </c>
      <c r="K89" s="12">
        <v>3976.00187391607</v>
      </c>
      <c r="L89" s="13">
        <v>3976.12094749681</v>
      </c>
      <c r="M89" s="12">
        <v>12489.8441149945</v>
      </c>
      <c r="N89" s="12">
        <v>3976.14609994732</v>
      </c>
      <c r="O89" s="12">
        <v>3930.66778454798</v>
      </c>
      <c r="P89" s="55">
        <v>115.083333706852</v>
      </c>
      <c r="Q89" s="12">
        <v>2722.41446039297</v>
      </c>
      <c r="R89" s="12">
        <v>3674.32735602043</v>
      </c>
      <c r="S89" s="12">
        <v>114.948409975746</v>
      </c>
      <c r="T89" s="12">
        <v>114.948409975746</v>
      </c>
      <c r="U89" s="12">
        <v>3980.57351443003</v>
      </c>
      <c r="V89" s="12">
        <v>3977.01065590939</v>
      </c>
      <c r="W89" s="12">
        <v>3976.99020201267</v>
      </c>
      <c r="X89" s="12">
        <v>126.000020356538</v>
      </c>
    </row>
    <row r="90">
      <c r="A90" s="8">
        <v>42856.0</v>
      </c>
      <c r="B90" s="9">
        <f>IFERROR(__xludf.DUMMYFUNCTION("""COMPUTED_VALUE"""),17061.0)</f>
        <v>17061</v>
      </c>
      <c r="C90" s="12">
        <v>16543.367496661</v>
      </c>
      <c r="D90" s="12">
        <v>17062.6024333385</v>
      </c>
      <c r="E90" s="12">
        <v>15707.1303942397</v>
      </c>
      <c r="F90" s="12">
        <v>16275.902116829</v>
      </c>
      <c r="G90" s="12">
        <v>16948.6876993199</v>
      </c>
      <c r="H90" s="12">
        <v>14003.1907428455</v>
      </c>
      <c r="I90" s="12">
        <v>126.0</v>
      </c>
      <c r="J90" s="12">
        <v>17052.8144596628</v>
      </c>
      <c r="K90" s="12">
        <v>17097.0</v>
      </c>
      <c r="L90" s="13">
        <v>17060.9999961702</v>
      </c>
      <c r="M90" s="12">
        <v>-359.808503590478</v>
      </c>
      <c r="N90" s="12">
        <v>17057.9677451692</v>
      </c>
      <c r="O90" s="12">
        <v>17048.4261386542</v>
      </c>
      <c r="P90" s="55">
        <v>140425.053503679</v>
      </c>
      <c r="Q90" s="12">
        <v>13180.389427103</v>
      </c>
      <c r="R90" s="12">
        <v>1973.93074449404</v>
      </c>
      <c r="S90" s="12">
        <v>99.7887001306571</v>
      </c>
      <c r="T90" s="12">
        <v>99.7887001306571</v>
      </c>
      <c r="U90" s="12">
        <v>115.083329872667</v>
      </c>
      <c r="V90" s="12">
        <v>17061.0090187101</v>
      </c>
      <c r="W90" s="12">
        <v>17061.0000002869</v>
      </c>
      <c r="X90" s="12">
        <v>21408.8641771489</v>
      </c>
    </row>
    <row r="91">
      <c r="A91" s="8">
        <v>42887.0</v>
      </c>
      <c r="B91" s="9"/>
      <c r="C91" s="12">
        <v>136.95014992528</v>
      </c>
      <c r="D91" s="12">
        <v>-15.5704203724584</v>
      </c>
      <c r="E91" s="12">
        <v>1315.22020537028</v>
      </c>
      <c r="F91" s="12">
        <v>1336.5</v>
      </c>
      <c r="G91" s="12">
        <v>149.934824225899</v>
      </c>
      <c r="H91" s="12">
        <v>126.0</v>
      </c>
      <c r="I91" s="12">
        <v>126.0</v>
      </c>
      <c r="J91" s="12">
        <v>148.5</v>
      </c>
      <c r="K91" s="12">
        <v>126.0</v>
      </c>
      <c r="L91" s="13">
        <v>399.0</v>
      </c>
      <c r="M91" s="12">
        <v>121.269298720953</v>
      </c>
      <c r="N91" s="12">
        <v>446.26506992077</v>
      </c>
      <c r="O91" s="12">
        <v>115.083337655478</v>
      </c>
      <c r="P91" s="55">
        <v>115.075140546482</v>
      </c>
      <c r="Q91" s="12">
        <v>115.083333644486</v>
      </c>
      <c r="R91" s="12">
        <v>193.156542218505</v>
      </c>
      <c r="S91" s="12">
        <v>114.95011926274</v>
      </c>
      <c r="T91" s="12">
        <v>114.95011926274</v>
      </c>
      <c r="U91" s="12">
        <v>-897.56669119504</v>
      </c>
      <c r="V91" s="12">
        <v>115.083333144799</v>
      </c>
      <c r="W91" s="12">
        <v>125.999999865488</v>
      </c>
      <c r="X91" s="12">
        <v>165.839865063784</v>
      </c>
    </row>
    <row r="92">
      <c r="A92" s="8">
        <v>42917.0</v>
      </c>
      <c r="B92" s="56">
        <f>IFERROR(__xludf.DUMMYFUNCTION("""COMPUTED_VALUE"""),58.0)</f>
        <v>58</v>
      </c>
      <c r="C92" s="12">
        <v>80.0378327675527</v>
      </c>
      <c r="D92" s="12">
        <v>54.0100404150567</v>
      </c>
      <c r="E92" s="12">
        <v>1181.67853196971</v>
      </c>
      <c r="F92" s="12">
        <v>1643.5</v>
      </c>
      <c r="G92" s="12">
        <v>126.723337849655</v>
      </c>
      <c r="H92" s="12">
        <v>126.0</v>
      </c>
      <c r="I92" s="12">
        <v>126.0</v>
      </c>
      <c r="J92" s="12">
        <v>126.0</v>
      </c>
      <c r="K92" s="12">
        <v>126.0</v>
      </c>
      <c r="L92" s="13">
        <v>126.0</v>
      </c>
      <c r="M92" s="12">
        <v>121.618944522354</v>
      </c>
      <c r="N92" s="12">
        <v>931.863217255009</v>
      </c>
      <c r="O92" s="12">
        <v>11384.7010529848</v>
      </c>
      <c r="P92" s="55">
        <v>115.083333706852</v>
      </c>
      <c r="Q92" s="12">
        <v>6517.11038417208</v>
      </c>
      <c r="R92" s="12">
        <v>116.22152401775</v>
      </c>
      <c r="S92" s="12">
        <v>115.007959799271</v>
      </c>
      <c r="T92" s="12">
        <v>115.007959799271</v>
      </c>
      <c r="U92" s="12">
        <v>115.083329872667</v>
      </c>
      <c r="V92" s="12">
        <v>132.948236228778</v>
      </c>
      <c r="W92" s="12">
        <v>125.999999865488</v>
      </c>
      <c r="X92" s="12">
        <v>128.488928971464</v>
      </c>
    </row>
    <row r="93">
      <c r="A93" s="8">
        <v>42948.0</v>
      </c>
      <c r="B93" s="9">
        <f>IFERROR(__xludf.DUMMYFUNCTION("""COMPUTED_VALUE"""),4625.0)</f>
        <v>4625</v>
      </c>
      <c r="C93" s="12">
        <v>4624.92314311209</v>
      </c>
      <c r="D93" s="12">
        <v>4929.92786210634</v>
      </c>
      <c r="E93" s="12">
        <v>5438.04804281925</v>
      </c>
      <c r="F93" s="12">
        <v>4737.22177889102</v>
      </c>
      <c r="G93" s="12">
        <v>4597.40523016886</v>
      </c>
      <c r="H93" s="12">
        <v>8484.0343345556</v>
      </c>
      <c r="I93" s="12">
        <v>126.0</v>
      </c>
      <c r="J93" s="12">
        <v>4616.16667311877</v>
      </c>
      <c r="K93" s="12">
        <v>4629.00004306201</v>
      </c>
      <c r="L93" s="13">
        <v>4590.5</v>
      </c>
      <c r="M93" s="12">
        <v>119.769298720953</v>
      </c>
      <c r="N93" s="12">
        <v>425.447577936753</v>
      </c>
      <c r="O93" s="12">
        <v>115.083337655478</v>
      </c>
      <c r="P93" s="55">
        <v>115.083333706852</v>
      </c>
      <c r="Q93" s="12">
        <v>8782.78214945327</v>
      </c>
      <c r="R93" s="12">
        <v>240.818658053962</v>
      </c>
      <c r="S93" s="12">
        <v>114.948952479674</v>
      </c>
      <c r="T93" s="12">
        <v>114.948952479674</v>
      </c>
      <c r="U93" s="12">
        <v>115.083329872667</v>
      </c>
      <c r="V93" s="12">
        <v>90.3196614183248</v>
      </c>
      <c r="W93" s="12">
        <v>4624.99823955027</v>
      </c>
      <c r="X93" s="12">
        <v>4731.28401407724</v>
      </c>
    </row>
    <row r="94">
      <c r="A94" s="14">
        <v>42979.0</v>
      </c>
      <c r="B94" s="9">
        <f>IFERROR(__xludf.DUMMYFUNCTION("""COMPUTED_VALUE"""),3692.0)</f>
        <v>3692</v>
      </c>
      <c r="C94" s="12">
        <v>3252.49070812367</v>
      </c>
      <c r="D94" s="12">
        <v>3599.55168865025</v>
      </c>
      <c r="E94" s="12">
        <v>3867.54023800795</v>
      </c>
      <c r="F94" s="12">
        <v>3683.0</v>
      </c>
      <c r="G94" s="12">
        <v>3777.63570067487</v>
      </c>
      <c r="H94" s="12">
        <v>3984.99025969769</v>
      </c>
      <c r="I94" s="12">
        <v>126.0</v>
      </c>
      <c r="J94" s="12">
        <v>3678.58363703397</v>
      </c>
      <c r="K94" s="12">
        <v>3677.39334621815</v>
      </c>
      <c r="L94" s="13">
        <v>3694.0</v>
      </c>
      <c r="M94" s="12">
        <v>317.539578011169</v>
      </c>
      <c r="N94" s="12">
        <v>115.083334508743</v>
      </c>
      <c r="O94" s="12">
        <v>115.083337655478</v>
      </c>
      <c r="P94" s="55">
        <v>115.083333706852</v>
      </c>
      <c r="Q94" s="12">
        <v>115.083333644486</v>
      </c>
      <c r="R94" s="12">
        <v>203.0375177076</v>
      </c>
      <c r="S94" s="12">
        <v>122.608556465828</v>
      </c>
      <c r="T94" s="12">
        <v>122.608556465828</v>
      </c>
      <c r="U94" s="12">
        <v>115.083329872667</v>
      </c>
      <c r="V94" s="12">
        <v>115.083333144799</v>
      </c>
      <c r="W94" s="12">
        <v>3703.21897537365</v>
      </c>
      <c r="X94" s="12">
        <v>3654.90960805319</v>
      </c>
    </row>
    <row r="95">
      <c r="A95" s="14">
        <v>43009.0</v>
      </c>
      <c r="B95" s="9">
        <f>IFERROR(__xludf.DUMMYFUNCTION("""COMPUTED_VALUE"""),2648.0)</f>
        <v>2648</v>
      </c>
      <c r="C95" s="12">
        <v>-813.467638170758</v>
      </c>
      <c r="D95" s="12">
        <v>90.9550123164751</v>
      </c>
      <c r="E95" s="12">
        <v>5877.33409157173</v>
      </c>
      <c r="F95" s="12">
        <v>5953.0</v>
      </c>
      <c r="G95" s="12">
        <v>3779.98430118377</v>
      </c>
      <c r="H95" s="12">
        <v>1747.44783270305</v>
      </c>
      <c r="I95" s="12">
        <v>126.0</v>
      </c>
      <c r="J95" s="12">
        <v>647.583925125477</v>
      </c>
      <c r="K95" s="12">
        <v>604.848873824027</v>
      </c>
      <c r="L95" s="13">
        <v>4657.0</v>
      </c>
      <c r="M95" s="12">
        <v>981.122027988084</v>
      </c>
      <c r="N95" s="12">
        <v>115.083334508743</v>
      </c>
      <c r="O95" s="12">
        <v>86552.5034728397</v>
      </c>
      <c r="P95" s="55">
        <v>115.080243264047</v>
      </c>
      <c r="Q95" s="12">
        <v>117.732645775916</v>
      </c>
      <c r="R95" s="12">
        <v>362.641028035274</v>
      </c>
      <c r="S95" s="12">
        <v>115.232641516198</v>
      </c>
      <c r="T95" s="12">
        <v>115.232641516198</v>
      </c>
      <c r="U95" s="12">
        <v>-10456.3586887576</v>
      </c>
      <c r="V95" s="12">
        <v>115.083333144799</v>
      </c>
      <c r="W95" s="12">
        <v>422.912052068252</v>
      </c>
      <c r="X95" s="12">
        <v>450.136967202576</v>
      </c>
    </row>
    <row r="96">
      <c r="A96" s="14">
        <v>43040.0</v>
      </c>
      <c r="B96" s="9">
        <f>IFERROR(__xludf.DUMMYFUNCTION("""COMPUTED_VALUE"""),885.0)</f>
        <v>885</v>
      </c>
      <c r="C96" s="12">
        <v>758.774985595497</v>
      </c>
      <c r="D96" s="12">
        <v>-71.2653633979067</v>
      </c>
      <c r="E96" s="12">
        <v>4433.03723495277</v>
      </c>
      <c r="F96" s="12">
        <v>4818.0</v>
      </c>
      <c r="G96" s="12">
        <v>126.793929622096</v>
      </c>
      <c r="H96" s="12">
        <v>2833.16141455117</v>
      </c>
      <c r="I96" s="12">
        <v>126.0</v>
      </c>
      <c r="J96" s="12">
        <v>126.0</v>
      </c>
      <c r="K96" s="12">
        <v>155.0</v>
      </c>
      <c r="L96" s="13">
        <v>3848.0</v>
      </c>
      <c r="M96" s="12">
        <v>111.599179913103</v>
      </c>
      <c r="N96" s="12">
        <v>115.083334508743</v>
      </c>
      <c r="O96" s="12">
        <v>115.083337655478</v>
      </c>
      <c r="P96" s="55">
        <v>28870.909719542</v>
      </c>
      <c r="Q96" s="12">
        <v>5255.10325120929</v>
      </c>
      <c r="R96" s="12">
        <v>196.515931508655</v>
      </c>
      <c r="S96" s="12">
        <v>1124.73873006888</v>
      </c>
      <c r="T96" s="12">
        <v>1124.73873006888</v>
      </c>
      <c r="U96" s="12">
        <v>115.083329872667</v>
      </c>
      <c r="V96" s="12">
        <v>547.74713597634</v>
      </c>
      <c r="W96" s="12">
        <v>3774.57401720817</v>
      </c>
      <c r="X96" s="12">
        <v>654.697798595136</v>
      </c>
    </row>
    <row r="97">
      <c r="A97" s="14">
        <v>43070.0</v>
      </c>
      <c r="B97" s="9">
        <f>IFERROR(__xludf.DUMMYFUNCTION("""COMPUTED_VALUE"""),409.0)</f>
        <v>409</v>
      </c>
      <c r="C97" s="12">
        <v>614.178285477896</v>
      </c>
      <c r="D97" s="12">
        <v>-52.3308999323867</v>
      </c>
      <c r="E97" s="12">
        <v>4048.05828855214</v>
      </c>
      <c r="F97" s="12">
        <v>4818.0</v>
      </c>
      <c r="G97" s="12">
        <v>126.645561669574</v>
      </c>
      <c r="H97" s="12">
        <v>571.666706798703</v>
      </c>
      <c r="I97" s="12">
        <v>126.0</v>
      </c>
      <c r="J97" s="12">
        <v>242.666666666667</v>
      </c>
      <c r="K97" s="12">
        <v>842.996606529768</v>
      </c>
      <c r="L97" s="12">
        <v>3993.0</v>
      </c>
      <c r="M97" s="12">
        <v>367.222109783923</v>
      </c>
      <c r="N97" s="12">
        <v>115.083334508743</v>
      </c>
      <c r="O97" s="12">
        <v>115.083337655478</v>
      </c>
      <c r="P97" s="55">
        <v>37412.1830764307</v>
      </c>
      <c r="Q97" s="12">
        <v>981.863759875241</v>
      </c>
      <c r="R97" s="12">
        <v>112.790557514632</v>
      </c>
      <c r="S97" s="12">
        <v>114.944719030288</v>
      </c>
      <c r="T97" s="12">
        <v>114.944719030288</v>
      </c>
      <c r="U97" s="12">
        <v>115.083329872667</v>
      </c>
      <c r="V97" s="12">
        <v>115.083333144799</v>
      </c>
      <c r="W97" s="12">
        <v>125.999999865488</v>
      </c>
      <c r="X97" s="12">
        <v>127.241147348941</v>
      </c>
    </row>
    <row r="98">
      <c r="A98" s="19">
        <v>43101.0</v>
      </c>
      <c r="B98" s="9">
        <f>IFERROR(__xludf.DUMMYFUNCTION("""COMPUTED_VALUE"""),539.0)</f>
        <v>539</v>
      </c>
      <c r="C98" s="12">
        <v>98.3665138924648</v>
      </c>
      <c r="D98" s="12">
        <v>-290.172832071449</v>
      </c>
      <c r="E98" s="12">
        <v>4592.69356214793</v>
      </c>
      <c r="F98" s="12">
        <v>4818.0</v>
      </c>
      <c r="G98" s="12">
        <v>126.334238028191</v>
      </c>
      <c r="H98" s="12">
        <v>17263.2533515698</v>
      </c>
      <c r="I98" s="12">
        <v>126.0</v>
      </c>
      <c r="J98" s="12">
        <v>126.0</v>
      </c>
      <c r="K98" s="12">
        <v>132.168097042269</v>
      </c>
      <c r="L98" s="12">
        <v>5953.0</v>
      </c>
      <c r="M98" s="12">
        <v>1268.50361968663</v>
      </c>
      <c r="N98" s="12">
        <v>1068.97747388253</v>
      </c>
      <c r="O98" s="12">
        <v>115.083337655478</v>
      </c>
      <c r="P98" s="55">
        <v>115.083333706852</v>
      </c>
      <c r="Q98" s="12">
        <v>13026.2887066949</v>
      </c>
      <c r="R98" s="12">
        <v>107.874861315043</v>
      </c>
      <c r="S98" s="12">
        <v>15137.1865647546</v>
      </c>
      <c r="T98" s="12">
        <v>15137.1865647546</v>
      </c>
      <c r="U98" s="12">
        <v>115.083329872667</v>
      </c>
      <c r="V98" s="12">
        <v>16135.8103920247</v>
      </c>
      <c r="W98" s="12">
        <v>17744.3358059908</v>
      </c>
      <c r="X98" s="12">
        <v>126.027547840363</v>
      </c>
    </row>
    <row r="99">
      <c r="A99" s="19">
        <v>43132.0</v>
      </c>
      <c r="B99" s="57">
        <f>IFERROR(__xludf.DUMMYFUNCTION("""COMPUTED_VALUE"""),478.0)</f>
        <v>478</v>
      </c>
      <c r="C99" s="12">
        <v>74.5866219833696</v>
      </c>
      <c r="D99" s="12">
        <v>134.951645053883</v>
      </c>
      <c r="E99" s="12">
        <v>4379.94825606263</v>
      </c>
      <c r="F99" s="12">
        <v>4818.0</v>
      </c>
      <c r="G99" s="12">
        <v>126.14708690875</v>
      </c>
      <c r="H99" s="12">
        <v>126.0</v>
      </c>
      <c r="I99" s="12">
        <v>126.0</v>
      </c>
      <c r="J99" s="12">
        <v>126.0</v>
      </c>
      <c r="K99" s="12">
        <v>261.453441021161</v>
      </c>
      <c r="L99" s="12">
        <v>5953.0</v>
      </c>
      <c r="M99" s="12">
        <v>106.283598783185</v>
      </c>
      <c r="N99" s="12">
        <v>115.083334508743</v>
      </c>
      <c r="O99" s="12">
        <v>115.083337655478</v>
      </c>
      <c r="P99" s="55">
        <v>115.083333706852</v>
      </c>
      <c r="Q99" s="12">
        <v>115.083333644486</v>
      </c>
      <c r="R99" s="12">
        <v>106.746123238164</v>
      </c>
      <c r="S99" s="12">
        <v>114.948952479674</v>
      </c>
      <c r="T99" s="12">
        <v>114.948952479674</v>
      </c>
      <c r="U99" s="12">
        <v>446.487722356271</v>
      </c>
      <c r="V99" s="12">
        <v>-15599.6686692213</v>
      </c>
      <c r="W99" s="12">
        <v>125.999999865488</v>
      </c>
      <c r="X99" s="12">
        <v>126.054494591207</v>
      </c>
    </row>
    <row r="100">
      <c r="A100" s="15">
        <v>43160.0</v>
      </c>
      <c r="B100" s="9">
        <f>IFERROR(__xludf.DUMMYFUNCTION("""COMPUTED_VALUE"""),552.0)</f>
        <v>552</v>
      </c>
      <c r="C100" s="12">
        <v>117.167424604534</v>
      </c>
      <c r="D100" s="12">
        <v>33.4673417647925</v>
      </c>
      <c r="E100" s="12">
        <v>4587.12183297544</v>
      </c>
      <c r="F100" s="12">
        <v>4818.0</v>
      </c>
      <c r="G100" s="12">
        <v>126.224165728355</v>
      </c>
      <c r="H100" s="12">
        <v>5274.65406833957</v>
      </c>
      <c r="I100" s="12">
        <v>126.0</v>
      </c>
      <c r="J100" s="12">
        <v>126.0</v>
      </c>
      <c r="K100" s="12">
        <v>427.274977385445</v>
      </c>
      <c r="L100" s="12">
        <v>4201.0</v>
      </c>
      <c r="M100" s="12">
        <v>31741.7868069478</v>
      </c>
      <c r="N100" s="12">
        <v>115.083334508743</v>
      </c>
      <c r="O100" s="12">
        <v>115.083337655478</v>
      </c>
      <c r="P100" s="55">
        <v>115.070628104003</v>
      </c>
      <c r="Q100" s="12">
        <v>115.083333644486</v>
      </c>
      <c r="R100" s="12">
        <v>106.928368106605</v>
      </c>
      <c r="S100" s="12">
        <v>114.948952479674</v>
      </c>
      <c r="T100" s="12">
        <v>114.948952479674</v>
      </c>
      <c r="U100" s="12">
        <v>188.180847394303</v>
      </c>
      <c r="V100" s="12">
        <v>115.083333144799</v>
      </c>
      <c r="W100" s="12">
        <v>296.877437023504</v>
      </c>
      <c r="X100" s="12">
        <v>631.376880533509</v>
      </c>
    </row>
    <row r="101">
      <c r="A101" s="15">
        <v>43191.0</v>
      </c>
      <c r="B101" s="9">
        <f>IFERROR(__xludf.DUMMYFUNCTION("""COMPUTED_VALUE"""),710.0)</f>
        <v>710</v>
      </c>
      <c r="C101" s="12">
        <v>122.892459517975</v>
      </c>
      <c r="D101" s="12">
        <v>-280.243323242265</v>
      </c>
      <c r="E101" s="12">
        <v>2469.18816166728</v>
      </c>
      <c r="F101" s="12">
        <v>2409.5</v>
      </c>
      <c r="G101" s="12">
        <v>126.103450378132</v>
      </c>
      <c r="H101" s="12">
        <v>3596.11818763196</v>
      </c>
      <c r="I101" s="12">
        <v>126.0</v>
      </c>
      <c r="J101" s="12">
        <v>126.0</v>
      </c>
      <c r="K101" s="12">
        <v>126.0</v>
      </c>
      <c r="L101" s="12">
        <v>1262.5</v>
      </c>
      <c r="M101" s="12">
        <v>108.292647165139</v>
      </c>
      <c r="N101" s="12">
        <v>4316.52845181764</v>
      </c>
      <c r="O101" s="12">
        <v>115.083337655478</v>
      </c>
      <c r="P101" s="55">
        <v>67679.9054941279</v>
      </c>
      <c r="Q101" s="12">
        <v>986.441804287473</v>
      </c>
      <c r="R101" s="12">
        <v>106.604599914633</v>
      </c>
      <c r="S101" s="12">
        <v>114.948952479674</v>
      </c>
      <c r="T101" s="12">
        <v>114.948952479674</v>
      </c>
      <c r="U101" s="12">
        <v>115.083329872667</v>
      </c>
      <c r="V101" s="12">
        <v>115.083333144799</v>
      </c>
      <c r="W101" s="12">
        <v>125.999999865488</v>
      </c>
      <c r="X101" s="12">
        <v>3028.93662409914</v>
      </c>
    </row>
    <row r="102">
      <c r="A102" s="48">
        <v>43221.0</v>
      </c>
      <c r="B102" s="9">
        <f>IFERROR(__xludf.DUMMYFUNCTION("""COMPUTED_VALUE"""),2780.0)</f>
        <v>2780</v>
      </c>
      <c r="C102" s="12">
        <v>122.148191093623</v>
      </c>
      <c r="D102" s="12">
        <v>33937.4208879156</v>
      </c>
      <c r="E102" s="12">
        <v>4073.11167369216</v>
      </c>
      <c r="F102" s="12">
        <v>40531.550763757</v>
      </c>
      <c r="G102" s="12">
        <v>126.003861531563</v>
      </c>
      <c r="H102" s="12">
        <v>126.0</v>
      </c>
      <c r="I102" s="12">
        <v>126.0</v>
      </c>
      <c r="J102" s="12">
        <v>21188.7464559928</v>
      </c>
      <c r="K102" s="12">
        <v>31216.7500161483</v>
      </c>
      <c r="L102" s="12">
        <v>126.0</v>
      </c>
      <c r="M102" s="12">
        <v>-236.382111832441</v>
      </c>
      <c r="N102" s="12">
        <v>115.083334508743</v>
      </c>
      <c r="O102" s="12">
        <v>115.083337655478</v>
      </c>
      <c r="P102" s="55" t="s">
        <v>26</v>
      </c>
      <c r="Q102" s="12">
        <v>26899.2989935462</v>
      </c>
      <c r="R102" s="12">
        <v>106.544642842046</v>
      </c>
      <c r="S102" s="12">
        <v>114.947960865385</v>
      </c>
      <c r="T102" s="12">
        <v>114.947960865385</v>
      </c>
      <c r="U102" s="12">
        <v>115.083329872667</v>
      </c>
      <c r="V102" s="12">
        <v>63789.0422097153</v>
      </c>
      <c r="W102" s="12">
        <v>125.999999865488</v>
      </c>
      <c r="X102" s="12">
        <v>126.234117741124</v>
      </c>
    </row>
    <row r="103">
      <c r="A103" s="15">
        <v>43252.0</v>
      </c>
      <c r="B103" s="9">
        <f>IFERROR(__xludf.DUMMYFUNCTION("""COMPUTED_VALUE"""),933.0)</f>
        <v>933</v>
      </c>
      <c r="C103" s="7">
        <v>130.392967683955</v>
      </c>
      <c r="D103" s="7">
        <v>-475.604990110618</v>
      </c>
      <c r="E103" s="7">
        <v>2702.19127351548</v>
      </c>
      <c r="F103" s="7">
        <v>1053.0</v>
      </c>
      <c r="G103" s="7">
        <v>126.298512483513</v>
      </c>
      <c r="H103" s="7">
        <v>126.0</v>
      </c>
      <c r="I103" s="7">
        <v>5030.57006632305</v>
      </c>
      <c r="J103" s="7">
        <v>126.0</v>
      </c>
      <c r="K103" s="7">
        <v>126.0</v>
      </c>
      <c r="L103" s="7">
        <v>288.0</v>
      </c>
      <c r="M103" s="7">
        <v>-1379.66371092464</v>
      </c>
      <c r="N103" s="7">
        <v>3528.99869629222</v>
      </c>
      <c r="O103" s="7">
        <v>115.083337655478</v>
      </c>
      <c r="P103" s="58" t="s">
        <v>26</v>
      </c>
      <c r="Q103" s="7">
        <v>1543.63693377488</v>
      </c>
      <c r="R103" s="7">
        <v>110.323061064986</v>
      </c>
      <c r="S103" s="7">
        <v>941.37695911229</v>
      </c>
      <c r="T103" s="7">
        <v>941.37695911229</v>
      </c>
      <c r="U103" s="7">
        <v>115.083329872667</v>
      </c>
      <c r="V103" s="7">
        <v>115.083333144799</v>
      </c>
      <c r="W103" s="7">
        <v>125.999999865488</v>
      </c>
      <c r="X103" s="7">
        <v>220384.314671094</v>
      </c>
    </row>
    <row r="104">
      <c r="A104" s="15">
        <v>43282.0</v>
      </c>
      <c r="B104" s="9">
        <f>IFERROR(__xludf.DUMMYFUNCTION("""COMPUTED_VALUE"""),756.0)</f>
        <v>756</v>
      </c>
      <c r="C104" s="7">
        <v>115.87935621789</v>
      </c>
      <c r="D104" s="7">
        <v>104.986083520838</v>
      </c>
      <c r="E104" s="7">
        <v>1272.16234178551</v>
      </c>
      <c r="F104" s="7">
        <v>1144.03116539884</v>
      </c>
      <c r="G104" s="7">
        <v>126.250342890041</v>
      </c>
      <c r="H104" s="7">
        <v>4122.65898948399</v>
      </c>
      <c r="I104" s="7">
        <v>8358.86848024737</v>
      </c>
      <c r="J104" s="7">
        <v>126.0</v>
      </c>
      <c r="K104" s="7">
        <v>614.011423113391</v>
      </c>
      <c r="L104" s="7">
        <v>376.0</v>
      </c>
      <c r="M104" s="7">
        <v>-1566.95754549136</v>
      </c>
      <c r="N104" s="7">
        <v>115.083334508743</v>
      </c>
      <c r="O104" s="7">
        <v>3617.05154399303</v>
      </c>
      <c r="P104" s="58" t="s">
        <v>26</v>
      </c>
      <c r="Q104" s="7">
        <v>5201.57390826207</v>
      </c>
      <c r="R104" s="7">
        <v>108.073712043467</v>
      </c>
      <c r="S104" s="7">
        <v>5004.78008016206</v>
      </c>
      <c r="T104" s="7">
        <v>5004.78008016206</v>
      </c>
      <c r="U104" s="7">
        <v>115.083329872667</v>
      </c>
      <c r="V104" s="7">
        <v>240.168934801243</v>
      </c>
      <c r="W104" s="7">
        <v>3838.43692685521</v>
      </c>
      <c r="X104" s="7">
        <v>126.405043854046</v>
      </c>
    </row>
    <row r="105">
      <c r="A105" s="17">
        <v>43313.0</v>
      </c>
      <c r="B105" s="9"/>
      <c r="C105" s="7">
        <v>105.389614828101</v>
      </c>
      <c r="D105" s="7">
        <v>39.057494641516</v>
      </c>
      <c r="E105" s="7">
        <v>1447.33053466027</v>
      </c>
      <c r="F105" s="7">
        <v>942.0</v>
      </c>
      <c r="G105" s="7">
        <v>126.323496704721</v>
      </c>
      <c r="H105" s="7">
        <v>9068.67495879858</v>
      </c>
      <c r="I105" s="7">
        <v>126.0</v>
      </c>
      <c r="J105" s="7">
        <v>126.0</v>
      </c>
      <c r="K105" s="7">
        <v>336.655610943711</v>
      </c>
      <c r="L105" s="7">
        <v>939.0</v>
      </c>
      <c r="M105" s="7">
        <v>-3949.8737452978</v>
      </c>
      <c r="N105" s="7">
        <v>3484.0104932252</v>
      </c>
      <c r="O105" s="7">
        <v>4195.04324321626</v>
      </c>
      <c r="P105" s="58" t="s">
        <v>26</v>
      </c>
      <c r="Q105" s="7">
        <v>7414.58987089154</v>
      </c>
      <c r="R105" s="7">
        <v>109.735875131611</v>
      </c>
      <c r="S105" s="7">
        <v>6464.60506715892</v>
      </c>
      <c r="T105" s="7">
        <v>6464.60506715892</v>
      </c>
      <c r="U105" s="7">
        <v>1467.04551941369</v>
      </c>
      <c r="V105" s="7">
        <v>441.59600094134</v>
      </c>
      <c r="W105" s="7">
        <v>7598.71077242799</v>
      </c>
      <c r="X105" s="7">
        <v>126.322501123547</v>
      </c>
    </row>
    <row r="106">
      <c r="A106" s="15">
        <v>43344.0</v>
      </c>
      <c r="B106" s="9"/>
      <c r="P106" s="59"/>
    </row>
    <row r="107">
      <c r="A107" s="15">
        <v>43374.0</v>
      </c>
      <c r="B107" s="18"/>
      <c r="P107" s="59"/>
    </row>
    <row r="108">
      <c r="A108" s="15">
        <v>43405.0</v>
      </c>
      <c r="B108" s="18"/>
      <c r="P108" s="59"/>
    </row>
    <row r="109">
      <c r="B109" s="18"/>
      <c r="P109" s="59"/>
    </row>
    <row r="110">
      <c r="B110" s="18"/>
      <c r="P110" s="59"/>
    </row>
    <row r="111">
      <c r="B111" s="18"/>
      <c r="P111" s="59"/>
    </row>
    <row r="112">
      <c r="B112" s="18"/>
      <c r="P112" s="59"/>
    </row>
    <row r="113">
      <c r="B113" s="18"/>
      <c r="P113" s="59"/>
    </row>
    <row r="114">
      <c r="B114" s="18"/>
      <c r="P114" s="59"/>
    </row>
    <row r="115">
      <c r="B115" s="18"/>
      <c r="P115" s="59"/>
    </row>
    <row r="116">
      <c r="B116" s="18"/>
      <c r="P116" s="59"/>
    </row>
    <row r="117">
      <c r="B117" s="18"/>
      <c r="P117" s="59"/>
    </row>
    <row r="118">
      <c r="B118" s="18"/>
      <c r="P118" s="59"/>
    </row>
    <row r="119">
      <c r="B119" s="18"/>
      <c r="P119" s="59"/>
    </row>
    <row r="120">
      <c r="B120" s="18"/>
      <c r="P120" s="59"/>
    </row>
    <row r="121">
      <c r="B121" s="18"/>
      <c r="P121" s="59"/>
    </row>
    <row r="122">
      <c r="B122" s="18"/>
      <c r="P122" s="59"/>
    </row>
    <row r="123">
      <c r="B123" s="18"/>
      <c r="P123" s="59"/>
    </row>
    <row r="124">
      <c r="B124" s="18"/>
      <c r="P124" s="59"/>
    </row>
    <row r="125">
      <c r="B125" s="18"/>
      <c r="P125" s="59"/>
    </row>
    <row r="126">
      <c r="B126" s="18"/>
      <c r="P126" s="59"/>
    </row>
    <row r="127">
      <c r="B127" s="18"/>
      <c r="P127" s="59"/>
    </row>
    <row r="128">
      <c r="B128" s="18"/>
      <c r="P128" s="59"/>
    </row>
    <row r="129">
      <c r="B129" s="18"/>
      <c r="P129" s="59"/>
    </row>
    <row r="130">
      <c r="B130" s="18"/>
      <c r="P130" s="59"/>
    </row>
    <row r="131">
      <c r="B131" s="18"/>
      <c r="P131" s="59"/>
    </row>
    <row r="132">
      <c r="B132" s="18"/>
      <c r="P132" s="59"/>
    </row>
    <row r="133">
      <c r="B133" s="18"/>
      <c r="P133" s="59"/>
    </row>
    <row r="134">
      <c r="B134" s="18"/>
      <c r="P134" s="59"/>
    </row>
    <row r="135">
      <c r="B135" s="18"/>
      <c r="P135" s="59"/>
    </row>
    <row r="136">
      <c r="B136" s="18"/>
      <c r="P136" s="59"/>
    </row>
    <row r="137">
      <c r="B137" s="18"/>
      <c r="P137" s="59"/>
    </row>
    <row r="138">
      <c r="B138" s="18"/>
      <c r="P138" s="59"/>
    </row>
    <row r="139">
      <c r="B139" s="18"/>
      <c r="P139" s="59"/>
    </row>
    <row r="140">
      <c r="B140" s="18"/>
      <c r="P140" s="59"/>
    </row>
    <row r="141">
      <c r="B141" s="18"/>
      <c r="P141" s="59"/>
    </row>
    <row r="142">
      <c r="B142" s="18"/>
      <c r="P142" s="59"/>
    </row>
    <row r="143">
      <c r="B143" s="18"/>
      <c r="P143" s="59"/>
    </row>
    <row r="144">
      <c r="B144" s="18"/>
      <c r="P144" s="59"/>
    </row>
    <row r="145">
      <c r="B145" s="18"/>
      <c r="P145" s="59"/>
    </row>
    <row r="146">
      <c r="B146" s="18"/>
      <c r="P146" s="59"/>
    </row>
    <row r="147">
      <c r="B147" s="18"/>
      <c r="P147" s="59"/>
    </row>
    <row r="148">
      <c r="B148" s="18"/>
      <c r="P148" s="59"/>
    </row>
    <row r="149">
      <c r="B149" s="18"/>
      <c r="P149" s="59"/>
    </row>
    <row r="150">
      <c r="B150" s="18"/>
      <c r="P150" s="59"/>
    </row>
    <row r="151">
      <c r="B151" s="18"/>
      <c r="P151" s="59"/>
    </row>
    <row r="152">
      <c r="B152" s="18"/>
      <c r="P152" s="59"/>
    </row>
    <row r="153">
      <c r="B153" s="18"/>
      <c r="P153" s="59"/>
    </row>
    <row r="154">
      <c r="B154" s="18"/>
      <c r="P154" s="59"/>
    </row>
    <row r="155">
      <c r="B155" s="18"/>
      <c r="P155" s="59"/>
    </row>
    <row r="156">
      <c r="B156" s="18"/>
      <c r="P156" s="59"/>
    </row>
    <row r="157">
      <c r="B157" s="18"/>
      <c r="P157" s="59"/>
    </row>
    <row r="158">
      <c r="B158" s="18"/>
      <c r="P158" s="59"/>
    </row>
    <row r="159">
      <c r="B159" s="18"/>
      <c r="P159" s="59"/>
    </row>
    <row r="160">
      <c r="B160" s="18"/>
      <c r="P160" s="59"/>
    </row>
    <row r="161">
      <c r="B161" s="18"/>
      <c r="P161" s="59"/>
    </row>
    <row r="162">
      <c r="B162" s="18"/>
      <c r="P162" s="59"/>
    </row>
    <row r="163">
      <c r="B163" s="18"/>
      <c r="P163" s="59"/>
    </row>
    <row r="164">
      <c r="B164" s="18"/>
      <c r="P164" s="59"/>
    </row>
    <row r="165">
      <c r="B165" s="18"/>
      <c r="P165" s="59"/>
    </row>
    <row r="166">
      <c r="B166" s="18"/>
      <c r="P166" s="59"/>
    </row>
    <row r="167">
      <c r="B167" s="18"/>
      <c r="P167" s="59"/>
    </row>
    <row r="168">
      <c r="B168" s="18"/>
      <c r="P168" s="59"/>
    </row>
    <row r="169">
      <c r="B169" s="18"/>
      <c r="P169" s="59"/>
    </row>
    <row r="170">
      <c r="B170" s="18"/>
      <c r="P170" s="59"/>
    </row>
    <row r="171">
      <c r="B171" s="18"/>
      <c r="P171" s="59"/>
    </row>
    <row r="172">
      <c r="B172" s="18"/>
      <c r="P172" s="59"/>
    </row>
    <row r="173">
      <c r="B173" s="18"/>
      <c r="P173" s="59"/>
    </row>
    <row r="174">
      <c r="B174" s="18"/>
      <c r="P174" s="59"/>
    </row>
    <row r="175">
      <c r="B175" s="18"/>
      <c r="P175" s="59"/>
    </row>
    <row r="176">
      <c r="B176" s="18"/>
      <c r="P176" s="59"/>
    </row>
    <row r="177">
      <c r="B177" s="18"/>
      <c r="P177" s="59"/>
    </row>
    <row r="178">
      <c r="B178" s="18"/>
      <c r="P178" s="59"/>
    </row>
    <row r="179">
      <c r="B179" s="18"/>
      <c r="P179" s="59"/>
    </row>
    <row r="180">
      <c r="B180" s="18"/>
      <c r="P180" s="59"/>
    </row>
    <row r="181">
      <c r="B181" s="18"/>
      <c r="P181" s="59"/>
    </row>
    <row r="182">
      <c r="B182" s="18"/>
      <c r="P182" s="59"/>
    </row>
    <row r="183">
      <c r="B183" s="18"/>
      <c r="P183" s="59"/>
    </row>
    <row r="184">
      <c r="B184" s="18"/>
      <c r="P184" s="59"/>
    </row>
    <row r="185">
      <c r="B185" s="18"/>
      <c r="P185" s="59"/>
    </row>
    <row r="186">
      <c r="B186" s="18"/>
      <c r="P186" s="59"/>
    </row>
    <row r="187">
      <c r="B187" s="18"/>
      <c r="P187" s="59"/>
    </row>
    <row r="188">
      <c r="B188" s="18"/>
      <c r="P188" s="59"/>
    </row>
    <row r="189">
      <c r="B189" s="18"/>
      <c r="P189" s="59"/>
    </row>
    <row r="190">
      <c r="B190" s="18"/>
      <c r="P190" s="59"/>
    </row>
    <row r="191">
      <c r="B191" s="18"/>
      <c r="P191" s="59"/>
    </row>
    <row r="192">
      <c r="B192" s="18"/>
      <c r="P192" s="59"/>
    </row>
    <row r="193">
      <c r="B193" s="18"/>
      <c r="P193" s="59"/>
    </row>
    <row r="194">
      <c r="B194" s="18"/>
      <c r="P194" s="59"/>
    </row>
    <row r="195">
      <c r="B195" s="18"/>
      <c r="P195" s="59"/>
    </row>
    <row r="196">
      <c r="B196" s="18"/>
      <c r="P196" s="59"/>
    </row>
    <row r="197">
      <c r="B197" s="18"/>
      <c r="P197" s="59"/>
    </row>
    <row r="198">
      <c r="B198" s="18"/>
      <c r="P198" s="59"/>
    </row>
    <row r="199">
      <c r="B199" s="18"/>
      <c r="P199" s="59"/>
    </row>
    <row r="200">
      <c r="B200" s="18"/>
      <c r="P200" s="59"/>
    </row>
    <row r="201">
      <c r="B201" s="18"/>
      <c r="P201" s="59"/>
    </row>
    <row r="202">
      <c r="B202" s="18"/>
      <c r="P202" s="59"/>
    </row>
    <row r="203">
      <c r="B203" s="18"/>
      <c r="P203" s="59"/>
    </row>
    <row r="204">
      <c r="B204" s="18"/>
      <c r="P204" s="59"/>
    </row>
    <row r="205">
      <c r="B205" s="18"/>
      <c r="P205" s="59"/>
    </row>
    <row r="206">
      <c r="B206" s="18"/>
      <c r="P206" s="59"/>
    </row>
    <row r="207">
      <c r="B207" s="18"/>
      <c r="P207" s="59"/>
    </row>
    <row r="208">
      <c r="B208" s="18"/>
      <c r="P208" s="59"/>
    </row>
    <row r="209">
      <c r="B209" s="18"/>
      <c r="P209" s="59"/>
    </row>
    <row r="210">
      <c r="B210" s="18"/>
      <c r="P210" s="59"/>
    </row>
    <row r="211">
      <c r="B211" s="18"/>
      <c r="P211" s="59"/>
    </row>
    <row r="212">
      <c r="B212" s="18"/>
      <c r="P212" s="59"/>
    </row>
    <row r="213">
      <c r="B213" s="18"/>
      <c r="P213" s="59"/>
    </row>
    <row r="214">
      <c r="B214" s="18"/>
      <c r="P214" s="59"/>
    </row>
    <row r="215">
      <c r="B215" s="18"/>
      <c r="P215" s="59"/>
    </row>
    <row r="216">
      <c r="B216" s="18"/>
      <c r="P216" s="59"/>
    </row>
    <row r="217">
      <c r="B217" s="18"/>
      <c r="P217" s="59"/>
    </row>
    <row r="218">
      <c r="B218" s="18"/>
      <c r="P218" s="59"/>
    </row>
    <row r="219">
      <c r="B219" s="18"/>
      <c r="P219" s="59"/>
    </row>
    <row r="220">
      <c r="B220" s="18"/>
      <c r="P220" s="59"/>
    </row>
    <row r="221">
      <c r="B221" s="18"/>
      <c r="P221" s="59"/>
    </row>
    <row r="222">
      <c r="B222" s="18"/>
      <c r="P222" s="59"/>
    </row>
    <row r="223">
      <c r="B223" s="18"/>
      <c r="P223" s="59"/>
    </row>
    <row r="224">
      <c r="B224" s="18"/>
      <c r="P224" s="59"/>
    </row>
    <row r="225">
      <c r="B225" s="18"/>
      <c r="P225" s="59"/>
    </row>
    <row r="226">
      <c r="B226" s="18"/>
      <c r="P226" s="59"/>
    </row>
    <row r="227">
      <c r="B227" s="18"/>
      <c r="P227" s="59"/>
    </row>
    <row r="228">
      <c r="B228" s="18"/>
      <c r="P228" s="59"/>
    </row>
    <row r="229">
      <c r="B229" s="18"/>
      <c r="P229" s="59"/>
    </row>
    <row r="230">
      <c r="B230" s="18"/>
      <c r="P230" s="59"/>
    </row>
    <row r="231">
      <c r="B231" s="18"/>
      <c r="P231" s="59"/>
    </row>
    <row r="232">
      <c r="B232" s="18"/>
      <c r="P232" s="59"/>
    </row>
    <row r="233">
      <c r="B233" s="18"/>
      <c r="P233" s="59"/>
    </row>
    <row r="234">
      <c r="B234" s="18"/>
      <c r="P234" s="59"/>
    </row>
    <row r="235">
      <c r="B235" s="18"/>
      <c r="P235" s="59"/>
    </row>
    <row r="236">
      <c r="B236" s="18"/>
      <c r="P236" s="59"/>
    </row>
    <row r="237">
      <c r="B237" s="18"/>
      <c r="P237" s="59"/>
    </row>
    <row r="238">
      <c r="B238" s="18"/>
      <c r="P238" s="59"/>
    </row>
    <row r="239">
      <c r="B239" s="18"/>
      <c r="P239" s="59"/>
    </row>
    <row r="240">
      <c r="B240" s="18"/>
      <c r="P240" s="59"/>
    </row>
    <row r="241">
      <c r="B241" s="18"/>
      <c r="P241" s="59"/>
    </row>
    <row r="242">
      <c r="B242" s="18"/>
      <c r="P242" s="59"/>
    </row>
    <row r="243">
      <c r="B243" s="18"/>
      <c r="P243" s="59"/>
    </row>
    <row r="244">
      <c r="B244" s="18"/>
      <c r="P244" s="59"/>
    </row>
    <row r="245">
      <c r="B245" s="18"/>
      <c r="P245" s="59"/>
    </row>
    <row r="246">
      <c r="B246" s="18"/>
      <c r="P246" s="59"/>
    </row>
    <row r="247">
      <c r="B247" s="18"/>
      <c r="P247" s="59"/>
    </row>
    <row r="248">
      <c r="B248" s="18"/>
      <c r="P248" s="59"/>
    </row>
    <row r="249">
      <c r="B249" s="18"/>
      <c r="P249" s="59"/>
    </row>
    <row r="250">
      <c r="B250" s="18"/>
      <c r="P250" s="59"/>
    </row>
    <row r="251">
      <c r="B251" s="18"/>
      <c r="P251" s="59"/>
    </row>
    <row r="252">
      <c r="B252" s="18"/>
      <c r="P252" s="59"/>
    </row>
    <row r="253">
      <c r="B253" s="18"/>
      <c r="P253" s="59"/>
    </row>
    <row r="254">
      <c r="B254" s="18"/>
      <c r="P254" s="59"/>
    </row>
    <row r="255">
      <c r="B255" s="18"/>
      <c r="P255" s="59"/>
    </row>
    <row r="256">
      <c r="B256" s="18"/>
      <c r="P256" s="59"/>
    </row>
    <row r="257">
      <c r="B257" s="18"/>
      <c r="P257" s="59"/>
    </row>
    <row r="258">
      <c r="B258" s="18"/>
      <c r="P258" s="59"/>
    </row>
    <row r="259">
      <c r="B259" s="18"/>
      <c r="P259" s="59"/>
    </row>
    <row r="260">
      <c r="B260" s="18"/>
      <c r="P260" s="59"/>
    </row>
    <row r="261">
      <c r="B261" s="18"/>
      <c r="P261" s="59"/>
    </row>
    <row r="262">
      <c r="B262" s="18"/>
      <c r="P262" s="59"/>
    </row>
    <row r="263">
      <c r="B263" s="18"/>
      <c r="P263" s="59"/>
    </row>
    <row r="264">
      <c r="B264" s="18"/>
      <c r="P264" s="59"/>
    </row>
    <row r="265">
      <c r="B265" s="18"/>
      <c r="P265" s="59"/>
    </row>
    <row r="266">
      <c r="B266" s="18"/>
      <c r="P266" s="59"/>
    </row>
    <row r="267">
      <c r="B267" s="18"/>
      <c r="P267" s="59"/>
    </row>
    <row r="268">
      <c r="B268" s="18"/>
      <c r="P268" s="59"/>
    </row>
    <row r="269">
      <c r="B269" s="18"/>
      <c r="P269" s="59"/>
    </row>
    <row r="270">
      <c r="B270" s="18"/>
      <c r="P270" s="59"/>
    </row>
    <row r="271">
      <c r="B271" s="18"/>
      <c r="P271" s="59"/>
    </row>
    <row r="272">
      <c r="B272" s="18"/>
      <c r="P272" s="59"/>
    </row>
    <row r="273">
      <c r="B273" s="18"/>
      <c r="P273" s="59"/>
    </row>
    <row r="274">
      <c r="B274" s="18"/>
      <c r="P274" s="59"/>
    </row>
    <row r="275">
      <c r="B275" s="18"/>
      <c r="P275" s="59"/>
    </row>
    <row r="276">
      <c r="B276" s="18"/>
      <c r="P276" s="59"/>
    </row>
    <row r="277">
      <c r="B277" s="18"/>
      <c r="P277" s="59"/>
    </row>
    <row r="278">
      <c r="B278" s="18"/>
      <c r="P278" s="59"/>
    </row>
    <row r="279">
      <c r="B279" s="18"/>
      <c r="P279" s="59"/>
    </row>
    <row r="280">
      <c r="B280" s="18"/>
      <c r="P280" s="59"/>
    </row>
    <row r="281">
      <c r="B281" s="18"/>
      <c r="P281" s="59"/>
    </row>
    <row r="282">
      <c r="B282" s="18"/>
      <c r="P282" s="59"/>
    </row>
    <row r="283">
      <c r="B283" s="18"/>
      <c r="P283" s="59"/>
    </row>
    <row r="284">
      <c r="B284" s="18"/>
      <c r="P284" s="59"/>
    </row>
    <row r="285">
      <c r="B285" s="18"/>
      <c r="P285" s="59"/>
    </row>
    <row r="286">
      <c r="B286" s="18"/>
      <c r="P286" s="59"/>
    </row>
    <row r="287">
      <c r="B287" s="18"/>
      <c r="P287" s="59"/>
    </row>
    <row r="288">
      <c r="B288" s="18"/>
      <c r="P288" s="59"/>
    </row>
    <row r="289">
      <c r="B289" s="18"/>
      <c r="P289" s="59"/>
    </row>
    <row r="290">
      <c r="B290" s="18"/>
      <c r="P290" s="59"/>
    </row>
    <row r="291">
      <c r="B291" s="18"/>
      <c r="P291" s="59"/>
    </row>
    <row r="292">
      <c r="B292" s="18"/>
      <c r="P292" s="59"/>
    </row>
    <row r="293">
      <c r="B293" s="18"/>
      <c r="P293" s="59"/>
    </row>
    <row r="294">
      <c r="B294" s="18"/>
      <c r="P294" s="59"/>
    </row>
    <row r="295">
      <c r="B295" s="18"/>
      <c r="P295" s="59"/>
    </row>
    <row r="296">
      <c r="B296" s="18"/>
      <c r="P296" s="59"/>
    </row>
    <row r="297">
      <c r="B297" s="18"/>
      <c r="P297" s="59"/>
    </row>
    <row r="298">
      <c r="B298" s="18"/>
      <c r="P298" s="59"/>
    </row>
    <row r="299">
      <c r="B299" s="18"/>
      <c r="P299" s="59"/>
    </row>
    <row r="300">
      <c r="B300" s="18"/>
      <c r="P300" s="59"/>
    </row>
    <row r="301">
      <c r="B301" s="18"/>
      <c r="P301" s="59"/>
    </row>
    <row r="302">
      <c r="B302" s="18"/>
      <c r="P302" s="59"/>
    </row>
    <row r="303">
      <c r="B303" s="18"/>
      <c r="P303" s="59"/>
    </row>
    <row r="304">
      <c r="B304" s="18"/>
      <c r="P304" s="59"/>
    </row>
    <row r="305">
      <c r="B305" s="18"/>
      <c r="P305" s="59"/>
    </row>
    <row r="306">
      <c r="B306" s="18"/>
      <c r="P306" s="59"/>
    </row>
    <row r="307">
      <c r="B307" s="18"/>
      <c r="P307" s="59"/>
    </row>
    <row r="308">
      <c r="B308" s="18"/>
      <c r="P308" s="59"/>
    </row>
    <row r="309">
      <c r="B309" s="18"/>
      <c r="P309" s="59"/>
    </row>
    <row r="310">
      <c r="B310" s="18"/>
      <c r="P310" s="59"/>
    </row>
    <row r="311">
      <c r="B311" s="18"/>
      <c r="P311" s="59"/>
    </row>
    <row r="312">
      <c r="B312" s="18"/>
      <c r="P312" s="59"/>
    </row>
    <row r="313">
      <c r="B313" s="18"/>
      <c r="P313" s="59"/>
    </row>
    <row r="314">
      <c r="B314" s="18"/>
      <c r="P314" s="59"/>
    </row>
    <row r="315">
      <c r="B315" s="18"/>
      <c r="P315" s="59"/>
    </row>
    <row r="316">
      <c r="B316" s="18"/>
      <c r="P316" s="59"/>
    </row>
    <row r="317">
      <c r="B317" s="18"/>
      <c r="P317" s="59"/>
    </row>
    <row r="318">
      <c r="B318" s="18"/>
      <c r="P318" s="59"/>
    </row>
    <row r="319">
      <c r="B319" s="18"/>
      <c r="P319" s="59"/>
    </row>
    <row r="320">
      <c r="B320" s="18"/>
      <c r="P320" s="59"/>
    </row>
    <row r="321">
      <c r="B321" s="18"/>
      <c r="P321" s="59"/>
    </row>
    <row r="322">
      <c r="B322" s="18"/>
      <c r="P322" s="59"/>
    </row>
    <row r="323">
      <c r="B323" s="18"/>
      <c r="P323" s="59"/>
    </row>
    <row r="324">
      <c r="B324" s="18"/>
      <c r="P324" s="59"/>
    </row>
    <row r="325">
      <c r="B325" s="18"/>
      <c r="P325" s="59"/>
    </row>
    <row r="326">
      <c r="B326" s="18"/>
      <c r="P326" s="59"/>
    </row>
    <row r="327">
      <c r="B327" s="18"/>
      <c r="P327" s="59"/>
    </row>
    <row r="328">
      <c r="B328" s="18"/>
      <c r="P328" s="59"/>
    </row>
    <row r="329">
      <c r="B329" s="18"/>
      <c r="P329" s="59"/>
    </row>
    <row r="330">
      <c r="B330" s="18"/>
      <c r="P330" s="59"/>
    </row>
    <row r="331">
      <c r="B331" s="18"/>
      <c r="P331" s="59"/>
    </row>
    <row r="332">
      <c r="B332" s="18"/>
      <c r="P332" s="59"/>
    </row>
    <row r="333">
      <c r="B333" s="18"/>
      <c r="P333" s="59"/>
    </row>
    <row r="334">
      <c r="B334" s="18"/>
      <c r="P334" s="59"/>
    </row>
    <row r="335">
      <c r="B335" s="18"/>
      <c r="P335" s="59"/>
    </row>
    <row r="336">
      <c r="B336" s="18"/>
      <c r="P336" s="59"/>
    </row>
    <row r="337">
      <c r="B337" s="18"/>
      <c r="P337" s="59"/>
    </row>
    <row r="338">
      <c r="B338" s="18"/>
      <c r="P338" s="59"/>
    </row>
    <row r="339">
      <c r="B339" s="18"/>
      <c r="P339" s="59"/>
    </row>
    <row r="340">
      <c r="B340" s="18"/>
      <c r="P340" s="59"/>
    </row>
    <row r="341">
      <c r="B341" s="18"/>
      <c r="P341" s="59"/>
    </row>
    <row r="342">
      <c r="B342" s="18"/>
      <c r="P342" s="59"/>
    </row>
    <row r="343">
      <c r="B343" s="18"/>
      <c r="P343" s="59"/>
    </row>
    <row r="344">
      <c r="B344" s="18"/>
      <c r="P344" s="59"/>
    </row>
    <row r="345">
      <c r="B345" s="18"/>
      <c r="P345" s="59"/>
    </row>
    <row r="346">
      <c r="B346" s="18"/>
      <c r="P346" s="59"/>
    </row>
    <row r="347">
      <c r="B347" s="18"/>
      <c r="P347" s="59"/>
    </row>
    <row r="348">
      <c r="B348" s="18"/>
      <c r="P348" s="59"/>
    </row>
    <row r="349">
      <c r="B349" s="18"/>
      <c r="P349" s="59"/>
    </row>
    <row r="350">
      <c r="B350" s="18"/>
      <c r="P350" s="59"/>
    </row>
    <row r="351">
      <c r="B351" s="18"/>
      <c r="P351" s="59"/>
    </row>
    <row r="352">
      <c r="B352" s="18"/>
      <c r="P352" s="59"/>
    </row>
    <row r="353">
      <c r="B353" s="18"/>
      <c r="P353" s="59"/>
    </row>
    <row r="354">
      <c r="B354" s="18"/>
      <c r="P354" s="59"/>
    </row>
    <row r="355">
      <c r="B355" s="18"/>
      <c r="P355" s="59"/>
    </row>
    <row r="356">
      <c r="B356" s="18"/>
      <c r="P356" s="59"/>
    </row>
    <row r="357">
      <c r="B357" s="18"/>
      <c r="P357" s="59"/>
    </row>
    <row r="358">
      <c r="B358" s="18"/>
      <c r="P358" s="59"/>
    </row>
    <row r="359">
      <c r="B359" s="18"/>
      <c r="P359" s="59"/>
    </row>
    <row r="360">
      <c r="B360" s="18"/>
      <c r="P360" s="59"/>
    </row>
    <row r="361">
      <c r="B361" s="18"/>
      <c r="P361" s="59"/>
    </row>
    <row r="362">
      <c r="B362" s="18"/>
      <c r="P362" s="59"/>
    </row>
    <row r="363">
      <c r="B363" s="18"/>
      <c r="P363" s="59"/>
    </row>
    <row r="364">
      <c r="B364" s="18"/>
      <c r="P364" s="59"/>
    </row>
    <row r="365">
      <c r="B365" s="18"/>
      <c r="P365" s="59"/>
    </row>
    <row r="366">
      <c r="B366" s="18"/>
      <c r="P366" s="59"/>
    </row>
    <row r="367">
      <c r="B367" s="18"/>
      <c r="P367" s="59"/>
    </row>
    <row r="368">
      <c r="B368" s="18"/>
      <c r="P368" s="59"/>
    </row>
    <row r="369">
      <c r="B369" s="18"/>
      <c r="P369" s="59"/>
    </row>
    <row r="370">
      <c r="B370" s="18"/>
      <c r="P370" s="59"/>
    </row>
    <row r="371">
      <c r="B371" s="18"/>
      <c r="P371" s="59"/>
    </row>
    <row r="372">
      <c r="B372" s="18"/>
      <c r="P372" s="59"/>
    </row>
    <row r="373">
      <c r="B373" s="18"/>
      <c r="P373" s="59"/>
    </row>
    <row r="374">
      <c r="B374" s="18"/>
      <c r="P374" s="59"/>
    </row>
    <row r="375">
      <c r="B375" s="18"/>
      <c r="P375" s="59"/>
    </row>
    <row r="376">
      <c r="B376" s="18"/>
      <c r="P376" s="59"/>
    </row>
    <row r="377">
      <c r="B377" s="18"/>
      <c r="P377" s="59"/>
    </row>
    <row r="378">
      <c r="B378" s="18"/>
      <c r="P378" s="59"/>
    </row>
    <row r="379">
      <c r="B379" s="18"/>
      <c r="P379" s="59"/>
    </row>
    <row r="380">
      <c r="B380" s="18"/>
      <c r="P380" s="59"/>
    </row>
    <row r="381">
      <c r="B381" s="18"/>
      <c r="P381" s="59"/>
    </row>
    <row r="382">
      <c r="B382" s="18"/>
      <c r="P382" s="59"/>
    </row>
    <row r="383">
      <c r="B383" s="18"/>
      <c r="P383" s="59"/>
    </row>
    <row r="384">
      <c r="B384" s="18"/>
      <c r="P384" s="59"/>
    </row>
    <row r="385">
      <c r="B385" s="18"/>
      <c r="P385" s="59"/>
    </row>
    <row r="386">
      <c r="B386" s="18"/>
      <c r="P386" s="59"/>
    </row>
    <row r="387">
      <c r="B387" s="18"/>
      <c r="P387" s="59"/>
    </row>
    <row r="388">
      <c r="B388" s="18"/>
      <c r="P388" s="59"/>
    </row>
    <row r="389">
      <c r="B389" s="18"/>
      <c r="P389" s="59"/>
    </row>
    <row r="390">
      <c r="B390" s="18"/>
      <c r="P390" s="59"/>
    </row>
    <row r="391">
      <c r="B391" s="18"/>
      <c r="P391" s="59"/>
    </row>
    <row r="392">
      <c r="B392" s="18"/>
      <c r="P392" s="59"/>
    </row>
    <row r="393">
      <c r="B393" s="18"/>
      <c r="P393" s="59"/>
    </row>
    <row r="394">
      <c r="B394" s="18"/>
      <c r="P394" s="59"/>
    </row>
    <row r="395">
      <c r="B395" s="18"/>
      <c r="P395" s="59"/>
    </row>
    <row r="396">
      <c r="B396" s="18"/>
      <c r="P396" s="59"/>
    </row>
    <row r="397">
      <c r="B397" s="18"/>
      <c r="P397" s="59"/>
    </row>
    <row r="398">
      <c r="B398" s="18"/>
      <c r="P398" s="59"/>
    </row>
    <row r="399">
      <c r="B399" s="18"/>
      <c r="P399" s="59"/>
    </row>
    <row r="400">
      <c r="B400" s="18"/>
      <c r="P400" s="59"/>
    </row>
    <row r="401">
      <c r="B401" s="18"/>
      <c r="P401" s="59"/>
    </row>
    <row r="402">
      <c r="B402" s="18"/>
      <c r="P402" s="59"/>
    </row>
    <row r="403">
      <c r="B403" s="18"/>
      <c r="P403" s="59"/>
    </row>
    <row r="404">
      <c r="B404" s="18"/>
      <c r="P404" s="59"/>
    </row>
    <row r="405">
      <c r="B405" s="18"/>
      <c r="P405" s="59"/>
    </row>
    <row r="406">
      <c r="B406" s="18"/>
      <c r="P406" s="59"/>
    </row>
    <row r="407">
      <c r="B407" s="18"/>
      <c r="P407" s="59"/>
    </row>
    <row r="408">
      <c r="B408" s="18"/>
      <c r="P408" s="59"/>
    </row>
    <row r="409">
      <c r="B409" s="18"/>
      <c r="P409" s="59"/>
    </row>
    <row r="410">
      <c r="B410" s="18"/>
      <c r="P410" s="59"/>
    </row>
    <row r="411">
      <c r="B411" s="18"/>
      <c r="P411" s="59"/>
    </row>
    <row r="412">
      <c r="B412" s="18"/>
      <c r="P412" s="59"/>
    </row>
    <row r="413">
      <c r="B413" s="18"/>
      <c r="P413" s="59"/>
    </row>
    <row r="414">
      <c r="B414" s="18"/>
      <c r="P414" s="59"/>
    </row>
    <row r="415">
      <c r="B415" s="18"/>
      <c r="P415" s="59"/>
    </row>
    <row r="416">
      <c r="B416" s="18"/>
      <c r="P416" s="59"/>
    </row>
    <row r="417">
      <c r="B417" s="18"/>
      <c r="P417" s="59"/>
    </row>
    <row r="418">
      <c r="B418" s="18"/>
      <c r="P418" s="59"/>
    </row>
    <row r="419">
      <c r="B419" s="18"/>
      <c r="P419" s="59"/>
    </row>
    <row r="420">
      <c r="B420" s="18"/>
      <c r="P420" s="59"/>
    </row>
    <row r="421">
      <c r="B421" s="18"/>
      <c r="P421" s="59"/>
    </row>
    <row r="422">
      <c r="B422" s="18"/>
      <c r="P422" s="59"/>
    </row>
    <row r="423">
      <c r="B423" s="18"/>
      <c r="P423" s="59"/>
    </row>
    <row r="424">
      <c r="B424" s="18"/>
      <c r="P424" s="59"/>
    </row>
    <row r="425">
      <c r="B425" s="18"/>
      <c r="P425" s="59"/>
    </row>
    <row r="426">
      <c r="B426" s="18"/>
      <c r="P426" s="59"/>
    </row>
    <row r="427">
      <c r="B427" s="18"/>
      <c r="P427" s="59"/>
    </row>
    <row r="428">
      <c r="B428" s="18"/>
      <c r="P428" s="59"/>
    </row>
    <row r="429">
      <c r="B429" s="18"/>
      <c r="P429" s="59"/>
    </row>
    <row r="430">
      <c r="B430" s="18"/>
      <c r="P430" s="59"/>
    </row>
    <row r="431">
      <c r="B431" s="18"/>
      <c r="P431" s="59"/>
    </row>
    <row r="432">
      <c r="B432" s="18"/>
      <c r="P432" s="59"/>
    </row>
    <row r="433">
      <c r="B433" s="18"/>
      <c r="P433" s="59"/>
    </row>
    <row r="434">
      <c r="B434" s="18"/>
      <c r="P434" s="59"/>
    </row>
    <row r="435">
      <c r="B435" s="18"/>
      <c r="P435" s="59"/>
    </row>
    <row r="436">
      <c r="B436" s="18"/>
      <c r="P436" s="59"/>
    </row>
    <row r="437">
      <c r="B437" s="18"/>
      <c r="P437" s="59"/>
    </row>
    <row r="438">
      <c r="B438" s="18"/>
      <c r="P438" s="59"/>
    </row>
    <row r="439">
      <c r="B439" s="18"/>
      <c r="P439" s="59"/>
    </row>
    <row r="440">
      <c r="B440" s="18"/>
      <c r="P440" s="59"/>
    </row>
    <row r="441">
      <c r="B441" s="18"/>
      <c r="P441" s="59"/>
    </row>
    <row r="442">
      <c r="B442" s="18"/>
      <c r="P442" s="59"/>
    </row>
    <row r="443">
      <c r="B443" s="18"/>
      <c r="P443" s="59"/>
    </row>
    <row r="444">
      <c r="B444" s="18"/>
      <c r="P444" s="59"/>
    </row>
    <row r="445">
      <c r="B445" s="18"/>
      <c r="P445" s="59"/>
    </row>
    <row r="446">
      <c r="B446" s="18"/>
      <c r="P446" s="59"/>
    </row>
    <row r="447">
      <c r="B447" s="18"/>
      <c r="P447" s="59"/>
    </row>
    <row r="448">
      <c r="B448" s="18"/>
      <c r="P448" s="59"/>
    </row>
    <row r="449">
      <c r="B449" s="18"/>
      <c r="P449" s="59"/>
    </row>
    <row r="450">
      <c r="B450" s="18"/>
      <c r="P450" s="59"/>
    </row>
    <row r="451">
      <c r="B451" s="18"/>
      <c r="P451" s="59"/>
    </row>
    <row r="452">
      <c r="B452" s="18"/>
      <c r="P452" s="59"/>
    </row>
    <row r="453">
      <c r="B453" s="18"/>
      <c r="P453" s="59"/>
    </row>
    <row r="454">
      <c r="B454" s="18"/>
      <c r="P454" s="59"/>
    </row>
    <row r="455">
      <c r="B455" s="18"/>
      <c r="P455" s="59"/>
    </row>
    <row r="456">
      <c r="B456" s="18"/>
      <c r="P456" s="59"/>
    </row>
    <row r="457">
      <c r="B457" s="18"/>
      <c r="P457" s="59"/>
    </row>
    <row r="458">
      <c r="B458" s="18"/>
      <c r="P458" s="59"/>
    </row>
    <row r="459">
      <c r="B459" s="18"/>
      <c r="P459" s="59"/>
    </row>
    <row r="460">
      <c r="B460" s="18"/>
      <c r="P460" s="59"/>
    </row>
    <row r="461">
      <c r="B461" s="18"/>
      <c r="P461" s="59"/>
    </row>
    <row r="462">
      <c r="B462" s="18"/>
      <c r="P462" s="59"/>
    </row>
    <row r="463">
      <c r="B463" s="18"/>
      <c r="P463" s="59"/>
    </row>
    <row r="464">
      <c r="B464" s="18"/>
      <c r="P464" s="59"/>
    </row>
    <row r="465">
      <c r="B465" s="18"/>
      <c r="P465" s="59"/>
    </row>
    <row r="466">
      <c r="B466" s="18"/>
      <c r="P466" s="59"/>
    </row>
    <row r="467">
      <c r="B467" s="18"/>
      <c r="P467" s="59"/>
    </row>
    <row r="468">
      <c r="B468" s="18"/>
      <c r="P468" s="59"/>
    </row>
    <row r="469">
      <c r="B469" s="18"/>
      <c r="P469" s="59"/>
    </row>
    <row r="470">
      <c r="B470" s="18"/>
      <c r="P470" s="59"/>
    </row>
    <row r="471">
      <c r="B471" s="18"/>
      <c r="P471" s="59"/>
    </row>
    <row r="472">
      <c r="B472" s="18"/>
      <c r="P472" s="59"/>
    </row>
    <row r="473">
      <c r="B473" s="18"/>
      <c r="P473" s="59"/>
    </row>
    <row r="474">
      <c r="B474" s="18"/>
      <c r="P474" s="59"/>
    </row>
    <row r="475">
      <c r="B475" s="18"/>
      <c r="P475" s="59"/>
    </row>
    <row r="476">
      <c r="B476" s="18"/>
      <c r="P476" s="59"/>
    </row>
    <row r="477">
      <c r="B477" s="18"/>
      <c r="P477" s="59"/>
    </row>
    <row r="478">
      <c r="B478" s="18"/>
      <c r="P478" s="59"/>
    </row>
    <row r="479">
      <c r="B479" s="18"/>
      <c r="P479" s="59"/>
    </row>
    <row r="480">
      <c r="B480" s="18"/>
      <c r="P480" s="59"/>
    </row>
    <row r="481">
      <c r="B481" s="18"/>
      <c r="P481" s="59"/>
    </row>
    <row r="482">
      <c r="B482" s="18"/>
      <c r="P482" s="59"/>
    </row>
    <row r="483">
      <c r="B483" s="18"/>
      <c r="P483" s="59"/>
    </row>
    <row r="484">
      <c r="B484" s="18"/>
      <c r="P484" s="59"/>
    </row>
    <row r="485">
      <c r="B485" s="18"/>
      <c r="P485" s="59"/>
    </row>
    <row r="486">
      <c r="B486" s="18"/>
      <c r="P486" s="59"/>
    </row>
    <row r="487">
      <c r="B487" s="18"/>
      <c r="P487" s="59"/>
    </row>
    <row r="488">
      <c r="B488" s="18"/>
      <c r="P488" s="59"/>
    </row>
    <row r="489">
      <c r="B489" s="18"/>
      <c r="P489" s="59"/>
    </row>
    <row r="490">
      <c r="B490" s="18"/>
      <c r="P490" s="59"/>
    </row>
    <row r="491">
      <c r="B491" s="18"/>
      <c r="P491" s="59"/>
    </row>
    <row r="492">
      <c r="B492" s="18"/>
      <c r="P492" s="59"/>
    </row>
    <row r="493">
      <c r="B493" s="18"/>
      <c r="P493" s="59"/>
    </row>
    <row r="494">
      <c r="B494" s="18"/>
      <c r="P494" s="59"/>
    </row>
    <row r="495">
      <c r="B495" s="18"/>
      <c r="P495" s="59"/>
    </row>
    <row r="496">
      <c r="B496" s="18"/>
      <c r="P496" s="59"/>
    </row>
    <row r="497">
      <c r="B497" s="18"/>
      <c r="P497" s="59"/>
    </row>
    <row r="498">
      <c r="B498" s="18"/>
      <c r="P498" s="59"/>
    </row>
    <row r="499">
      <c r="B499" s="18"/>
      <c r="P499" s="59"/>
    </row>
    <row r="500">
      <c r="B500" s="18"/>
      <c r="P500" s="59"/>
    </row>
    <row r="501">
      <c r="B501" s="18"/>
      <c r="P501" s="59"/>
    </row>
    <row r="502">
      <c r="B502" s="18"/>
      <c r="P502" s="59"/>
    </row>
    <row r="503">
      <c r="B503" s="18"/>
      <c r="P503" s="59"/>
    </row>
    <row r="504">
      <c r="B504" s="18"/>
      <c r="P504" s="59"/>
    </row>
    <row r="505">
      <c r="B505" s="18"/>
      <c r="P505" s="59"/>
    </row>
    <row r="506">
      <c r="B506" s="18"/>
      <c r="P506" s="59"/>
    </row>
    <row r="507">
      <c r="B507" s="18"/>
      <c r="P507" s="59"/>
    </row>
    <row r="508">
      <c r="B508" s="18"/>
      <c r="P508" s="59"/>
    </row>
    <row r="509">
      <c r="B509" s="18"/>
      <c r="P509" s="59"/>
    </row>
    <row r="510">
      <c r="B510" s="18"/>
      <c r="P510" s="59"/>
    </row>
    <row r="511">
      <c r="B511" s="18"/>
      <c r="P511" s="59"/>
    </row>
    <row r="512">
      <c r="B512" s="18"/>
      <c r="P512" s="59"/>
    </row>
    <row r="513">
      <c r="B513" s="18"/>
      <c r="P513" s="59"/>
    </row>
    <row r="514">
      <c r="B514" s="18"/>
      <c r="P514" s="59"/>
    </row>
    <row r="515">
      <c r="B515" s="18"/>
      <c r="P515" s="59"/>
    </row>
    <row r="516">
      <c r="B516" s="18"/>
      <c r="P516" s="59"/>
    </row>
    <row r="517">
      <c r="B517" s="18"/>
      <c r="P517" s="59"/>
    </row>
    <row r="518">
      <c r="B518" s="18"/>
      <c r="P518" s="59"/>
    </row>
    <row r="519">
      <c r="B519" s="18"/>
      <c r="P519" s="59"/>
    </row>
    <row r="520">
      <c r="B520" s="18"/>
      <c r="P520" s="59"/>
    </row>
    <row r="521">
      <c r="B521" s="18"/>
      <c r="P521" s="59"/>
    </row>
    <row r="522">
      <c r="B522" s="18"/>
      <c r="P522" s="59"/>
    </row>
    <row r="523">
      <c r="B523" s="18"/>
      <c r="P523" s="59"/>
    </row>
    <row r="524">
      <c r="B524" s="18"/>
      <c r="P524" s="59"/>
    </row>
    <row r="525">
      <c r="B525" s="18"/>
      <c r="P525" s="59"/>
    </row>
    <row r="526">
      <c r="B526" s="18"/>
      <c r="P526" s="59"/>
    </row>
    <row r="527">
      <c r="B527" s="18"/>
      <c r="P527" s="59"/>
    </row>
    <row r="528">
      <c r="B528" s="18"/>
      <c r="P528" s="59"/>
    </row>
    <row r="529">
      <c r="B529" s="18"/>
      <c r="P529" s="59"/>
    </row>
    <row r="530">
      <c r="B530" s="18"/>
      <c r="P530" s="59"/>
    </row>
    <row r="531">
      <c r="B531" s="18"/>
      <c r="P531" s="59"/>
    </row>
    <row r="532">
      <c r="B532" s="18"/>
      <c r="P532" s="59"/>
    </row>
    <row r="533">
      <c r="B533" s="18"/>
      <c r="P533" s="59"/>
    </row>
    <row r="534">
      <c r="B534" s="18"/>
      <c r="P534" s="59"/>
    </row>
    <row r="535">
      <c r="B535" s="18"/>
      <c r="P535" s="59"/>
    </row>
    <row r="536">
      <c r="B536" s="18"/>
      <c r="P536" s="59"/>
    </row>
    <row r="537">
      <c r="B537" s="18"/>
      <c r="P537" s="59"/>
    </row>
    <row r="538">
      <c r="B538" s="18"/>
      <c r="P538" s="59"/>
    </row>
    <row r="539">
      <c r="B539" s="18"/>
      <c r="P539" s="59"/>
    </row>
    <row r="540">
      <c r="B540" s="18"/>
      <c r="P540" s="59"/>
    </row>
    <row r="541">
      <c r="B541" s="18"/>
      <c r="P541" s="59"/>
    </row>
    <row r="542">
      <c r="B542" s="18"/>
      <c r="P542" s="59"/>
    </row>
    <row r="543">
      <c r="B543" s="18"/>
      <c r="P543" s="59"/>
    </row>
    <row r="544">
      <c r="B544" s="18"/>
      <c r="P544" s="59"/>
    </row>
    <row r="545">
      <c r="B545" s="18"/>
      <c r="P545" s="59"/>
    </row>
    <row r="546">
      <c r="B546" s="18"/>
      <c r="P546" s="59"/>
    </row>
    <row r="547">
      <c r="B547" s="18"/>
      <c r="P547" s="59"/>
    </row>
    <row r="548">
      <c r="B548" s="18"/>
      <c r="P548" s="59"/>
    </row>
    <row r="549">
      <c r="B549" s="18"/>
      <c r="P549" s="59"/>
    </row>
    <row r="550">
      <c r="B550" s="18"/>
      <c r="P550" s="59"/>
    </row>
    <row r="551">
      <c r="B551" s="18"/>
      <c r="P551" s="59"/>
    </row>
    <row r="552">
      <c r="B552" s="18"/>
      <c r="P552" s="59"/>
    </row>
    <row r="553">
      <c r="B553" s="18"/>
      <c r="P553" s="59"/>
    </row>
    <row r="554">
      <c r="B554" s="18"/>
      <c r="P554" s="59"/>
    </row>
    <row r="555">
      <c r="B555" s="18"/>
      <c r="P555" s="59"/>
    </row>
    <row r="556">
      <c r="B556" s="18"/>
      <c r="P556" s="59"/>
    </row>
    <row r="557">
      <c r="B557" s="18"/>
      <c r="P557" s="59"/>
    </row>
    <row r="558">
      <c r="B558" s="18"/>
      <c r="P558" s="59"/>
    </row>
    <row r="559">
      <c r="B559" s="18"/>
      <c r="P559" s="59"/>
    </row>
    <row r="560">
      <c r="B560" s="18"/>
      <c r="P560" s="59"/>
    </row>
    <row r="561">
      <c r="B561" s="18"/>
      <c r="P561" s="59"/>
    </row>
    <row r="562">
      <c r="B562" s="18"/>
      <c r="P562" s="59"/>
    </row>
    <row r="563">
      <c r="B563" s="18"/>
      <c r="P563" s="59"/>
    </row>
    <row r="564">
      <c r="B564" s="18"/>
      <c r="P564" s="59"/>
    </row>
    <row r="565">
      <c r="B565" s="18"/>
      <c r="P565" s="59"/>
    </row>
    <row r="566">
      <c r="B566" s="18"/>
      <c r="P566" s="59"/>
    </row>
    <row r="567">
      <c r="B567" s="18"/>
      <c r="P567" s="59"/>
    </row>
    <row r="568">
      <c r="B568" s="18"/>
      <c r="P568" s="59"/>
    </row>
    <row r="569">
      <c r="B569" s="18"/>
      <c r="P569" s="59"/>
    </row>
    <row r="570">
      <c r="B570" s="18"/>
      <c r="P570" s="59"/>
    </row>
    <row r="571">
      <c r="B571" s="18"/>
      <c r="P571" s="59"/>
    </row>
    <row r="572">
      <c r="B572" s="18"/>
      <c r="P572" s="59"/>
    </row>
    <row r="573">
      <c r="B573" s="18"/>
      <c r="P573" s="59"/>
    </row>
    <row r="574">
      <c r="B574" s="18"/>
      <c r="P574" s="59"/>
    </row>
    <row r="575">
      <c r="B575" s="18"/>
      <c r="P575" s="59"/>
    </row>
    <row r="576">
      <c r="B576" s="18"/>
      <c r="P576" s="59"/>
    </row>
    <row r="577">
      <c r="B577" s="18"/>
      <c r="P577" s="59"/>
    </row>
    <row r="578">
      <c r="B578" s="18"/>
      <c r="P578" s="59"/>
    </row>
    <row r="579">
      <c r="B579" s="18"/>
      <c r="P579" s="59"/>
    </row>
    <row r="580">
      <c r="B580" s="18"/>
      <c r="P580" s="59"/>
    </row>
    <row r="581">
      <c r="B581" s="18"/>
      <c r="P581" s="59"/>
    </row>
    <row r="582">
      <c r="B582" s="18"/>
      <c r="P582" s="59"/>
    </row>
    <row r="583">
      <c r="B583" s="18"/>
      <c r="P583" s="59"/>
    </row>
    <row r="584">
      <c r="B584" s="18"/>
      <c r="P584" s="59"/>
    </row>
    <row r="585">
      <c r="B585" s="18"/>
      <c r="P585" s="59"/>
    </row>
    <row r="586">
      <c r="B586" s="18"/>
      <c r="P586" s="59"/>
    </row>
    <row r="587">
      <c r="B587" s="18"/>
      <c r="P587" s="59"/>
    </row>
    <row r="588">
      <c r="B588" s="18"/>
      <c r="P588" s="59"/>
    </row>
    <row r="589">
      <c r="B589" s="18"/>
      <c r="P589" s="59"/>
    </row>
    <row r="590">
      <c r="B590" s="18"/>
      <c r="P590" s="59"/>
    </row>
    <row r="591">
      <c r="B591" s="18"/>
      <c r="P591" s="59"/>
    </row>
    <row r="592">
      <c r="B592" s="18"/>
      <c r="P592" s="59"/>
    </row>
    <row r="593">
      <c r="B593" s="18"/>
      <c r="P593" s="59"/>
    </row>
    <row r="594">
      <c r="B594" s="18"/>
      <c r="P594" s="59"/>
    </row>
    <row r="595">
      <c r="B595" s="18"/>
      <c r="P595" s="59"/>
    </row>
    <row r="596">
      <c r="B596" s="18"/>
      <c r="P596" s="59"/>
    </row>
    <row r="597">
      <c r="B597" s="18"/>
      <c r="P597" s="59"/>
    </row>
    <row r="598">
      <c r="B598" s="18"/>
      <c r="P598" s="59"/>
    </row>
    <row r="599">
      <c r="B599" s="18"/>
      <c r="P599" s="59"/>
    </row>
    <row r="600">
      <c r="B600" s="18"/>
      <c r="P600" s="59"/>
    </row>
    <row r="601">
      <c r="B601" s="18"/>
      <c r="P601" s="59"/>
    </row>
    <row r="602">
      <c r="B602" s="18"/>
      <c r="P602" s="59"/>
    </row>
    <row r="603">
      <c r="B603" s="18"/>
      <c r="P603" s="59"/>
    </row>
    <row r="604">
      <c r="B604" s="18"/>
      <c r="P604" s="59"/>
    </row>
    <row r="605">
      <c r="B605" s="18"/>
      <c r="P605" s="59"/>
    </row>
    <row r="606">
      <c r="B606" s="18"/>
      <c r="P606" s="59"/>
    </row>
    <row r="607">
      <c r="B607" s="18"/>
      <c r="P607" s="59"/>
    </row>
    <row r="608">
      <c r="B608" s="18"/>
      <c r="P608" s="59"/>
    </row>
    <row r="609">
      <c r="B609" s="18"/>
      <c r="P609" s="59"/>
    </row>
    <row r="610">
      <c r="B610" s="18"/>
      <c r="P610" s="59"/>
    </row>
    <row r="611">
      <c r="B611" s="18"/>
      <c r="P611" s="59"/>
    </row>
    <row r="612">
      <c r="B612" s="18"/>
      <c r="P612" s="59"/>
    </row>
    <row r="613">
      <c r="B613" s="18"/>
      <c r="P613" s="59"/>
    </row>
    <row r="614">
      <c r="B614" s="18"/>
      <c r="P614" s="59"/>
    </row>
    <row r="615">
      <c r="B615" s="18"/>
      <c r="P615" s="59"/>
    </row>
    <row r="616">
      <c r="B616" s="18"/>
      <c r="P616" s="59"/>
    </row>
    <row r="617">
      <c r="B617" s="18"/>
      <c r="P617" s="59"/>
    </row>
    <row r="618">
      <c r="B618" s="18"/>
      <c r="P618" s="59"/>
    </row>
    <row r="619">
      <c r="B619" s="18"/>
      <c r="P619" s="59"/>
    </row>
    <row r="620">
      <c r="B620" s="18"/>
      <c r="P620" s="59"/>
    </row>
    <row r="621">
      <c r="B621" s="18"/>
      <c r="P621" s="59"/>
    </row>
    <row r="622">
      <c r="B622" s="18"/>
      <c r="P622" s="59"/>
    </row>
    <row r="623">
      <c r="B623" s="18"/>
      <c r="P623" s="59"/>
    </row>
    <row r="624">
      <c r="B624" s="18"/>
      <c r="P624" s="59"/>
    </row>
    <row r="625">
      <c r="B625" s="18"/>
      <c r="P625" s="59"/>
    </row>
    <row r="626">
      <c r="B626" s="18"/>
      <c r="P626" s="59"/>
    </row>
    <row r="627">
      <c r="B627" s="18"/>
      <c r="P627" s="59"/>
    </row>
    <row r="628">
      <c r="B628" s="18"/>
      <c r="P628" s="59"/>
    </row>
    <row r="629">
      <c r="B629" s="18"/>
      <c r="P629" s="59"/>
    </row>
    <row r="630">
      <c r="B630" s="18"/>
      <c r="P630" s="59"/>
    </row>
    <row r="631">
      <c r="B631" s="18"/>
      <c r="P631" s="59"/>
    </row>
    <row r="632">
      <c r="B632" s="18"/>
      <c r="P632" s="59"/>
    </row>
    <row r="633">
      <c r="B633" s="18"/>
      <c r="P633" s="59"/>
    </row>
    <row r="634">
      <c r="B634" s="18"/>
      <c r="P634" s="59"/>
    </row>
    <row r="635">
      <c r="B635" s="18"/>
      <c r="P635" s="59"/>
    </row>
    <row r="636">
      <c r="B636" s="18"/>
      <c r="P636" s="59"/>
    </row>
    <row r="637">
      <c r="B637" s="18"/>
      <c r="P637" s="59"/>
    </row>
    <row r="638">
      <c r="B638" s="18"/>
      <c r="P638" s="59"/>
    </row>
    <row r="639">
      <c r="B639" s="18"/>
      <c r="P639" s="59"/>
    </row>
    <row r="640">
      <c r="B640" s="18"/>
      <c r="P640" s="59"/>
    </row>
    <row r="641">
      <c r="B641" s="18"/>
      <c r="P641" s="59"/>
    </row>
    <row r="642">
      <c r="B642" s="18"/>
      <c r="P642" s="59"/>
    </row>
    <row r="643">
      <c r="B643" s="18"/>
      <c r="P643" s="59"/>
    </row>
    <row r="644">
      <c r="B644" s="18"/>
      <c r="P644" s="59"/>
    </row>
    <row r="645">
      <c r="B645" s="18"/>
      <c r="P645" s="59"/>
    </row>
    <row r="646">
      <c r="B646" s="18"/>
      <c r="P646" s="59"/>
    </row>
    <row r="647">
      <c r="B647" s="18"/>
      <c r="P647" s="59"/>
    </row>
    <row r="648">
      <c r="B648" s="18"/>
      <c r="P648" s="59"/>
    </row>
    <row r="649">
      <c r="B649" s="18"/>
      <c r="P649" s="59"/>
    </row>
    <row r="650">
      <c r="B650" s="18"/>
      <c r="P650" s="59"/>
    </row>
    <row r="651">
      <c r="B651" s="18"/>
      <c r="P651" s="59"/>
    </row>
    <row r="652">
      <c r="B652" s="18"/>
      <c r="P652" s="59"/>
    </row>
    <row r="653">
      <c r="B653" s="18"/>
      <c r="P653" s="59"/>
    </row>
    <row r="654">
      <c r="B654" s="18"/>
      <c r="P654" s="59"/>
    </row>
    <row r="655">
      <c r="B655" s="18"/>
      <c r="P655" s="59"/>
    </row>
    <row r="656">
      <c r="B656" s="18"/>
      <c r="P656" s="59"/>
    </row>
    <row r="657">
      <c r="B657" s="18"/>
      <c r="P657" s="59"/>
    </row>
    <row r="658">
      <c r="B658" s="18"/>
      <c r="P658" s="59"/>
    </row>
    <row r="659">
      <c r="B659" s="18"/>
      <c r="P659" s="59"/>
    </row>
    <row r="660">
      <c r="B660" s="18"/>
      <c r="P660" s="59"/>
    </row>
    <row r="661">
      <c r="B661" s="18"/>
      <c r="P661" s="59"/>
    </row>
    <row r="662">
      <c r="B662" s="18"/>
      <c r="P662" s="59"/>
    </row>
    <row r="663">
      <c r="B663" s="18"/>
      <c r="P663" s="59"/>
    </row>
    <row r="664">
      <c r="B664" s="18"/>
      <c r="P664" s="59"/>
    </row>
    <row r="665">
      <c r="B665" s="18"/>
      <c r="P665" s="59"/>
    </row>
    <row r="666">
      <c r="B666" s="18"/>
      <c r="P666" s="59"/>
    </row>
    <row r="667">
      <c r="B667" s="18"/>
      <c r="P667" s="59"/>
    </row>
    <row r="668">
      <c r="B668" s="18"/>
      <c r="P668" s="59"/>
    </row>
    <row r="669">
      <c r="B669" s="18"/>
      <c r="P669" s="59"/>
    </row>
    <row r="670">
      <c r="B670" s="18"/>
      <c r="P670" s="59"/>
    </row>
    <row r="671">
      <c r="B671" s="18"/>
      <c r="P671" s="59"/>
    </row>
    <row r="672">
      <c r="B672" s="18"/>
      <c r="P672" s="59"/>
    </row>
    <row r="673">
      <c r="B673" s="18"/>
      <c r="P673" s="59"/>
    </row>
    <row r="674">
      <c r="B674" s="18"/>
      <c r="P674" s="59"/>
    </row>
    <row r="675">
      <c r="B675" s="18"/>
      <c r="P675" s="59"/>
    </row>
    <row r="676">
      <c r="B676" s="18"/>
      <c r="P676" s="59"/>
    </row>
    <row r="677">
      <c r="B677" s="18"/>
      <c r="P677" s="59"/>
    </row>
    <row r="678">
      <c r="B678" s="18"/>
      <c r="P678" s="59"/>
    </row>
    <row r="679">
      <c r="B679" s="18"/>
      <c r="P679" s="59"/>
    </row>
    <row r="680">
      <c r="B680" s="18"/>
      <c r="P680" s="59"/>
    </row>
    <row r="681">
      <c r="B681" s="18"/>
      <c r="P681" s="59"/>
    </row>
    <row r="682">
      <c r="B682" s="18"/>
      <c r="P682" s="59"/>
    </row>
    <row r="683">
      <c r="B683" s="18"/>
      <c r="P683" s="59"/>
    </row>
    <row r="684">
      <c r="B684" s="18"/>
      <c r="P684" s="59"/>
    </row>
    <row r="685">
      <c r="B685" s="18"/>
      <c r="P685" s="59"/>
    </row>
    <row r="686">
      <c r="B686" s="18"/>
      <c r="P686" s="59"/>
    </row>
    <row r="687">
      <c r="B687" s="18"/>
      <c r="P687" s="59"/>
    </row>
    <row r="688">
      <c r="B688" s="18"/>
      <c r="P688" s="59"/>
    </row>
    <row r="689">
      <c r="B689" s="18"/>
      <c r="P689" s="59"/>
    </row>
    <row r="690">
      <c r="B690" s="18"/>
      <c r="P690" s="59"/>
    </row>
    <row r="691">
      <c r="B691" s="18"/>
      <c r="P691" s="59"/>
    </row>
    <row r="692">
      <c r="B692" s="18"/>
      <c r="P692" s="59"/>
    </row>
    <row r="693">
      <c r="B693" s="18"/>
      <c r="P693" s="59"/>
    </row>
    <row r="694">
      <c r="B694" s="18"/>
      <c r="P694" s="59"/>
    </row>
    <row r="695">
      <c r="B695" s="18"/>
      <c r="P695" s="59"/>
    </row>
    <row r="696">
      <c r="B696" s="18"/>
      <c r="P696" s="59"/>
    </row>
    <row r="697">
      <c r="B697" s="18"/>
      <c r="P697" s="59"/>
    </row>
    <row r="698">
      <c r="B698" s="18"/>
      <c r="P698" s="59"/>
    </row>
    <row r="699">
      <c r="B699" s="18"/>
      <c r="P699" s="59"/>
    </row>
    <row r="700">
      <c r="B700" s="18"/>
      <c r="P700" s="59"/>
    </row>
    <row r="701">
      <c r="B701" s="18"/>
      <c r="P701" s="59"/>
    </row>
    <row r="702">
      <c r="B702" s="18"/>
      <c r="P702" s="59"/>
    </row>
    <row r="703">
      <c r="B703" s="18"/>
      <c r="P703" s="59"/>
    </row>
    <row r="704">
      <c r="B704" s="18"/>
      <c r="P704" s="59"/>
    </row>
    <row r="705">
      <c r="B705" s="18"/>
      <c r="P705" s="59"/>
    </row>
    <row r="706">
      <c r="B706" s="18"/>
      <c r="P706" s="59"/>
    </row>
    <row r="707">
      <c r="B707" s="18"/>
      <c r="P707" s="59"/>
    </row>
    <row r="708">
      <c r="B708" s="18"/>
      <c r="P708" s="59"/>
    </row>
    <row r="709">
      <c r="B709" s="18"/>
      <c r="P709" s="59"/>
    </row>
    <row r="710">
      <c r="B710" s="18"/>
      <c r="P710" s="59"/>
    </row>
    <row r="711">
      <c r="B711" s="18"/>
      <c r="P711" s="59"/>
    </row>
    <row r="712">
      <c r="B712" s="18"/>
      <c r="P712" s="59"/>
    </row>
    <row r="713">
      <c r="B713" s="18"/>
      <c r="P713" s="59"/>
    </row>
    <row r="714">
      <c r="B714" s="18"/>
      <c r="P714" s="59"/>
    </row>
    <row r="715">
      <c r="B715" s="18"/>
      <c r="P715" s="59"/>
    </row>
    <row r="716">
      <c r="B716" s="18"/>
      <c r="P716" s="59"/>
    </row>
    <row r="717">
      <c r="B717" s="18"/>
      <c r="P717" s="59"/>
    </row>
    <row r="718">
      <c r="B718" s="18"/>
      <c r="P718" s="59"/>
    </row>
    <row r="719">
      <c r="B719" s="18"/>
      <c r="P719" s="59"/>
    </row>
    <row r="720">
      <c r="B720" s="18"/>
      <c r="P720" s="59"/>
    </row>
    <row r="721">
      <c r="B721" s="18"/>
      <c r="P721" s="59"/>
    </row>
    <row r="722">
      <c r="B722" s="18"/>
      <c r="P722" s="59"/>
    </row>
    <row r="723">
      <c r="B723" s="18"/>
      <c r="P723" s="59"/>
    </row>
    <row r="724">
      <c r="B724" s="18"/>
      <c r="P724" s="59"/>
    </row>
    <row r="725">
      <c r="B725" s="18"/>
      <c r="P725" s="59"/>
    </row>
    <row r="726">
      <c r="B726" s="18"/>
      <c r="P726" s="59"/>
    </row>
    <row r="727">
      <c r="B727" s="18"/>
      <c r="P727" s="59"/>
    </row>
    <row r="728">
      <c r="B728" s="18"/>
      <c r="P728" s="59"/>
    </row>
    <row r="729">
      <c r="B729" s="18"/>
      <c r="P729" s="59"/>
    </row>
    <row r="730">
      <c r="B730" s="18"/>
      <c r="P730" s="59"/>
    </row>
    <row r="731">
      <c r="B731" s="18"/>
      <c r="P731" s="59"/>
    </row>
    <row r="732">
      <c r="B732" s="18"/>
      <c r="P732" s="59"/>
    </row>
    <row r="733">
      <c r="B733" s="18"/>
      <c r="P733" s="59"/>
    </row>
    <row r="734">
      <c r="B734" s="18"/>
      <c r="P734" s="59"/>
    </row>
    <row r="735">
      <c r="B735" s="18"/>
      <c r="P735" s="59"/>
    </row>
    <row r="736">
      <c r="B736" s="18"/>
      <c r="P736" s="59"/>
    </row>
    <row r="737">
      <c r="B737" s="18"/>
      <c r="P737" s="59"/>
    </row>
    <row r="738">
      <c r="B738" s="18"/>
      <c r="P738" s="59"/>
    </row>
    <row r="739">
      <c r="B739" s="18"/>
      <c r="P739" s="59"/>
    </row>
    <row r="740">
      <c r="B740" s="18"/>
      <c r="P740" s="59"/>
    </row>
    <row r="741">
      <c r="B741" s="18"/>
      <c r="P741" s="59"/>
    </row>
    <row r="742">
      <c r="B742" s="18"/>
      <c r="P742" s="59"/>
    </row>
    <row r="743">
      <c r="B743" s="18"/>
      <c r="P743" s="59"/>
    </row>
    <row r="744">
      <c r="B744" s="18"/>
      <c r="P744" s="59"/>
    </row>
    <row r="745">
      <c r="B745" s="18"/>
      <c r="P745" s="59"/>
    </row>
    <row r="746">
      <c r="B746" s="18"/>
      <c r="P746" s="59"/>
    </row>
    <row r="747">
      <c r="B747" s="18"/>
      <c r="P747" s="59"/>
    </row>
    <row r="748">
      <c r="B748" s="18"/>
      <c r="P748" s="59"/>
    </row>
    <row r="749">
      <c r="B749" s="18"/>
      <c r="P749" s="59"/>
    </row>
    <row r="750">
      <c r="B750" s="18"/>
      <c r="P750" s="59"/>
    </row>
    <row r="751">
      <c r="B751" s="18"/>
      <c r="P751" s="59"/>
    </row>
    <row r="752">
      <c r="B752" s="18"/>
      <c r="P752" s="59"/>
    </row>
    <row r="753">
      <c r="B753" s="18"/>
      <c r="P753" s="59"/>
    </row>
    <row r="754">
      <c r="B754" s="18"/>
      <c r="P754" s="59"/>
    </row>
    <row r="755">
      <c r="B755" s="18"/>
      <c r="P755" s="59"/>
    </row>
    <row r="756">
      <c r="B756" s="18"/>
      <c r="P756" s="59"/>
    </row>
    <row r="757">
      <c r="B757" s="18"/>
      <c r="P757" s="59"/>
    </row>
    <row r="758">
      <c r="B758" s="18"/>
      <c r="P758" s="59"/>
    </row>
    <row r="759">
      <c r="B759" s="18"/>
      <c r="P759" s="59"/>
    </row>
    <row r="760">
      <c r="B760" s="18"/>
      <c r="P760" s="59"/>
    </row>
    <row r="761">
      <c r="B761" s="18"/>
      <c r="P761" s="59"/>
    </row>
    <row r="762">
      <c r="B762" s="18"/>
      <c r="P762" s="59"/>
    </row>
    <row r="763">
      <c r="B763" s="18"/>
      <c r="P763" s="59"/>
    </row>
    <row r="764">
      <c r="B764" s="18"/>
      <c r="P764" s="59"/>
    </row>
    <row r="765">
      <c r="B765" s="18"/>
      <c r="P765" s="59"/>
    </row>
    <row r="766">
      <c r="B766" s="18"/>
      <c r="P766" s="59"/>
    </row>
    <row r="767">
      <c r="B767" s="18"/>
      <c r="P767" s="59"/>
    </row>
    <row r="768">
      <c r="B768" s="18"/>
      <c r="P768" s="59"/>
    </row>
    <row r="769">
      <c r="B769" s="18"/>
      <c r="P769" s="59"/>
    </row>
    <row r="770">
      <c r="B770" s="18"/>
      <c r="P770" s="59"/>
    </row>
    <row r="771">
      <c r="B771" s="18"/>
      <c r="P771" s="59"/>
    </row>
    <row r="772">
      <c r="B772" s="18"/>
      <c r="P772" s="59"/>
    </row>
    <row r="773">
      <c r="B773" s="18"/>
      <c r="P773" s="59"/>
    </row>
    <row r="774">
      <c r="B774" s="18"/>
      <c r="P774" s="59"/>
    </row>
    <row r="775">
      <c r="B775" s="18"/>
      <c r="P775" s="59"/>
    </row>
    <row r="776">
      <c r="B776" s="18"/>
      <c r="P776" s="59"/>
    </row>
    <row r="777">
      <c r="B777" s="18"/>
      <c r="P777" s="59"/>
    </row>
    <row r="778">
      <c r="B778" s="18"/>
      <c r="P778" s="59"/>
    </row>
    <row r="779">
      <c r="B779" s="18"/>
      <c r="P779" s="59"/>
    </row>
    <row r="780">
      <c r="B780" s="18"/>
      <c r="P780" s="59"/>
    </row>
    <row r="781">
      <c r="B781" s="18"/>
      <c r="P781" s="59"/>
    </row>
    <row r="782">
      <c r="B782" s="18"/>
      <c r="P782" s="59"/>
    </row>
    <row r="783">
      <c r="B783" s="18"/>
      <c r="P783" s="59"/>
    </row>
    <row r="784">
      <c r="B784" s="18"/>
      <c r="P784" s="59"/>
    </row>
    <row r="785">
      <c r="B785" s="18"/>
      <c r="P785" s="59"/>
    </row>
    <row r="786">
      <c r="B786" s="18"/>
      <c r="P786" s="59"/>
    </row>
    <row r="787">
      <c r="B787" s="18"/>
      <c r="P787" s="59"/>
    </row>
    <row r="788">
      <c r="B788" s="18"/>
      <c r="P788" s="59"/>
    </row>
    <row r="789">
      <c r="B789" s="18"/>
      <c r="P789" s="59"/>
    </row>
    <row r="790">
      <c r="B790" s="18"/>
      <c r="P790" s="59"/>
    </row>
    <row r="791">
      <c r="B791" s="18"/>
      <c r="P791" s="59"/>
    </row>
    <row r="792">
      <c r="B792" s="18"/>
      <c r="P792" s="59"/>
    </row>
    <row r="793">
      <c r="B793" s="18"/>
      <c r="P793" s="59"/>
    </row>
    <row r="794">
      <c r="B794" s="18"/>
      <c r="P794" s="59"/>
    </row>
    <row r="795">
      <c r="B795" s="18"/>
      <c r="P795" s="59"/>
    </row>
    <row r="796">
      <c r="B796" s="18"/>
      <c r="P796" s="59"/>
    </row>
    <row r="797">
      <c r="B797" s="18"/>
      <c r="P797" s="59"/>
    </row>
    <row r="798">
      <c r="B798" s="18"/>
      <c r="P798" s="59"/>
    </row>
    <row r="799">
      <c r="B799" s="18"/>
      <c r="P799" s="59"/>
    </row>
    <row r="800">
      <c r="B800" s="18"/>
      <c r="P800" s="59"/>
    </row>
    <row r="801">
      <c r="B801" s="18"/>
      <c r="P801" s="59"/>
    </row>
    <row r="802">
      <c r="B802" s="18"/>
      <c r="P802" s="59"/>
    </row>
    <row r="803">
      <c r="B803" s="18"/>
      <c r="P803" s="59"/>
    </row>
    <row r="804">
      <c r="B804" s="18"/>
      <c r="P804" s="59"/>
    </row>
    <row r="805">
      <c r="B805" s="18"/>
      <c r="P805" s="59"/>
    </row>
    <row r="806">
      <c r="B806" s="18"/>
      <c r="P806" s="59"/>
    </row>
    <row r="807">
      <c r="B807" s="18"/>
      <c r="P807" s="59"/>
    </row>
    <row r="808">
      <c r="B808" s="18"/>
      <c r="P808" s="59"/>
    </row>
    <row r="809">
      <c r="B809" s="18"/>
      <c r="P809" s="59"/>
    </row>
    <row r="810">
      <c r="B810" s="18"/>
      <c r="P810" s="59"/>
    </row>
    <row r="811">
      <c r="B811" s="18"/>
      <c r="P811" s="59"/>
    </row>
    <row r="812">
      <c r="B812" s="18"/>
      <c r="P812" s="59"/>
    </row>
    <row r="813">
      <c r="B813" s="18"/>
      <c r="P813" s="59"/>
    </row>
    <row r="814">
      <c r="B814" s="18"/>
      <c r="P814" s="59"/>
    </row>
    <row r="815">
      <c r="B815" s="18"/>
      <c r="P815" s="59"/>
    </row>
    <row r="816">
      <c r="B816" s="18"/>
      <c r="P816" s="59"/>
    </row>
    <row r="817">
      <c r="B817" s="18"/>
      <c r="P817" s="59"/>
    </row>
    <row r="818">
      <c r="B818" s="18"/>
      <c r="P818" s="59"/>
    </row>
    <row r="819">
      <c r="B819" s="18"/>
      <c r="P819" s="59"/>
    </row>
    <row r="820">
      <c r="B820" s="18"/>
      <c r="P820" s="59"/>
    </row>
    <row r="821">
      <c r="B821" s="18"/>
      <c r="P821" s="59"/>
    </row>
    <row r="822">
      <c r="B822" s="18"/>
      <c r="P822" s="59"/>
    </row>
    <row r="823">
      <c r="B823" s="18"/>
      <c r="P823" s="59"/>
    </row>
    <row r="824">
      <c r="B824" s="18"/>
      <c r="P824" s="59"/>
    </row>
    <row r="825">
      <c r="B825" s="18"/>
      <c r="P825" s="59"/>
    </row>
    <row r="826">
      <c r="B826" s="18"/>
      <c r="P826" s="59"/>
    </row>
    <row r="827">
      <c r="B827" s="18"/>
      <c r="P827" s="59"/>
    </row>
    <row r="828">
      <c r="B828" s="18"/>
      <c r="P828" s="59"/>
    </row>
    <row r="829">
      <c r="B829" s="18"/>
      <c r="P829" s="59"/>
    </row>
    <row r="830">
      <c r="B830" s="18"/>
      <c r="P830" s="59"/>
    </row>
    <row r="831">
      <c r="B831" s="18"/>
      <c r="P831" s="59"/>
    </row>
    <row r="832">
      <c r="B832" s="18"/>
      <c r="P832" s="59"/>
    </row>
    <row r="833">
      <c r="B833" s="18"/>
      <c r="P833" s="59"/>
    </row>
    <row r="834">
      <c r="B834" s="18"/>
      <c r="P834" s="59"/>
    </row>
    <row r="835">
      <c r="B835" s="18"/>
      <c r="P835" s="59"/>
    </row>
    <row r="836">
      <c r="B836" s="18"/>
      <c r="P836" s="59"/>
    </row>
    <row r="837">
      <c r="B837" s="18"/>
      <c r="P837" s="59"/>
    </row>
    <row r="838">
      <c r="B838" s="18"/>
      <c r="P838" s="59"/>
    </row>
    <row r="839">
      <c r="B839" s="18"/>
      <c r="P839" s="59"/>
    </row>
    <row r="840">
      <c r="B840" s="18"/>
      <c r="P840" s="59"/>
    </row>
    <row r="841">
      <c r="B841" s="18"/>
      <c r="P841" s="59"/>
    </row>
    <row r="842">
      <c r="B842" s="18"/>
      <c r="P842" s="59"/>
    </row>
    <row r="843">
      <c r="B843" s="18"/>
      <c r="P843" s="59"/>
    </row>
    <row r="844">
      <c r="B844" s="18"/>
      <c r="P844" s="59"/>
    </row>
    <row r="845">
      <c r="B845" s="18"/>
      <c r="P845" s="59"/>
    </row>
    <row r="846">
      <c r="B846" s="18"/>
      <c r="P846" s="59"/>
    </row>
    <row r="847">
      <c r="B847" s="18"/>
      <c r="P847" s="59"/>
    </row>
    <row r="848">
      <c r="B848" s="18"/>
      <c r="P848" s="59"/>
    </row>
    <row r="849">
      <c r="B849" s="18"/>
      <c r="P849" s="59"/>
    </row>
    <row r="850">
      <c r="B850" s="18"/>
      <c r="P850" s="59"/>
    </row>
    <row r="851">
      <c r="B851" s="18"/>
      <c r="P851" s="59"/>
    </row>
    <row r="852">
      <c r="B852" s="18"/>
      <c r="P852" s="59"/>
    </row>
    <row r="853">
      <c r="B853" s="18"/>
      <c r="P853" s="59"/>
    </row>
    <row r="854">
      <c r="B854" s="18"/>
      <c r="P854" s="59"/>
    </row>
    <row r="855">
      <c r="B855" s="18"/>
      <c r="P855" s="59"/>
    </row>
    <row r="856">
      <c r="B856" s="18"/>
      <c r="P856" s="59"/>
    </row>
    <row r="857">
      <c r="B857" s="18"/>
      <c r="P857" s="59"/>
    </row>
    <row r="858">
      <c r="B858" s="18"/>
      <c r="P858" s="59"/>
    </row>
    <row r="859">
      <c r="B859" s="18"/>
      <c r="P859" s="59"/>
    </row>
    <row r="860">
      <c r="B860" s="18"/>
      <c r="P860" s="59"/>
    </row>
    <row r="861">
      <c r="B861" s="18"/>
      <c r="P861" s="59"/>
    </row>
    <row r="862">
      <c r="B862" s="18"/>
      <c r="P862" s="59"/>
    </row>
    <row r="863">
      <c r="B863" s="18"/>
      <c r="P863" s="59"/>
    </row>
    <row r="864">
      <c r="B864" s="18"/>
      <c r="P864" s="59"/>
    </row>
    <row r="865">
      <c r="B865" s="18"/>
      <c r="P865" s="59"/>
    </row>
    <row r="866">
      <c r="B866" s="18"/>
      <c r="P866" s="59"/>
    </row>
    <row r="867">
      <c r="B867" s="18"/>
      <c r="P867" s="59"/>
    </row>
    <row r="868">
      <c r="B868" s="18"/>
      <c r="P868" s="59"/>
    </row>
    <row r="869">
      <c r="B869" s="18"/>
      <c r="P869" s="59"/>
    </row>
    <row r="870">
      <c r="B870" s="18"/>
      <c r="P870" s="59"/>
    </row>
    <row r="871">
      <c r="B871" s="18"/>
      <c r="P871" s="59"/>
    </row>
    <row r="872">
      <c r="B872" s="18"/>
      <c r="P872" s="59"/>
    </row>
    <row r="873">
      <c r="B873" s="18"/>
      <c r="P873" s="59"/>
    </row>
    <row r="874">
      <c r="B874" s="18"/>
      <c r="P874" s="59"/>
    </row>
    <row r="875">
      <c r="B875" s="18"/>
      <c r="P875" s="59"/>
    </row>
    <row r="876">
      <c r="B876" s="18"/>
      <c r="P876" s="59"/>
    </row>
    <row r="877">
      <c r="B877" s="18"/>
      <c r="P877" s="59"/>
    </row>
    <row r="878">
      <c r="B878" s="18"/>
      <c r="P878" s="59"/>
    </row>
    <row r="879">
      <c r="B879" s="18"/>
      <c r="P879" s="59"/>
    </row>
    <row r="880">
      <c r="B880" s="18"/>
      <c r="P880" s="59"/>
    </row>
    <row r="881">
      <c r="B881" s="18"/>
      <c r="P881" s="59"/>
    </row>
    <row r="882">
      <c r="B882" s="18"/>
      <c r="P882" s="59"/>
    </row>
    <row r="883">
      <c r="B883" s="18"/>
      <c r="P883" s="59"/>
    </row>
    <row r="884">
      <c r="B884" s="18"/>
      <c r="P884" s="59"/>
    </row>
    <row r="885">
      <c r="B885" s="18"/>
      <c r="P885" s="59"/>
    </row>
    <row r="886">
      <c r="B886" s="18"/>
      <c r="P886" s="59"/>
    </row>
    <row r="887">
      <c r="B887" s="18"/>
      <c r="P887" s="59"/>
    </row>
    <row r="888">
      <c r="B888" s="18"/>
      <c r="P888" s="59"/>
    </row>
    <row r="889">
      <c r="B889" s="18"/>
      <c r="P889" s="59"/>
    </row>
    <row r="890">
      <c r="B890" s="18"/>
      <c r="P890" s="59"/>
    </row>
    <row r="891">
      <c r="B891" s="18"/>
      <c r="P891" s="59"/>
    </row>
    <row r="892">
      <c r="B892" s="18"/>
      <c r="P892" s="59"/>
    </row>
    <row r="893">
      <c r="B893" s="18"/>
      <c r="P893" s="59"/>
    </row>
    <row r="894">
      <c r="B894" s="18"/>
      <c r="P894" s="59"/>
    </row>
    <row r="895">
      <c r="B895" s="18"/>
      <c r="P895" s="59"/>
    </row>
    <row r="896">
      <c r="B896" s="18"/>
      <c r="P896" s="59"/>
    </row>
    <row r="897">
      <c r="B897" s="18"/>
      <c r="P897" s="59"/>
    </row>
    <row r="898">
      <c r="B898" s="18"/>
      <c r="P898" s="59"/>
    </row>
    <row r="899">
      <c r="B899" s="18"/>
      <c r="P899" s="59"/>
    </row>
    <row r="900">
      <c r="B900" s="18"/>
      <c r="P900" s="59"/>
    </row>
    <row r="901">
      <c r="B901" s="18"/>
      <c r="P901" s="59"/>
    </row>
    <row r="902">
      <c r="B902" s="18"/>
      <c r="P902" s="59"/>
    </row>
    <row r="903">
      <c r="B903" s="18"/>
      <c r="P903" s="59"/>
    </row>
    <row r="904">
      <c r="B904" s="18"/>
      <c r="P904" s="59"/>
    </row>
    <row r="905">
      <c r="B905" s="18"/>
      <c r="P905" s="59"/>
    </row>
    <row r="906">
      <c r="B906" s="18"/>
      <c r="P906" s="59"/>
    </row>
    <row r="907">
      <c r="B907" s="18"/>
      <c r="P907" s="59"/>
    </row>
    <row r="908">
      <c r="B908" s="18"/>
      <c r="P908" s="59"/>
    </row>
    <row r="909">
      <c r="B909" s="18"/>
      <c r="P909" s="59"/>
    </row>
    <row r="910">
      <c r="B910" s="18"/>
      <c r="P910" s="59"/>
    </row>
    <row r="911">
      <c r="B911" s="18"/>
      <c r="P911" s="59"/>
    </row>
    <row r="912">
      <c r="B912" s="18"/>
      <c r="P912" s="59"/>
    </row>
    <row r="913">
      <c r="B913" s="18"/>
      <c r="P913" s="59"/>
    </row>
    <row r="914">
      <c r="B914" s="18"/>
      <c r="P914" s="59"/>
    </row>
    <row r="915">
      <c r="B915" s="18"/>
      <c r="P915" s="59"/>
    </row>
    <row r="916">
      <c r="B916" s="18"/>
      <c r="P916" s="59"/>
    </row>
    <row r="917">
      <c r="B917" s="18"/>
      <c r="P917" s="59"/>
    </row>
    <row r="918">
      <c r="B918" s="18"/>
      <c r="P918" s="59"/>
    </row>
    <row r="919">
      <c r="B919" s="18"/>
      <c r="P919" s="59"/>
    </row>
    <row r="920">
      <c r="B920" s="18"/>
      <c r="P920" s="59"/>
    </row>
    <row r="921">
      <c r="B921" s="18"/>
      <c r="P921" s="59"/>
    </row>
    <row r="922">
      <c r="B922" s="18"/>
      <c r="P922" s="59"/>
    </row>
    <row r="923">
      <c r="B923" s="18"/>
      <c r="P923" s="59"/>
    </row>
    <row r="924">
      <c r="B924" s="18"/>
      <c r="P924" s="59"/>
    </row>
    <row r="925">
      <c r="B925" s="18"/>
      <c r="P925" s="59"/>
    </row>
    <row r="926">
      <c r="B926" s="18"/>
      <c r="P926" s="59"/>
    </row>
    <row r="927">
      <c r="B927" s="18"/>
      <c r="P927" s="59"/>
    </row>
    <row r="928">
      <c r="B928" s="18"/>
      <c r="P928" s="59"/>
    </row>
    <row r="929">
      <c r="B929" s="18"/>
      <c r="P929" s="59"/>
    </row>
    <row r="930">
      <c r="B930" s="18"/>
      <c r="P930" s="59"/>
    </row>
    <row r="931">
      <c r="B931" s="18"/>
      <c r="P931" s="59"/>
    </row>
    <row r="932">
      <c r="B932" s="18"/>
      <c r="P932" s="59"/>
    </row>
    <row r="933">
      <c r="B933" s="18"/>
      <c r="P933" s="59"/>
    </row>
    <row r="934">
      <c r="B934" s="18"/>
      <c r="P934" s="59"/>
    </row>
    <row r="935">
      <c r="B935" s="18"/>
      <c r="P935" s="59"/>
    </row>
    <row r="936">
      <c r="B936" s="18"/>
      <c r="P936" s="59"/>
    </row>
    <row r="937">
      <c r="B937" s="18"/>
      <c r="P937" s="59"/>
    </row>
    <row r="938">
      <c r="B938" s="18"/>
      <c r="P938" s="59"/>
    </row>
    <row r="939">
      <c r="B939" s="18"/>
      <c r="P939" s="59"/>
    </row>
    <row r="940">
      <c r="B940" s="18"/>
      <c r="P940" s="59"/>
    </row>
    <row r="941">
      <c r="B941" s="18"/>
      <c r="P941" s="59"/>
    </row>
    <row r="942">
      <c r="B942" s="18"/>
      <c r="P942" s="59"/>
    </row>
    <row r="943">
      <c r="B943" s="18"/>
      <c r="P943" s="59"/>
    </row>
    <row r="944">
      <c r="B944" s="18"/>
      <c r="P944" s="59"/>
    </row>
    <row r="945">
      <c r="B945" s="18"/>
      <c r="P945" s="59"/>
    </row>
    <row r="946">
      <c r="B946" s="18"/>
      <c r="P946" s="59"/>
    </row>
    <row r="947">
      <c r="B947" s="18"/>
      <c r="P947" s="59"/>
    </row>
    <row r="948">
      <c r="B948" s="18"/>
      <c r="P948" s="59"/>
    </row>
    <row r="949">
      <c r="B949" s="18"/>
      <c r="P949" s="59"/>
    </row>
    <row r="950">
      <c r="B950" s="18"/>
      <c r="P950" s="59"/>
    </row>
    <row r="951">
      <c r="B951" s="18"/>
      <c r="P951" s="59"/>
    </row>
    <row r="952">
      <c r="B952" s="18"/>
      <c r="P952" s="59"/>
    </row>
    <row r="953">
      <c r="B953" s="18"/>
      <c r="P953" s="59"/>
    </row>
    <row r="954">
      <c r="B954" s="18"/>
      <c r="P954" s="59"/>
    </row>
    <row r="955">
      <c r="B955" s="18"/>
      <c r="P955" s="59"/>
    </row>
    <row r="956">
      <c r="B956" s="18"/>
      <c r="P956" s="59"/>
    </row>
    <row r="957">
      <c r="B957" s="18"/>
      <c r="P957" s="59"/>
    </row>
    <row r="958">
      <c r="B958" s="18"/>
      <c r="P958" s="59"/>
    </row>
    <row r="959">
      <c r="B959" s="18"/>
      <c r="P959" s="59"/>
    </row>
    <row r="960">
      <c r="B960" s="18"/>
      <c r="P960" s="59"/>
    </row>
    <row r="961">
      <c r="B961" s="18"/>
      <c r="P961" s="59"/>
    </row>
    <row r="962">
      <c r="B962" s="18"/>
      <c r="P962" s="59"/>
    </row>
    <row r="963">
      <c r="B963" s="18"/>
      <c r="P963" s="59"/>
    </row>
    <row r="964">
      <c r="B964" s="18"/>
      <c r="P964" s="59"/>
    </row>
    <row r="965">
      <c r="B965" s="18"/>
      <c r="P965" s="59"/>
    </row>
    <row r="966">
      <c r="B966" s="18"/>
      <c r="P966" s="59"/>
    </row>
    <row r="967">
      <c r="B967" s="18"/>
      <c r="P967" s="59"/>
    </row>
    <row r="968">
      <c r="B968" s="18"/>
      <c r="P968" s="59"/>
    </row>
    <row r="969">
      <c r="B969" s="18"/>
      <c r="P969" s="59"/>
    </row>
    <row r="970">
      <c r="B970" s="18"/>
      <c r="P970" s="59"/>
    </row>
    <row r="971">
      <c r="B971" s="18"/>
      <c r="P971" s="59"/>
    </row>
    <row r="972">
      <c r="B972" s="18"/>
      <c r="P972" s="59"/>
    </row>
    <row r="973">
      <c r="B973" s="18"/>
      <c r="P973" s="59"/>
    </row>
    <row r="974">
      <c r="B974" s="18"/>
      <c r="P974" s="59"/>
    </row>
    <row r="975">
      <c r="B975" s="18"/>
      <c r="P975" s="59"/>
    </row>
    <row r="976">
      <c r="B976" s="18"/>
      <c r="P976" s="59"/>
    </row>
    <row r="977">
      <c r="B977" s="18"/>
      <c r="P977" s="59"/>
    </row>
    <row r="978">
      <c r="B978" s="18"/>
      <c r="P978" s="59"/>
    </row>
    <row r="979">
      <c r="B979" s="18"/>
      <c r="P979" s="59"/>
    </row>
    <row r="980">
      <c r="B980" s="18"/>
      <c r="P980" s="59"/>
    </row>
    <row r="981">
      <c r="B981" s="18"/>
      <c r="P981" s="59"/>
    </row>
    <row r="982">
      <c r="B982" s="18"/>
      <c r="P982" s="59"/>
    </row>
    <row r="983">
      <c r="B983" s="18"/>
      <c r="P983" s="59"/>
    </row>
    <row r="984">
      <c r="B984" s="18"/>
      <c r="P984" s="59"/>
    </row>
    <row r="985">
      <c r="B985" s="18"/>
      <c r="P985" s="59"/>
    </row>
    <row r="986">
      <c r="B986" s="18"/>
      <c r="P986" s="59"/>
    </row>
    <row r="987">
      <c r="B987" s="18"/>
      <c r="P987" s="59"/>
    </row>
    <row r="988">
      <c r="B988" s="18"/>
      <c r="P988" s="59"/>
    </row>
    <row r="989">
      <c r="B989" s="18"/>
      <c r="P989" s="59"/>
    </row>
    <row r="990">
      <c r="B990" s="18"/>
      <c r="P990" s="59"/>
    </row>
    <row r="991">
      <c r="B991" s="18"/>
      <c r="P991" s="59"/>
    </row>
    <row r="992">
      <c r="B992" s="18"/>
      <c r="P992" s="59"/>
    </row>
    <row r="993">
      <c r="B993" s="18"/>
      <c r="P993" s="59"/>
    </row>
    <row r="994">
      <c r="B994" s="18"/>
      <c r="P994" s="59"/>
    </row>
    <row r="995">
      <c r="B995" s="18"/>
      <c r="P995" s="59"/>
    </row>
    <row r="996">
      <c r="B996" s="18"/>
      <c r="P996" s="59"/>
    </row>
    <row r="997">
      <c r="B997" s="18"/>
      <c r="P997" s="59"/>
    </row>
    <row r="998">
      <c r="B998" s="18"/>
      <c r="P998" s="59"/>
    </row>
    <row r="999">
      <c r="B999" s="18"/>
      <c r="P999" s="59"/>
    </row>
    <row r="1000">
      <c r="B1000" s="18"/>
      <c r="P1000" s="59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4" max="4" width="18.14"/>
    <col customWidth="1" min="5" max="5" width="19.57"/>
  </cols>
  <sheetData>
    <row r="1">
      <c r="A1" s="20" t="s">
        <v>0</v>
      </c>
      <c r="B1" s="21" t="s">
        <v>1</v>
      </c>
      <c r="C1" s="60" t="s">
        <v>262</v>
      </c>
      <c r="D1" s="60" t="s">
        <v>263</v>
      </c>
      <c r="E1" s="60" t="s">
        <v>264</v>
      </c>
      <c r="F1" s="7" t="s">
        <v>265</v>
      </c>
      <c r="G1" s="3" t="s">
        <v>266</v>
      </c>
      <c r="H1" s="3" t="s">
        <v>267</v>
      </c>
      <c r="I1" s="37" t="s">
        <v>268</v>
      </c>
      <c r="J1" s="37" t="s">
        <v>269</v>
      </c>
      <c r="K1" s="37" t="s">
        <v>270</v>
      </c>
      <c r="L1" s="37" t="s">
        <v>271</v>
      </c>
      <c r="M1" s="37" t="s">
        <v>272</v>
      </c>
      <c r="N1" s="37" t="s">
        <v>273</v>
      </c>
      <c r="O1" s="6" t="s">
        <v>274</v>
      </c>
      <c r="P1" s="37" t="s">
        <v>275</v>
      </c>
      <c r="Q1" s="37" t="s">
        <v>276</v>
      </c>
      <c r="R1" s="37" t="s">
        <v>277</v>
      </c>
      <c r="S1" s="6" t="s">
        <v>278</v>
      </c>
      <c r="T1" s="6" t="s">
        <v>279</v>
      </c>
      <c r="U1" s="6" t="s">
        <v>280</v>
      </c>
      <c r="V1" s="6" t="s">
        <v>281</v>
      </c>
      <c r="W1" s="6" t="s">
        <v>282</v>
      </c>
      <c r="X1" s="6" t="s">
        <v>283</v>
      </c>
    </row>
    <row r="2">
      <c r="A2" s="8">
        <v>40179.0</v>
      </c>
      <c r="B2" s="61">
        <f>IFERROR(__xludf.DUMMYFUNCTION("IMPORTRANGE(""https://docs.google.com/spreadsheets/d/1oPTPmoJ9phtMOkp-nMB7WHnPESomLzqUj9t0gcE9bYA"",""Current Region!O2:O150"")"),18191.0)</f>
        <v>18191</v>
      </c>
      <c r="C2" s="10" t="s">
        <v>26</v>
      </c>
      <c r="D2" s="10" t="s">
        <v>26</v>
      </c>
      <c r="E2" s="10" t="s">
        <v>26</v>
      </c>
      <c r="F2" s="10" t="s">
        <v>26</v>
      </c>
      <c r="G2" s="10" t="s">
        <v>26</v>
      </c>
      <c r="H2" s="10" t="s">
        <v>26</v>
      </c>
      <c r="I2" s="11" t="s">
        <v>26</v>
      </c>
      <c r="J2" s="11" t="s">
        <v>26</v>
      </c>
      <c r="K2" s="10" t="s">
        <v>26</v>
      </c>
      <c r="L2" s="10" t="s">
        <v>26</v>
      </c>
      <c r="M2" s="10" t="s">
        <v>26</v>
      </c>
      <c r="N2" s="10" t="s">
        <v>26</v>
      </c>
      <c r="O2" s="10" t="s">
        <v>26</v>
      </c>
      <c r="P2" s="10" t="s">
        <v>26</v>
      </c>
      <c r="Q2" s="10" t="s">
        <v>26</v>
      </c>
      <c r="R2" s="10" t="s">
        <v>26</v>
      </c>
      <c r="S2" s="10" t="s">
        <v>26</v>
      </c>
      <c r="T2" s="10" t="s">
        <v>26</v>
      </c>
      <c r="U2" s="10" t="s">
        <v>26</v>
      </c>
      <c r="V2" s="10" t="s">
        <v>26</v>
      </c>
      <c r="W2" s="10" t="s">
        <v>26</v>
      </c>
      <c r="X2" s="10" t="s">
        <v>26</v>
      </c>
    </row>
    <row r="3">
      <c r="A3" s="8">
        <v>40210.0</v>
      </c>
      <c r="B3" s="9">
        <f>IFERROR(__xludf.DUMMYFUNCTION("""COMPUTED_VALUE"""),1217.0)</f>
        <v>1217</v>
      </c>
      <c r="C3" s="10" t="s">
        <v>26</v>
      </c>
      <c r="D3" s="10" t="s">
        <v>26</v>
      </c>
      <c r="E3" s="10" t="s">
        <v>26</v>
      </c>
      <c r="F3" s="10" t="s">
        <v>26</v>
      </c>
      <c r="G3" s="10" t="s">
        <v>26</v>
      </c>
      <c r="H3" s="10" t="s">
        <v>26</v>
      </c>
      <c r="I3" s="11" t="s">
        <v>26</v>
      </c>
      <c r="J3" s="11" t="s">
        <v>26</v>
      </c>
      <c r="K3" s="10" t="s">
        <v>26</v>
      </c>
      <c r="L3" s="10" t="s">
        <v>26</v>
      </c>
      <c r="M3" s="10" t="s">
        <v>26</v>
      </c>
      <c r="N3" s="10" t="s">
        <v>26</v>
      </c>
      <c r="O3" s="10" t="s">
        <v>26</v>
      </c>
      <c r="P3" s="10" t="s">
        <v>26</v>
      </c>
      <c r="Q3" s="10" t="s">
        <v>26</v>
      </c>
      <c r="R3" s="10" t="s">
        <v>26</v>
      </c>
      <c r="S3" s="10" t="s">
        <v>26</v>
      </c>
      <c r="T3" s="10" t="s">
        <v>26</v>
      </c>
      <c r="U3" s="10" t="s">
        <v>26</v>
      </c>
      <c r="V3" s="10" t="s">
        <v>26</v>
      </c>
      <c r="W3" s="10" t="s">
        <v>26</v>
      </c>
      <c r="X3" s="10" t="s">
        <v>26</v>
      </c>
    </row>
    <row r="4">
      <c r="A4" s="8">
        <v>40238.0</v>
      </c>
      <c r="B4" s="9">
        <f>IFERROR(__xludf.DUMMYFUNCTION("""COMPUTED_VALUE"""),10239.0)</f>
        <v>10239</v>
      </c>
      <c r="C4" s="10" t="s">
        <v>26</v>
      </c>
      <c r="D4" s="10" t="s">
        <v>26</v>
      </c>
      <c r="E4" s="10" t="s">
        <v>26</v>
      </c>
      <c r="F4" s="10" t="s">
        <v>26</v>
      </c>
      <c r="G4" s="10" t="s">
        <v>26</v>
      </c>
      <c r="H4" s="10" t="s">
        <v>26</v>
      </c>
      <c r="I4" s="11" t="s">
        <v>26</v>
      </c>
      <c r="J4" s="11" t="s">
        <v>26</v>
      </c>
      <c r="K4" s="10" t="s">
        <v>26</v>
      </c>
      <c r="L4" s="10" t="s">
        <v>26</v>
      </c>
      <c r="M4" s="10" t="s">
        <v>26</v>
      </c>
      <c r="N4" s="10" t="s">
        <v>26</v>
      </c>
      <c r="O4" s="10" t="s">
        <v>26</v>
      </c>
      <c r="P4" s="10" t="s">
        <v>26</v>
      </c>
      <c r="Q4" s="10" t="s">
        <v>26</v>
      </c>
      <c r="R4" s="10" t="s">
        <v>26</v>
      </c>
      <c r="S4" s="10" t="s">
        <v>26</v>
      </c>
      <c r="T4" s="10" t="s">
        <v>26</v>
      </c>
      <c r="U4" s="10" t="s">
        <v>26</v>
      </c>
      <c r="V4" s="10" t="s">
        <v>26</v>
      </c>
      <c r="W4" s="10" t="s">
        <v>26</v>
      </c>
      <c r="X4" s="10" t="s">
        <v>26</v>
      </c>
    </row>
    <row r="5">
      <c r="A5" s="8">
        <v>40269.0</v>
      </c>
      <c r="B5" s="9">
        <f>IFERROR(__xludf.DUMMYFUNCTION("""COMPUTED_VALUE"""),2537.0)</f>
        <v>2537</v>
      </c>
      <c r="C5" s="10" t="s">
        <v>26</v>
      </c>
      <c r="D5" s="10" t="s">
        <v>26</v>
      </c>
      <c r="E5" s="10" t="s">
        <v>26</v>
      </c>
      <c r="F5" s="10" t="s">
        <v>26</v>
      </c>
      <c r="G5" s="10" t="s">
        <v>26</v>
      </c>
      <c r="H5" s="10" t="s">
        <v>26</v>
      </c>
      <c r="I5" s="11" t="s">
        <v>26</v>
      </c>
      <c r="J5" s="11" t="s">
        <v>26</v>
      </c>
      <c r="K5" s="10" t="s">
        <v>26</v>
      </c>
      <c r="L5" s="10" t="s">
        <v>26</v>
      </c>
      <c r="M5" s="10" t="s">
        <v>26</v>
      </c>
      <c r="N5" s="10" t="s">
        <v>26</v>
      </c>
      <c r="O5" s="10" t="s">
        <v>26</v>
      </c>
      <c r="P5" s="10" t="s">
        <v>26</v>
      </c>
      <c r="Q5" s="10" t="s">
        <v>26</v>
      </c>
      <c r="R5" s="10" t="s">
        <v>26</v>
      </c>
      <c r="S5" s="10" t="s">
        <v>26</v>
      </c>
      <c r="T5" s="10" t="s">
        <v>26</v>
      </c>
      <c r="U5" s="10" t="s">
        <v>26</v>
      </c>
      <c r="V5" s="10" t="s">
        <v>26</v>
      </c>
      <c r="W5" s="10" t="s">
        <v>26</v>
      </c>
      <c r="X5" s="10" t="s">
        <v>26</v>
      </c>
    </row>
    <row r="6">
      <c r="A6" s="8">
        <v>40299.0</v>
      </c>
      <c r="B6" s="9">
        <f>IFERROR(__xludf.DUMMYFUNCTION("""COMPUTED_VALUE"""),493.0)</f>
        <v>493</v>
      </c>
      <c r="C6" s="10" t="s">
        <v>26</v>
      </c>
      <c r="D6" s="10" t="s">
        <v>26</v>
      </c>
      <c r="E6" s="10" t="s">
        <v>26</v>
      </c>
      <c r="F6" s="10" t="s">
        <v>26</v>
      </c>
      <c r="G6" s="10" t="s">
        <v>26</v>
      </c>
      <c r="H6" s="10" t="s">
        <v>26</v>
      </c>
      <c r="I6" s="11" t="s">
        <v>26</v>
      </c>
      <c r="J6" s="11" t="s">
        <v>26</v>
      </c>
      <c r="K6" s="10" t="s">
        <v>26</v>
      </c>
      <c r="L6" s="10" t="s">
        <v>26</v>
      </c>
      <c r="M6" s="10" t="s">
        <v>26</v>
      </c>
      <c r="N6" s="10" t="s">
        <v>26</v>
      </c>
      <c r="O6" s="10" t="s">
        <v>26</v>
      </c>
      <c r="P6" s="10" t="s">
        <v>26</v>
      </c>
      <c r="Q6" s="10" t="s">
        <v>26</v>
      </c>
      <c r="R6" s="10" t="s">
        <v>26</v>
      </c>
      <c r="S6" s="10" t="s">
        <v>26</v>
      </c>
      <c r="T6" s="10" t="s">
        <v>26</v>
      </c>
      <c r="U6" s="10" t="s">
        <v>26</v>
      </c>
      <c r="V6" s="10" t="s">
        <v>26</v>
      </c>
      <c r="W6" s="10" t="s">
        <v>26</v>
      </c>
      <c r="X6" s="10" t="s">
        <v>26</v>
      </c>
    </row>
    <row r="7">
      <c r="A7" s="8">
        <v>40330.0</v>
      </c>
      <c r="B7" s="9">
        <f>IFERROR(__xludf.DUMMYFUNCTION("""COMPUTED_VALUE"""),2540.0)</f>
        <v>2540</v>
      </c>
      <c r="C7" s="10" t="s">
        <v>26</v>
      </c>
      <c r="D7" s="10" t="s">
        <v>26</v>
      </c>
      <c r="E7" s="10" t="s">
        <v>26</v>
      </c>
      <c r="F7" s="10" t="s">
        <v>26</v>
      </c>
      <c r="G7" s="10" t="s">
        <v>26</v>
      </c>
      <c r="H7" s="10" t="s">
        <v>26</v>
      </c>
      <c r="I7" s="11" t="s">
        <v>26</v>
      </c>
      <c r="J7" s="11" t="s">
        <v>26</v>
      </c>
      <c r="K7" s="10" t="s">
        <v>26</v>
      </c>
      <c r="L7" s="10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  <c r="R7" s="10" t="s">
        <v>26</v>
      </c>
      <c r="S7" s="10" t="s">
        <v>26</v>
      </c>
      <c r="T7" s="10" t="s">
        <v>26</v>
      </c>
      <c r="U7" s="10" t="s">
        <v>26</v>
      </c>
      <c r="V7" s="10" t="s">
        <v>26</v>
      </c>
      <c r="W7" s="10" t="s">
        <v>26</v>
      </c>
      <c r="X7" s="10" t="s">
        <v>26</v>
      </c>
    </row>
    <row r="8">
      <c r="A8" s="8">
        <v>40360.0</v>
      </c>
      <c r="B8" s="9">
        <f>IFERROR(__xludf.DUMMYFUNCTION("""COMPUTED_VALUE"""),2765.0)</f>
        <v>2765</v>
      </c>
      <c r="C8" s="10" t="s">
        <v>26</v>
      </c>
      <c r="D8" s="10" t="s">
        <v>26</v>
      </c>
      <c r="E8" s="10" t="s">
        <v>26</v>
      </c>
      <c r="F8" s="10" t="s">
        <v>26</v>
      </c>
      <c r="G8" s="10" t="s">
        <v>26</v>
      </c>
      <c r="H8" s="10" t="s">
        <v>26</v>
      </c>
      <c r="I8" s="11" t="s">
        <v>26</v>
      </c>
      <c r="J8" s="11" t="s">
        <v>26</v>
      </c>
      <c r="K8" s="10" t="s">
        <v>26</v>
      </c>
      <c r="L8" s="10" t="s">
        <v>26</v>
      </c>
      <c r="M8" s="10" t="s">
        <v>26</v>
      </c>
      <c r="N8" s="10" t="s">
        <v>26</v>
      </c>
      <c r="O8" s="10" t="s">
        <v>26</v>
      </c>
      <c r="P8" s="10" t="s">
        <v>26</v>
      </c>
      <c r="Q8" s="10" t="s">
        <v>26</v>
      </c>
      <c r="R8" s="10" t="s">
        <v>26</v>
      </c>
      <c r="S8" s="10" t="s">
        <v>26</v>
      </c>
      <c r="T8" s="10" t="s">
        <v>26</v>
      </c>
      <c r="U8" s="10" t="s">
        <v>26</v>
      </c>
      <c r="V8" s="10" t="s">
        <v>26</v>
      </c>
      <c r="W8" s="10" t="s">
        <v>26</v>
      </c>
      <c r="X8" s="10" t="s">
        <v>26</v>
      </c>
    </row>
    <row r="9">
      <c r="A9" s="8">
        <v>40391.0</v>
      </c>
      <c r="B9" s="9">
        <f>IFERROR(__xludf.DUMMYFUNCTION("""COMPUTED_VALUE"""),3504.0)</f>
        <v>3504</v>
      </c>
      <c r="C9" s="10" t="s">
        <v>26</v>
      </c>
      <c r="D9" s="10" t="s">
        <v>26</v>
      </c>
      <c r="E9" s="10" t="s">
        <v>26</v>
      </c>
      <c r="F9" s="10" t="s">
        <v>26</v>
      </c>
      <c r="G9" s="10" t="s">
        <v>26</v>
      </c>
      <c r="H9" s="10" t="s">
        <v>26</v>
      </c>
      <c r="I9" s="11" t="s">
        <v>26</v>
      </c>
      <c r="J9" s="11" t="s">
        <v>26</v>
      </c>
      <c r="K9" s="10" t="s">
        <v>26</v>
      </c>
      <c r="L9" s="10" t="s">
        <v>26</v>
      </c>
      <c r="M9" s="10" t="s">
        <v>26</v>
      </c>
      <c r="N9" s="10" t="s">
        <v>26</v>
      </c>
      <c r="O9" s="10" t="s">
        <v>26</v>
      </c>
      <c r="P9" s="10" t="s">
        <v>26</v>
      </c>
      <c r="Q9" s="10" t="s">
        <v>26</v>
      </c>
      <c r="R9" s="10" t="s">
        <v>26</v>
      </c>
      <c r="S9" s="10" t="s">
        <v>26</v>
      </c>
      <c r="T9" s="10" t="s">
        <v>26</v>
      </c>
      <c r="U9" s="10" t="s">
        <v>26</v>
      </c>
      <c r="V9" s="10" t="s">
        <v>26</v>
      </c>
      <c r="W9" s="10" t="s">
        <v>26</v>
      </c>
      <c r="X9" s="10" t="s">
        <v>26</v>
      </c>
    </row>
    <row r="10">
      <c r="A10" s="8">
        <v>40422.0</v>
      </c>
      <c r="B10" s="9">
        <f>IFERROR(__xludf.DUMMYFUNCTION("""COMPUTED_VALUE"""),114.0)</f>
        <v>114</v>
      </c>
      <c r="C10" s="10" t="s">
        <v>26</v>
      </c>
      <c r="D10" s="10" t="s">
        <v>26</v>
      </c>
      <c r="E10" s="10" t="s">
        <v>26</v>
      </c>
      <c r="F10" s="10" t="s">
        <v>26</v>
      </c>
      <c r="G10" s="10" t="s">
        <v>26</v>
      </c>
      <c r="H10" s="10" t="s">
        <v>26</v>
      </c>
      <c r="I10" s="11" t="s">
        <v>26</v>
      </c>
      <c r="J10" s="11" t="s">
        <v>26</v>
      </c>
      <c r="K10" s="10" t="s">
        <v>26</v>
      </c>
      <c r="L10" s="10" t="s">
        <v>26</v>
      </c>
      <c r="M10" s="10" t="s">
        <v>26</v>
      </c>
      <c r="N10" s="10" t="s">
        <v>26</v>
      </c>
      <c r="O10" s="10" t="s">
        <v>26</v>
      </c>
      <c r="P10" s="10" t="s">
        <v>26</v>
      </c>
      <c r="Q10" s="10" t="s">
        <v>26</v>
      </c>
      <c r="R10" s="10" t="s">
        <v>26</v>
      </c>
      <c r="S10" s="10" t="s">
        <v>26</v>
      </c>
      <c r="T10" s="10" t="s">
        <v>26</v>
      </c>
      <c r="U10" s="10" t="s">
        <v>26</v>
      </c>
      <c r="V10" s="10" t="s">
        <v>26</v>
      </c>
      <c r="W10" s="10" t="s">
        <v>26</v>
      </c>
      <c r="X10" s="10" t="s">
        <v>26</v>
      </c>
    </row>
    <row r="11">
      <c r="A11" s="8">
        <v>40452.0</v>
      </c>
      <c r="B11" s="9">
        <f>IFERROR(__xludf.DUMMYFUNCTION("""COMPUTED_VALUE"""),946.0)</f>
        <v>946</v>
      </c>
      <c r="C11" s="10" t="s">
        <v>26</v>
      </c>
      <c r="D11" s="10" t="s">
        <v>26</v>
      </c>
      <c r="E11" s="10" t="s">
        <v>26</v>
      </c>
      <c r="F11" s="10" t="s">
        <v>26</v>
      </c>
      <c r="G11" s="10" t="s">
        <v>26</v>
      </c>
      <c r="H11" s="10" t="s">
        <v>26</v>
      </c>
      <c r="I11" s="11" t="s">
        <v>26</v>
      </c>
      <c r="J11" s="11" t="s">
        <v>26</v>
      </c>
      <c r="K11" s="10" t="s">
        <v>26</v>
      </c>
      <c r="L11" s="10" t="s">
        <v>26</v>
      </c>
      <c r="M11" s="10" t="s">
        <v>26</v>
      </c>
      <c r="N11" s="10" t="s">
        <v>26</v>
      </c>
      <c r="O11" s="10" t="s">
        <v>26</v>
      </c>
      <c r="P11" s="10" t="s">
        <v>26</v>
      </c>
      <c r="Q11" s="10" t="s">
        <v>26</v>
      </c>
      <c r="R11" s="10" t="s">
        <v>26</v>
      </c>
      <c r="S11" s="10" t="s">
        <v>26</v>
      </c>
      <c r="T11" s="10" t="s">
        <v>26</v>
      </c>
      <c r="U11" s="10" t="s">
        <v>26</v>
      </c>
      <c r="V11" s="10" t="s">
        <v>26</v>
      </c>
      <c r="W11" s="10" t="s">
        <v>26</v>
      </c>
      <c r="X11" s="10" t="s">
        <v>26</v>
      </c>
    </row>
    <row r="12">
      <c r="A12" s="8">
        <v>40483.0</v>
      </c>
      <c r="B12" s="9">
        <f>IFERROR(__xludf.DUMMYFUNCTION("""COMPUTED_VALUE"""),833.0)</f>
        <v>833</v>
      </c>
      <c r="C12" s="10" t="s">
        <v>26</v>
      </c>
      <c r="D12" s="10" t="s">
        <v>26</v>
      </c>
      <c r="E12" s="10" t="s">
        <v>26</v>
      </c>
      <c r="F12" s="10" t="s">
        <v>26</v>
      </c>
      <c r="G12" s="10" t="s">
        <v>26</v>
      </c>
      <c r="H12" s="10" t="s">
        <v>26</v>
      </c>
      <c r="I12" s="11" t="s">
        <v>26</v>
      </c>
      <c r="J12" s="11" t="s">
        <v>26</v>
      </c>
      <c r="K12" s="10" t="s">
        <v>26</v>
      </c>
      <c r="L12" s="10" t="s">
        <v>26</v>
      </c>
      <c r="M12" s="10" t="s">
        <v>26</v>
      </c>
      <c r="N12" s="10" t="s">
        <v>26</v>
      </c>
      <c r="O12" s="10" t="s">
        <v>26</v>
      </c>
      <c r="P12" s="10" t="s">
        <v>26</v>
      </c>
      <c r="Q12" s="10" t="s">
        <v>26</v>
      </c>
      <c r="R12" s="10" t="s">
        <v>26</v>
      </c>
      <c r="S12" s="10" t="s">
        <v>26</v>
      </c>
      <c r="T12" s="10" t="s">
        <v>26</v>
      </c>
      <c r="U12" s="10" t="s">
        <v>26</v>
      </c>
      <c r="V12" s="10" t="s">
        <v>26</v>
      </c>
      <c r="W12" s="10" t="s">
        <v>26</v>
      </c>
      <c r="X12" s="10" t="s">
        <v>26</v>
      </c>
    </row>
    <row r="13">
      <c r="A13" s="8">
        <v>40513.0</v>
      </c>
      <c r="B13" s="9">
        <f>IFERROR(__xludf.DUMMYFUNCTION("""COMPUTED_VALUE"""),600.0)</f>
        <v>600</v>
      </c>
      <c r="C13" s="10" t="s">
        <v>26</v>
      </c>
      <c r="D13" s="10" t="s">
        <v>26</v>
      </c>
      <c r="E13" s="10" t="s">
        <v>26</v>
      </c>
      <c r="F13" s="10" t="s">
        <v>26</v>
      </c>
      <c r="G13" s="10" t="s">
        <v>26</v>
      </c>
      <c r="H13" s="10" t="s">
        <v>26</v>
      </c>
      <c r="I13" s="11" t="s">
        <v>26</v>
      </c>
      <c r="J13" s="11" t="s">
        <v>26</v>
      </c>
      <c r="K13" s="10" t="s">
        <v>26</v>
      </c>
      <c r="L13" s="10" t="s">
        <v>26</v>
      </c>
      <c r="M13" s="10" t="s">
        <v>26</v>
      </c>
      <c r="N13" s="10" t="s">
        <v>26</v>
      </c>
      <c r="O13" s="10" t="s">
        <v>26</v>
      </c>
      <c r="P13" s="10" t="s">
        <v>26</v>
      </c>
      <c r="Q13" s="10" t="s">
        <v>26</v>
      </c>
      <c r="R13" s="10" t="s">
        <v>26</v>
      </c>
      <c r="S13" s="10" t="s">
        <v>26</v>
      </c>
      <c r="T13" s="10" t="s">
        <v>26</v>
      </c>
      <c r="U13" s="10" t="s">
        <v>26</v>
      </c>
      <c r="V13" s="10" t="s">
        <v>26</v>
      </c>
      <c r="W13" s="10" t="s">
        <v>26</v>
      </c>
      <c r="X13" s="10" t="s">
        <v>26</v>
      </c>
    </row>
    <row r="14">
      <c r="A14" s="8">
        <v>40544.0</v>
      </c>
      <c r="B14" s="9">
        <f>IFERROR(__xludf.DUMMYFUNCTION("""COMPUTED_VALUE"""),1440.0)</f>
        <v>1440</v>
      </c>
      <c r="C14" s="10" t="s">
        <v>26</v>
      </c>
      <c r="D14" s="10" t="s">
        <v>26</v>
      </c>
      <c r="E14" s="10" t="s">
        <v>26</v>
      </c>
      <c r="F14" s="10" t="s">
        <v>26</v>
      </c>
      <c r="G14" s="10" t="s">
        <v>26</v>
      </c>
      <c r="H14" s="10" t="s">
        <v>26</v>
      </c>
      <c r="I14" s="11" t="s">
        <v>26</v>
      </c>
      <c r="J14" s="11" t="s">
        <v>26</v>
      </c>
      <c r="K14" s="10" t="s">
        <v>26</v>
      </c>
      <c r="L14" s="10" t="s">
        <v>26</v>
      </c>
      <c r="M14" s="10" t="s">
        <v>26</v>
      </c>
      <c r="N14" s="10" t="s">
        <v>26</v>
      </c>
      <c r="O14" s="10" t="s">
        <v>26</v>
      </c>
      <c r="P14" s="10" t="s">
        <v>26</v>
      </c>
      <c r="Q14" s="10" t="s">
        <v>26</v>
      </c>
      <c r="R14" s="10" t="s">
        <v>26</v>
      </c>
      <c r="S14" s="10" t="s">
        <v>26</v>
      </c>
      <c r="T14" s="10" t="s">
        <v>26</v>
      </c>
      <c r="U14" s="10" t="s">
        <v>26</v>
      </c>
      <c r="V14" s="10" t="s">
        <v>26</v>
      </c>
      <c r="W14" s="10" t="s">
        <v>26</v>
      </c>
      <c r="X14" s="10" t="s">
        <v>26</v>
      </c>
    </row>
    <row r="15">
      <c r="A15" s="8">
        <v>40575.0</v>
      </c>
      <c r="B15" s="9">
        <f>IFERROR(__xludf.DUMMYFUNCTION("""COMPUTED_VALUE"""),1821.0)</f>
        <v>1821</v>
      </c>
      <c r="C15" s="10" t="s">
        <v>26</v>
      </c>
      <c r="D15" s="10" t="s">
        <v>26</v>
      </c>
      <c r="E15" s="10" t="s">
        <v>26</v>
      </c>
      <c r="F15" s="10" t="s">
        <v>26</v>
      </c>
      <c r="G15" s="10" t="s">
        <v>26</v>
      </c>
      <c r="H15" s="10" t="s">
        <v>26</v>
      </c>
      <c r="I15" s="11" t="s">
        <v>26</v>
      </c>
      <c r="J15" s="11" t="s">
        <v>26</v>
      </c>
      <c r="K15" s="10" t="s">
        <v>26</v>
      </c>
      <c r="L15" s="10" t="s">
        <v>26</v>
      </c>
      <c r="M15" s="10" t="s">
        <v>26</v>
      </c>
      <c r="N15" s="10" t="s">
        <v>26</v>
      </c>
      <c r="O15" s="10" t="s">
        <v>26</v>
      </c>
      <c r="P15" s="10" t="s">
        <v>26</v>
      </c>
      <c r="Q15" s="10" t="s">
        <v>26</v>
      </c>
      <c r="R15" s="10" t="s">
        <v>26</v>
      </c>
      <c r="S15" s="10" t="s">
        <v>26</v>
      </c>
      <c r="T15" s="10" t="s">
        <v>26</v>
      </c>
      <c r="U15" s="10" t="s">
        <v>26</v>
      </c>
      <c r="V15" s="10" t="s">
        <v>26</v>
      </c>
      <c r="W15" s="10" t="s">
        <v>26</v>
      </c>
      <c r="X15" s="10" t="s">
        <v>26</v>
      </c>
    </row>
    <row r="16">
      <c r="A16" s="8">
        <v>40603.0</v>
      </c>
      <c r="B16" s="9">
        <f>IFERROR(__xludf.DUMMYFUNCTION("""COMPUTED_VALUE"""),370.0)</f>
        <v>370</v>
      </c>
      <c r="C16" s="10" t="s">
        <v>26</v>
      </c>
      <c r="D16" s="10" t="s">
        <v>26</v>
      </c>
      <c r="E16" s="10" t="s">
        <v>26</v>
      </c>
      <c r="F16" s="10" t="s">
        <v>26</v>
      </c>
      <c r="G16" s="10" t="s">
        <v>26</v>
      </c>
      <c r="H16" s="10" t="s">
        <v>26</v>
      </c>
      <c r="I16" s="11" t="s">
        <v>26</v>
      </c>
      <c r="J16" s="11" t="s">
        <v>26</v>
      </c>
      <c r="K16" s="10" t="s">
        <v>26</v>
      </c>
      <c r="L16" s="10" t="s">
        <v>26</v>
      </c>
      <c r="M16" s="10" t="s">
        <v>26</v>
      </c>
      <c r="N16" s="10" t="s">
        <v>26</v>
      </c>
      <c r="O16" s="10" t="s">
        <v>26</v>
      </c>
      <c r="P16" s="10" t="s">
        <v>26</v>
      </c>
      <c r="Q16" s="10" t="s">
        <v>26</v>
      </c>
      <c r="R16" s="10" t="s">
        <v>26</v>
      </c>
      <c r="S16" s="10" t="s">
        <v>26</v>
      </c>
      <c r="T16" s="10" t="s">
        <v>26</v>
      </c>
      <c r="U16" s="10" t="s">
        <v>26</v>
      </c>
      <c r="V16" s="10" t="s">
        <v>26</v>
      </c>
      <c r="W16" s="10" t="s">
        <v>26</v>
      </c>
      <c r="X16" s="10" t="s">
        <v>26</v>
      </c>
    </row>
    <row r="17">
      <c r="A17" s="8">
        <v>40634.0</v>
      </c>
      <c r="B17" s="9">
        <f>IFERROR(__xludf.DUMMYFUNCTION("""COMPUTED_VALUE"""),864.0)</f>
        <v>864</v>
      </c>
      <c r="C17" s="10" t="s">
        <v>26</v>
      </c>
      <c r="D17" s="10" t="s">
        <v>26</v>
      </c>
      <c r="E17" s="10" t="s">
        <v>26</v>
      </c>
      <c r="F17" s="10" t="s">
        <v>26</v>
      </c>
      <c r="G17" s="10" t="s">
        <v>26</v>
      </c>
      <c r="H17" s="10" t="s">
        <v>26</v>
      </c>
      <c r="I17" s="11" t="s">
        <v>26</v>
      </c>
      <c r="J17" s="11" t="s">
        <v>26</v>
      </c>
      <c r="K17" s="10" t="s">
        <v>26</v>
      </c>
      <c r="L17" s="10" t="s">
        <v>26</v>
      </c>
      <c r="M17" s="10" t="s">
        <v>26</v>
      </c>
      <c r="N17" s="10" t="s">
        <v>26</v>
      </c>
      <c r="O17" s="10" t="s">
        <v>26</v>
      </c>
      <c r="P17" s="10" t="s">
        <v>26</v>
      </c>
      <c r="Q17" s="10" t="s">
        <v>26</v>
      </c>
      <c r="R17" s="10" t="s">
        <v>26</v>
      </c>
      <c r="S17" s="10" t="s">
        <v>26</v>
      </c>
      <c r="T17" s="10" t="s">
        <v>26</v>
      </c>
      <c r="U17" s="10" t="s">
        <v>26</v>
      </c>
      <c r="V17" s="10" t="s">
        <v>26</v>
      </c>
      <c r="W17" s="10" t="s">
        <v>26</v>
      </c>
      <c r="X17" s="10" t="s">
        <v>26</v>
      </c>
    </row>
    <row r="18">
      <c r="A18" s="8">
        <v>40664.0</v>
      </c>
      <c r="B18" s="9">
        <f>IFERROR(__xludf.DUMMYFUNCTION("""COMPUTED_VALUE"""),451.0)</f>
        <v>451</v>
      </c>
      <c r="C18" s="10" t="s">
        <v>26</v>
      </c>
      <c r="D18" s="10" t="s">
        <v>26</v>
      </c>
      <c r="E18" s="10" t="s">
        <v>26</v>
      </c>
      <c r="F18" s="10" t="s">
        <v>26</v>
      </c>
      <c r="G18" s="10" t="s">
        <v>26</v>
      </c>
      <c r="H18" s="10" t="s">
        <v>26</v>
      </c>
      <c r="I18" s="11" t="s">
        <v>26</v>
      </c>
      <c r="J18" s="11" t="s">
        <v>26</v>
      </c>
      <c r="K18" s="10" t="s">
        <v>26</v>
      </c>
      <c r="L18" s="10" t="s">
        <v>26</v>
      </c>
      <c r="M18" s="10" t="s">
        <v>26</v>
      </c>
      <c r="N18" s="10" t="s">
        <v>26</v>
      </c>
      <c r="O18" s="10" t="s">
        <v>26</v>
      </c>
      <c r="P18" s="10" t="s">
        <v>26</v>
      </c>
      <c r="Q18" s="10" t="s">
        <v>26</v>
      </c>
      <c r="R18" s="10" t="s">
        <v>26</v>
      </c>
      <c r="S18" s="10" t="s">
        <v>26</v>
      </c>
      <c r="T18" s="10" t="s">
        <v>26</v>
      </c>
      <c r="U18" s="10" t="s">
        <v>26</v>
      </c>
      <c r="V18" s="10" t="s">
        <v>26</v>
      </c>
      <c r="W18" s="10" t="s">
        <v>26</v>
      </c>
      <c r="X18" s="10" t="s">
        <v>26</v>
      </c>
    </row>
    <row r="19">
      <c r="A19" s="8">
        <v>40695.0</v>
      </c>
      <c r="B19" s="9">
        <f>IFERROR(__xludf.DUMMYFUNCTION("""COMPUTED_VALUE"""),1058.0)</f>
        <v>1058</v>
      </c>
      <c r="C19" s="10" t="s">
        <v>26</v>
      </c>
      <c r="D19" s="10" t="s">
        <v>26</v>
      </c>
      <c r="E19" s="10" t="s">
        <v>26</v>
      </c>
      <c r="F19" s="10" t="s">
        <v>26</v>
      </c>
      <c r="G19" s="10" t="s">
        <v>26</v>
      </c>
      <c r="H19" s="10" t="s">
        <v>26</v>
      </c>
      <c r="I19" s="11" t="s">
        <v>26</v>
      </c>
      <c r="J19" s="11" t="s">
        <v>26</v>
      </c>
      <c r="K19" s="10" t="s">
        <v>26</v>
      </c>
      <c r="L19" s="10" t="s">
        <v>26</v>
      </c>
      <c r="M19" s="10" t="s">
        <v>26</v>
      </c>
      <c r="N19" s="10" t="s">
        <v>26</v>
      </c>
      <c r="O19" s="10" t="s">
        <v>26</v>
      </c>
      <c r="P19" s="10" t="s">
        <v>26</v>
      </c>
      <c r="Q19" s="10" t="s">
        <v>26</v>
      </c>
      <c r="R19" s="10" t="s">
        <v>26</v>
      </c>
      <c r="S19" s="10" t="s">
        <v>26</v>
      </c>
      <c r="T19" s="10" t="s">
        <v>26</v>
      </c>
      <c r="U19" s="10" t="s">
        <v>26</v>
      </c>
      <c r="V19" s="10" t="s">
        <v>26</v>
      </c>
      <c r="W19" s="10" t="s">
        <v>26</v>
      </c>
      <c r="X19" s="10" t="s">
        <v>26</v>
      </c>
    </row>
    <row r="20">
      <c r="A20" s="8">
        <v>40725.0</v>
      </c>
      <c r="B20" s="9">
        <f>IFERROR(__xludf.DUMMYFUNCTION("""COMPUTED_VALUE"""),28.0)</f>
        <v>28</v>
      </c>
      <c r="C20" s="10" t="s">
        <v>26</v>
      </c>
      <c r="D20" s="10" t="s">
        <v>26</v>
      </c>
      <c r="E20" s="10" t="s">
        <v>26</v>
      </c>
      <c r="F20" s="10" t="s">
        <v>26</v>
      </c>
      <c r="G20" s="10" t="s">
        <v>26</v>
      </c>
      <c r="H20" s="10" t="s">
        <v>26</v>
      </c>
      <c r="I20" s="11" t="s">
        <v>26</v>
      </c>
      <c r="J20" s="11" t="s">
        <v>26</v>
      </c>
      <c r="K20" s="10" t="s">
        <v>26</v>
      </c>
      <c r="L20" s="10" t="s">
        <v>26</v>
      </c>
      <c r="M20" s="10" t="s">
        <v>26</v>
      </c>
      <c r="N20" s="10" t="s">
        <v>26</v>
      </c>
      <c r="O20" s="10" t="s">
        <v>26</v>
      </c>
      <c r="P20" s="10" t="s">
        <v>26</v>
      </c>
      <c r="Q20" s="10" t="s">
        <v>26</v>
      </c>
      <c r="R20" s="10" t="s">
        <v>26</v>
      </c>
      <c r="S20" s="10" t="s">
        <v>26</v>
      </c>
      <c r="T20" s="10" t="s">
        <v>26</v>
      </c>
      <c r="U20" s="10" t="s">
        <v>26</v>
      </c>
      <c r="V20" s="10" t="s">
        <v>26</v>
      </c>
      <c r="W20" s="10" t="s">
        <v>26</v>
      </c>
      <c r="X20" s="10" t="s">
        <v>26</v>
      </c>
    </row>
    <row r="21">
      <c r="A21" s="8">
        <v>40756.0</v>
      </c>
      <c r="B21" s="9">
        <f>IFERROR(__xludf.DUMMYFUNCTION("""COMPUTED_VALUE"""),2129.0)</f>
        <v>2129</v>
      </c>
      <c r="C21" s="12">
        <v>307.157609881831</v>
      </c>
      <c r="D21" s="12">
        <v>1072.49566836915</v>
      </c>
      <c r="E21" s="12">
        <v>0.0</v>
      </c>
      <c r="F21" s="12">
        <v>284.92</v>
      </c>
      <c r="G21" s="12">
        <v>263.443554538171</v>
      </c>
      <c r="H21" s="12">
        <v>1385.0</v>
      </c>
      <c r="I21" s="13">
        <v>2082.83812597671</v>
      </c>
      <c r="J21" s="13">
        <v>258.530441731642</v>
      </c>
      <c r="K21" s="12">
        <v>761.816888787928</v>
      </c>
      <c r="L21" s="12">
        <v>174.030329302371</v>
      </c>
      <c r="M21" s="12">
        <v>328.0</v>
      </c>
      <c r="N21" s="12">
        <v>1589.04558333333</v>
      </c>
      <c r="O21" s="12">
        <v>475.500866603438</v>
      </c>
      <c r="P21" s="12">
        <v>1587.98991727645</v>
      </c>
      <c r="Q21" s="12">
        <v>374.815533004799</v>
      </c>
      <c r="R21" s="12">
        <v>1403.52467323493</v>
      </c>
      <c r="S21" s="12">
        <v>239.456428571429</v>
      </c>
      <c r="T21" s="12">
        <v>2537.33889277552</v>
      </c>
      <c r="U21" s="12">
        <v>302.185027942882</v>
      </c>
      <c r="V21" s="12">
        <v>95.3572013650165</v>
      </c>
      <c r="W21" s="12">
        <v>1509.15</v>
      </c>
      <c r="X21" s="12">
        <v>562.941146985757</v>
      </c>
    </row>
    <row r="22">
      <c r="A22" s="8">
        <v>40787.0</v>
      </c>
      <c r="B22" s="9"/>
      <c r="C22" s="12">
        <v>546.595499305857</v>
      </c>
      <c r="D22" s="12">
        <v>1186.03073145631</v>
      </c>
      <c r="E22" s="12">
        <v>0.0</v>
      </c>
      <c r="F22" s="12">
        <v>411.0</v>
      </c>
      <c r="G22" s="12">
        <v>448.2117946381</v>
      </c>
      <c r="H22" s="12" t="s">
        <v>284</v>
      </c>
      <c r="I22" s="13">
        <v>643.043335078994</v>
      </c>
      <c r="J22" s="13">
        <v>470.511307010518</v>
      </c>
      <c r="K22" s="12">
        <v>1843.59210843675</v>
      </c>
      <c r="L22" s="12">
        <v>137.836796681359</v>
      </c>
      <c r="M22" s="12">
        <v>781.0</v>
      </c>
      <c r="N22" s="12">
        <v>368.789470268934</v>
      </c>
      <c r="O22" s="12">
        <v>221.514108069488</v>
      </c>
      <c r="P22" s="12">
        <v>204.767166666667</v>
      </c>
      <c r="Q22" s="12">
        <v>231.075268421488</v>
      </c>
      <c r="R22" s="12">
        <v>313.023734268889</v>
      </c>
      <c r="S22" s="12">
        <v>225.858571428571</v>
      </c>
      <c r="T22" s="12">
        <v>997.334019784006</v>
      </c>
      <c r="U22" s="12">
        <v>434.050461836944</v>
      </c>
      <c r="V22" s="12">
        <v>241.388372917847</v>
      </c>
      <c r="W22" s="12">
        <v>124.15</v>
      </c>
      <c r="X22" s="12">
        <v>562.941146985757</v>
      </c>
    </row>
    <row r="23">
      <c r="A23" s="8">
        <v>40817.0</v>
      </c>
      <c r="B23" s="9">
        <f>IFERROR(__xludf.DUMMYFUNCTION("""COMPUTED_VALUE"""),986.0)</f>
        <v>986</v>
      </c>
      <c r="C23" s="12">
        <v>291.82164354563</v>
      </c>
      <c r="D23" s="12">
        <v>1204.78225091959</v>
      </c>
      <c r="E23" s="12">
        <v>0.0</v>
      </c>
      <c r="F23" s="12">
        <v>523.48</v>
      </c>
      <c r="G23" s="12">
        <v>196.088551174866</v>
      </c>
      <c r="H23" s="12">
        <v>305.0</v>
      </c>
      <c r="I23" s="13">
        <v>292.233691116378</v>
      </c>
      <c r="J23" s="13">
        <v>255.640292472337</v>
      </c>
      <c r="K23" s="12">
        <v>273.659196717005</v>
      </c>
      <c r="L23" s="12">
        <v>93.5012931975355</v>
      </c>
      <c r="M23" s="12">
        <v>2.1</v>
      </c>
      <c r="N23" s="12">
        <v>515.630083333333</v>
      </c>
      <c r="O23" s="12">
        <v>442.750295514368</v>
      </c>
      <c r="P23" s="12">
        <v>1028.01452539476</v>
      </c>
      <c r="Q23" s="12">
        <v>516.672900597819</v>
      </c>
      <c r="R23" s="12">
        <v>375.050750301382</v>
      </c>
      <c r="S23" s="12">
        <v>226.200714285714</v>
      </c>
      <c r="T23" s="12">
        <v>1498.54735216739</v>
      </c>
      <c r="U23" s="12">
        <v>441.308135216393</v>
      </c>
      <c r="V23" s="12">
        <v>294.590244581884</v>
      </c>
      <c r="W23" s="12">
        <v>498.94</v>
      </c>
      <c r="X23" s="12">
        <v>458.55983952012</v>
      </c>
    </row>
    <row r="24">
      <c r="A24" s="8">
        <v>40848.0</v>
      </c>
      <c r="B24" s="9">
        <f>IFERROR(__xludf.DUMMYFUNCTION("""COMPUTED_VALUE"""),60.0)</f>
        <v>60</v>
      </c>
      <c r="C24" s="12">
        <v>599.57</v>
      </c>
      <c r="D24" s="12">
        <v>1364.89047910765</v>
      </c>
      <c r="E24" s="12">
        <v>0.0</v>
      </c>
      <c r="F24" s="12">
        <v>451.0</v>
      </c>
      <c r="G24" s="12">
        <v>372.981069957233</v>
      </c>
      <c r="H24" s="12">
        <v>1000.4485515826</v>
      </c>
      <c r="I24" s="13">
        <v>601.694391045626</v>
      </c>
      <c r="J24" s="13">
        <v>289.71</v>
      </c>
      <c r="K24" s="12">
        <v>249.12375</v>
      </c>
      <c r="L24" s="12">
        <v>421.555</v>
      </c>
      <c r="M24" s="12">
        <v>54.6</v>
      </c>
      <c r="N24" s="12">
        <v>699.702611564355</v>
      </c>
      <c r="O24" s="12">
        <v>692.306295301155</v>
      </c>
      <c r="P24" s="12">
        <v>256.811916666667</v>
      </c>
      <c r="Q24" s="12">
        <v>508.991508664926</v>
      </c>
      <c r="R24" s="12">
        <v>302.267587471637</v>
      </c>
      <c r="S24" s="12">
        <v>249.202142857143</v>
      </c>
      <c r="T24" s="12">
        <v>607.946129450369</v>
      </c>
      <c r="U24" s="12">
        <v>569.266852542899</v>
      </c>
      <c r="V24" s="12">
        <v>115.312722219165</v>
      </c>
      <c r="W24" s="12">
        <v>253.43</v>
      </c>
      <c r="X24" s="12">
        <v>378.55983952012</v>
      </c>
    </row>
    <row r="25">
      <c r="A25" s="8">
        <v>40878.0</v>
      </c>
      <c r="B25" s="9"/>
      <c r="C25" s="12">
        <v>657.609143086973</v>
      </c>
      <c r="D25" s="12">
        <v>937.390479107653</v>
      </c>
      <c r="E25" s="12">
        <v>0.0</v>
      </c>
      <c r="F25" s="12">
        <v>312.01</v>
      </c>
      <c r="G25" s="12">
        <v>460.882520559005</v>
      </c>
      <c r="H25" s="12">
        <v>326.0</v>
      </c>
      <c r="I25" s="13">
        <v>658.297328047973</v>
      </c>
      <c r="J25" s="13">
        <v>291.739733368963</v>
      </c>
      <c r="K25" s="12">
        <v>329.570153182377</v>
      </c>
      <c r="L25" s="12">
        <v>165.436159387033</v>
      </c>
      <c r="M25" s="12">
        <v>720.0</v>
      </c>
      <c r="N25" s="12">
        <v>633.384166666667</v>
      </c>
      <c r="O25" s="12">
        <v>355.468903545241</v>
      </c>
      <c r="P25" s="12">
        <v>307.384166666667</v>
      </c>
      <c r="Q25" s="12">
        <v>352.411878950417</v>
      </c>
      <c r="R25" s="12">
        <v>328.50125</v>
      </c>
      <c r="S25" s="12">
        <v>258.644285714286</v>
      </c>
      <c r="T25" s="12">
        <v>115.621656521236</v>
      </c>
      <c r="U25" s="12">
        <v>638.270649081761</v>
      </c>
      <c r="V25" s="12">
        <v>131.795522874019</v>
      </c>
      <c r="W25" s="12">
        <v>615.71</v>
      </c>
      <c r="X25" s="12">
        <v>498.55983952012</v>
      </c>
    </row>
    <row r="26">
      <c r="A26" s="8">
        <v>40909.0</v>
      </c>
      <c r="B26" s="9"/>
      <c r="C26" s="12">
        <v>524.654779601557</v>
      </c>
      <c r="D26" s="12">
        <v>1428.89047910765</v>
      </c>
      <c r="E26" s="12">
        <v>0.0</v>
      </c>
      <c r="F26" s="12">
        <v>469.850795858759</v>
      </c>
      <c r="G26" s="12">
        <v>472.808142111125</v>
      </c>
      <c r="H26" s="12">
        <v>1247.0</v>
      </c>
      <c r="I26" s="13">
        <v>544.364980854361</v>
      </c>
      <c r="J26" s="13">
        <v>601.542830203259</v>
      </c>
      <c r="K26" s="12">
        <v>391.567151898852</v>
      </c>
      <c r="L26" s="12">
        <v>818.797814503282</v>
      </c>
      <c r="M26" s="12">
        <v>65.8870399069403</v>
      </c>
      <c r="N26" s="12">
        <v>1585.19291666667</v>
      </c>
      <c r="O26" s="12">
        <v>357.006281556049</v>
      </c>
      <c r="P26" s="12">
        <v>338.192916666667</v>
      </c>
      <c r="Q26" s="12">
        <v>430.522310527747</v>
      </c>
      <c r="R26" s="12">
        <v>396.945306098931</v>
      </c>
      <c r="S26" s="12">
        <v>264.577857142857</v>
      </c>
      <c r="T26" s="12">
        <v>325.857809009802</v>
      </c>
      <c r="U26" s="12">
        <v>590.925666082728</v>
      </c>
      <c r="V26" s="12">
        <v>136.976666666667</v>
      </c>
      <c r="W26" s="12">
        <v>1536.71</v>
      </c>
      <c r="X26" s="12">
        <v>599.941146985757</v>
      </c>
    </row>
    <row r="27">
      <c r="A27" s="8">
        <v>40940.0</v>
      </c>
      <c r="B27" s="9">
        <f>IFERROR(__xludf.DUMMYFUNCTION("""COMPUTED_VALUE"""),35.0)</f>
        <v>35</v>
      </c>
      <c r="C27" s="12">
        <v>255.208690428457</v>
      </c>
      <c r="D27" s="12">
        <v>1142.89047910765</v>
      </c>
      <c r="E27" s="12">
        <v>288.639537096697</v>
      </c>
      <c r="F27" s="12">
        <v>533.993956556083</v>
      </c>
      <c r="G27" s="12">
        <v>412.518780616304</v>
      </c>
      <c r="H27" s="12">
        <v>461.461797209942</v>
      </c>
      <c r="I27" s="13">
        <v>130.65</v>
      </c>
      <c r="J27" s="13">
        <v>786.047656014875</v>
      </c>
      <c r="K27" s="12">
        <v>514.53868523207</v>
      </c>
      <c r="L27" s="12">
        <v>794.050948849592</v>
      </c>
      <c r="M27" s="12">
        <v>0.0</v>
      </c>
      <c r="N27" s="12">
        <v>541.437930782177</v>
      </c>
      <c r="O27" s="12">
        <v>531.735390297636</v>
      </c>
      <c r="P27" s="12">
        <v>388.0</v>
      </c>
      <c r="Q27" s="12">
        <v>406.24</v>
      </c>
      <c r="R27" s="12">
        <v>382.645</v>
      </c>
      <c r="S27" s="12">
        <v>251.623571428571</v>
      </c>
      <c r="T27" s="12">
        <v>92.1005842387296</v>
      </c>
      <c r="U27" s="12">
        <v>377.799654191186</v>
      </c>
      <c r="V27" s="12">
        <v>136.095555555556</v>
      </c>
      <c r="W27" s="12">
        <v>290.71</v>
      </c>
      <c r="X27" s="12">
        <v>48.5598395201199</v>
      </c>
    </row>
    <row r="28">
      <c r="A28" s="8">
        <v>40969.0</v>
      </c>
      <c r="B28" s="9"/>
      <c r="C28" s="12">
        <v>482.0</v>
      </c>
      <c r="D28" s="12">
        <v>1269.89047910765</v>
      </c>
      <c r="E28" s="12">
        <v>470.100756526392</v>
      </c>
      <c r="F28" s="12">
        <v>47.0</v>
      </c>
      <c r="G28" s="12">
        <v>321.211311489131</v>
      </c>
      <c r="H28" s="12">
        <v>0.0</v>
      </c>
      <c r="I28" s="13">
        <v>84.13</v>
      </c>
      <c r="J28" s="13">
        <v>845.691721841785</v>
      </c>
      <c r="K28" s="12">
        <v>353.205</v>
      </c>
      <c r="L28" s="12">
        <v>334.09</v>
      </c>
      <c r="M28" s="12">
        <v>0.0</v>
      </c>
      <c r="N28" s="12">
        <v>298.552666666667</v>
      </c>
      <c r="O28" s="12">
        <v>593.369938189561</v>
      </c>
      <c r="P28" s="12">
        <v>529.0</v>
      </c>
      <c r="Q28" s="12">
        <v>682.937884375883</v>
      </c>
      <c r="R28" s="12">
        <v>407.803150033144</v>
      </c>
      <c r="S28" s="12">
        <v>248.765</v>
      </c>
      <c r="T28" s="12">
        <v>1007.97468658386</v>
      </c>
      <c r="U28" s="12">
        <v>481.612754844595</v>
      </c>
      <c r="V28" s="12">
        <v>122.261111111111</v>
      </c>
      <c r="W28" s="12">
        <v>289.71</v>
      </c>
      <c r="X28" s="12">
        <v>664.941146985757</v>
      </c>
    </row>
    <row r="29">
      <c r="A29" s="8">
        <v>41000.0</v>
      </c>
      <c r="B29" s="9">
        <f>IFERROR(__xludf.DUMMYFUNCTION("""COMPUTED_VALUE"""),332.0)</f>
        <v>332</v>
      </c>
      <c r="C29" s="12">
        <v>395.076352662029</v>
      </c>
      <c r="D29" s="12">
        <v>735.390479107653</v>
      </c>
      <c r="E29" s="12">
        <v>317.04407266956</v>
      </c>
      <c r="F29" s="12">
        <v>108.545314699233</v>
      </c>
      <c r="G29" s="12">
        <v>145.133582158555</v>
      </c>
      <c r="H29" s="12">
        <v>70.874957410582</v>
      </c>
      <c r="I29" s="13">
        <v>63.3184762577868</v>
      </c>
      <c r="J29" s="13">
        <v>130.729919603133</v>
      </c>
      <c r="K29" s="12">
        <v>328.301461892377</v>
      </c>
      <c r="L29" s="12">
        <v>493.671944473501</v>
      </c>
      <c r="M29" s="12">
        <v>37.0</v>
      </c>
      <c r="N29" s="12">
        <v>293.18925</v>
      </c>
      <c r="O29" s="12">
        <v>273.951885283405</v>
      </c>
      <c r="P29" s="12">
        <v>328.0</v>
      </c>
      <c r="Q29" s="12">
        <v>330.933010526565</v>
      </c>
      <c r="R29" s="12">
        <v>330.938281828459</v>
      </c>
      <c r="S29" s="12">
        <v>248.227857142857</v>
      </c>
      <c r="T29" s="12">
        <v>17.9455900388101</v>
      </c>
      <c r="U29" s="12">
        <v>396.781092798455</v>
      </c>
      <c r="V29" s="12">
        <v>101.053333333333</v>
      </c>
      <c r="W29" s="12">
        <v>307.71</v>
      </c>
      <c r="X29" s="12">
        <v>585.941146985757</v>
      </c>
    </row>
    <row r="30">
      <c r="A30" s="8">
        <v>41030.0</v>
      </c>
      <c r="B30" s="9">
        <f>IFERROR(__xludf.DUMMYFUNCTION("""COMPUTED_VALUE"""),54.0)</f>
        <v>54</v>
      </c>
      <c r="C30" s="12">
        <v>691.261031810069</v>
      </c>
      <c r="D30" s="12">
        <v>371.501322302867</v>
      </c>
      <c r="E30" s="12">
        <v>719.295763486862</v>
      </c>
      <c r="F30" s="12">
        <v>878.221004784139</v>
      </c>
      <c r="G30" s="12">
        <v>691.261039540835</v>
      </c>
      <c r="H30" s="12">
        <v>175.0</v>
      </c>
      <c r="I30" s="13">
        <v>120.55</v>
      </c>
      <c r="J30" s="13">
        <v>780.18829251727</v>
      </c>
      <c r="K30" s="12">
        <v>1080.17624468528</v>
      </c>
      <c r="L30" s="12">
        <v>691.261024098469</v>
      </c>
      <c r="M30" s="12">
        <v>691.261030579454</v>
      </c>
      <c r="N30" s="12">
        <v>545.44078346568</v>
      </c>
      <c r="O30" s="12">
        <v>988.257398384591</v>
      </c>
      <c r="P30" s="12">
        <v>260.789166666667</v>
      </c>
      <c r="Q30" s="12">
        <v>864.338840604705</v>
      </c>
      <c r="R30" s="12">
        <v>589.948099647588</v>
      </c>
      <c r="S30" s="12">
        <v>254.307857142857</v>
      </c>
      <c r="T30" s="12">
        <v>3138.67795379252</v>
      </c>
      <c r="U30" s="12">
        <v>443.97727689466</v>
      </c>
      <c r="V30" s="12">
        <v>389.74638278938</v>
      </c>
      <c r="W30" s="12">
        <v>464.71</v>
      </c>
      <c r="X30" s="12">
        <v>58.5598395201199</v>
      </c>
    </row>
    <row r="31">
      <c r="A31" s="8">
        <v>41061.0</v>
      </c>
      <c r="B31" s="9"/>
      <c r="C31" s="12">
        <v>1412.54465652762</v>
      </c>
      <c r="D31" s="12">
        <v>1099.41054105999</v>
      </c>
      <c r="E31" s="12">
        <v>1500.42046000497</v>
      </c>
      <c r="F31" s="12">
        <v>1600.88080391118</v>
      </c>
      <c r="G31" s="12">
        <v>1412.54467232492</v>
      </c>
      <c r="H31" s="12">
        <v>46.1000169784768</v>
      </c>
      <c r="I31" s="13">
        <v>655.130383954414</v>
      </c>
      <c r="J31" s="13">
        <v>1509.69463223214</v>
      </c>
      <c r="K31" s="12">
        <v>-6837.80215972945</v>
      </c>
      <c r="L31" s="12">
        <v>1412.54464076949</v>
      </c>
      <c r="M31" s="12">
        <v>1412.54465401295</v>
      </c>
      <c r="N31" s="12">
        <v>373.723583742171</v>
      </c>
      <c r="O31" s="12">
        <v>1588.87778100362</v>
      </c>
      <c r="P31" s="12">
        <v>787.5</v>
      </c>
      <c r="Q31" s="12">
        <v>1452.33328735272</v>
      </c>
      <c r="R31" s="12">
        <v>663.380781324522</v>
      </c>
      <c r="S31" s="12">
        <v>273.239285714286</v>
      </c>
      <c r="T31" s="12">
        <v>435.12</v>
      </c>
      <c r="U31" s="12">
        <v>339.002646632426</v>
      </c>
      <c r="V31" s="12">
        <v>104.615508116161</v>
      </c>
      <c r="W31" s="12">
        <v>289.71</v>
      </c>
      <c r="X31" s="12">
        <v>833.941146985757</v>
      </c>
    </row>
    <row r="32">
      <c r="A32" s="8">
        <v>41091.0</v>
      </c>
      <c r="B32" s="9">
        <f>IFERROR(__xludf.DUMMYFUNCTION("""COMPUTED_VALUE"""),204.0)</f>
        <v>204</v>
      </c>
      <c r="C32" s="12">
        <v>114.639167796853</v>
      </c>
      <c r="D32" s="12">
        <v>24.0093928264299</v>
      </c>
      <c r="E32" s="12">
        <v>158.449936181706</v>
      </c>
      <c r="F32" s="12">
        <v>311.65</v>
      </c>
      <c r="G32" s="12">
        <v>198.404317391993</v>
      </c>
      <c r="H32" s="12">
        <v>53.0</v>
      </c>
      <c r="I32" s="13">
        <v>153.34</v>
      </c>
      <c r="J32" s="13">
        <v>235.872638403051</v>
      </c>
      <c r="K32" s="12">
        <v>-5933.11008374554</v>
      </c>
      <c r="L32" s="12">
        <v>378.654880294751</v>
      </c>
      <c r="M32" s="12">
        <v>430.4</v>
      </c>
      <c r="N32" s="12">
        <v>307.58675</v>
      </c>
      <c r="O32" s="12">
        <v>369.358826671261</v>
      </c>
      <c r="P32" s="12">
        <v>254.58675</v>
      </c>
      <c r="Q32" s="12">
        <v>241.646359233916</v>
      </c>
      <c r="R32" s="12">
        <v>281.12080931717</v>
      </c>
      <c r="S32" s="12">
        <v>282.311428571429</v>
      </c>
      <c r="T32" s="12">
        <v>133.1757969068</v>
      </c>
      <c r="U32" s="12">
        <v>177.117852297169</v>
      </c>
      <c r="V32" s="12">
        <v>115.308370738836</v>
      </c>
      <c r="W32" s="12">
        <v>206.34</v>
      </c>
      <c r="X32" s="12">
        <v>683.941146985757</v>
      </c>
    </row>
    <row r="33">
      <c r="A33" s="8">
        <v>41122.0</v>
      </c>
      <c r="B33" s="9">
        <f>IFERROR(__xludf.DUMMYFUNCTION("""COMPUTED_VALUE"""),258.0)</f>
        <v>258</v>
      </c>
      <c r="C33" s="12">
        <v>173.652453525335</v>
      </c>
      <c r="D33" s="12">
        <v>53.841679107653</v>
      </c>
      <c r="E33" s="12">
        <v>78.15139031977</v>
      </c>
      <c r="F33" s="12">
        <v>253.43</v>
      </c>
      <c r="G33" s="12">
        <v>267.525256334826</v>
      </c>
      <c r="H33" s="12">
        <v>29.0</v>
      </c>
      <c r="I33" s="13">
        <v>218.619620220983</v>
      </c>
      <c r="J33" s="13">
        <v>310.877586877179</v>
      </c>
      <c r="K33" s="12">
        <v>-4115.09585218634</v>
      </c>
      <c r="L33" s="12">
        <v>282.160990107509</v>
      </c>
      <c r="M33" s="12">
        <v>153.0</v>
      </c>
      <c r="N33" s="12">
        <v>357.821510447954</v>
      </c>
      <c r="O33" s="12">
        <v>267.300203389477</v>
      </c>
      <c r="P33" s="12">
        <v>245.45725</v>
      </c>
      <c r="Q33" s="12">
        <v>158.502001011595</v>
      </c>
      <c r="R33" s="12">
        <v>342.274409102577</v>
      </c>
      <c r="S33" s="12">
        <v>282.187857142857</v>
      </c>
      <c r="T33" s="12">
        <v>57.6279513179602</v>
      </c>
      <c r="U33" s="12">
        <v>292.58230084932</v>
      </c>
      <c r="V33" s="12">
        <v>180.85600299797</v>
      </c>
      <c r="W33" s="12">
        <v>182.34</v>
      </c>
      <c r="X33" s="12">
        <v>101.55983952012</v>
      </c>
    </row>
    <row r="34">
      <c r="A34" s="8">
        <v>41153.0</v>
      </c>
      <c r="B34" s="9">
        <f>IFERROR(__xludf.DUMMYFUNCTION("""COMPUTED_VALUE"""),151.0)</f>
        <v>151</v>
      </c>
      <c r="C34" s="12">
        <v>248.268211822344</v>
      </c>
      <c r="D34" s="12">
        <v>124.579879107653</v>
      </c>
      <c r="E34" s="12">
        <v>423.884873369524</v>
      </c>
      <c r="F34" s="12">
        <v>289.71</v>
      </c>
      <c r="G34" s="12">
        <v>189.52050074508</v>
      </c>
      <c r="H34" s="12">
        <v>255.555153768217</v>
      </c>
      <c r="I34" s="13">
        <v>255.020317827839</v>
      </c>
      <c r="J34" s="13">
        <v>151.026899897374</v>
      </c>
      <c r="K34" s="12">
        <v>-2048.95399529768</v>
      </c>
      <c r="L34" s="12">
        <v>242.97</v>
      </c>
      <c r="M34" s="12">
        <v>48.0</v>
      </c>
      <c r="N34" s="12">
        <v>397.882030489321</v>
      </c>
      <c r="O34" s="12">
        <v>251.361637298099</v>
      </c>
      <c r="P34" s="12">
        <v>240.302916666667</v>
      </c>
      <c r="Q34" s="12">
        <v>70.2605759311149</v>
      </c>
      <c r="R34" s="12">
        <v>314.493301852511</v>
      </c>
      <c r="S34" s="12">
        <v>276.717857142857</v>
      </c>
      <c r="T34" s="12">
        <v>296.016900720894</v>
      </c>
      <c r="U34" s="12">
        <v>375.849297105051</v>
      </c>
      <c r="V34" s="12">
        <v>217.662432090782</v>
      </c>
      <c r="W34" s="12">
        <v>171.84</v>
      </c>
      <c r="X34" s="12">
        <v>261.55983952012</v>
      </c>
    </row>
    <row r="35">
      <c r="A35" s="8">
        <v>41183.0</v>
      </c>
      <c r="B35" s="9">
        <f>IFERROR(__xludf.DUMMYFUNCTION("""COMPUTED_VALUE"""),286.0)</f>
        <v>286</v>
      </c>
      <c r="C35" s="12">
        <v>389.555563997942</v>
      </c>
      <c r="D35" s="12">
        <v>-9.70072089234696</v>
      </c>
      <c r="E35" s="12">
        <v>-452.603741967677</v>
      </c>
      <c r="F35" s="12">
        <v>289.71</v>
      </c>
      <c r="G35" s="12">
        <v>212.571306540017</v>
      </c>
      <c r="H35" s="12">
        <v>411.446482694031</v>
      </c>
      <c r="I35" s="13">
        <v>411.497018876058</v>
      </c>
      <c r="J35" s="13">
        <v>61.9829821964581</v>
      </c>
      <c r="K35" s="12">
        <v>-1325.56204875731</v>
      </c>
      <c r="L35" s="12">
        <v>261.402277421321</v>
      </c>
      <c r="M35" s="12">
        <v>834.82155629728</v>
      </c>
      <c r="N35" s="12">
        <v>413.732060677211</v>
      </c>
      <c r="O35" s="12">
        <v>357.881423967887</v>
      </c>
      <c r="P35" s="12">
        <v>392.0</v>
      </c>
      <c r="Q35" s="12">
        <v>190.954275177344</v>
      </c>
      <c r="R35" s="12">
        <v>348.896073053043</v>
      </c>
      <c r="S35" s="12">
        <v>287.893571428571</v>
      </c>
      <c r="T35" s="12">
        <v>19.8353868225581</v>
      </c>
      <c r="U35" s="12">
        <v>536.20454089932</v>
      </c>
      <c r="V35" s="12">
        <v>229.976632976849</v>
      </c>
      <c r="W35" s="12">
        <v>248.84</v>
      </c>
      <c r="X35" s="12">
        <v>256.754405017085</v>
      </c>
    </row>
    <row r="36">
      <c r="A36" s="8">
        <v>41214.0</v>
      </c>
      <c r="B36" s="9">
        <f>IFERROR(__xludf.DUMMYFUNCTION("""COMPUTED_VALUE"""),289.0)</f>
        <v>289</v>
      </c>
      <c r="C36" s="12">
        <v>435.538007288594</v>
      </c>
      <c r="D36" s="12">
        <v>506.999879107653</v>
      </c>
      <c r="E36" s="12">
        <v>762.417219796982</v>
      </c>
      <c r="F36" s="12">
        <v>599.57</v>
      </c>
      <c r="G36" s="12">
        <v>318.254398783822</v>
      </c>
      <c r="H36" s="12">
        <v>600.235335013199</v>
      </c>
      <c r="I36" s="13">
        <v>394.83</v>
      </c>
      <c r="J36" s="13">
        <v>84.5033523357816</v>
      </c>
      <c r="K36" s="12">
        <v>-379.808352140461</v>
      </c>
      <c r="L36" s="12">
        <v>309.521148197597</v>
      </c>
      <c r="M36" s="12">
        <v>314.84</v>
      </c>
      <c r="N36" s="12">
        <v>270.312583333333</v>
      </c>
      <c r="O36" s="12">
        <v>380.560166793998</v>
      </c>
      <c r="P36" s="12">
        <v>367.0</v>
      </c>
      <c r="Q36" s="12">
        <v>367.230818089957</v>
      </c>
      <c r="R36" s="12">
        <v>286.239400033144</v>
      </c>
      <c r="S36" s="12">
        <v>295.402142857143</v>
      </c>
      <c r="T36" s="12">
        <v>3571.43322025891</v>
      </c>
      <c r="U36" s="12">
        <v>365.119361817646</v>
      </c>
      <c r="V36" s="12">
        <v>93.1577777777778</v>
      </c>
      <c r="W36" s="12">
        <v>192.21</v>
      </c>
      <c r="X36" s="12">
        <v>683.941146985757</v>
      </c>
    </row>
    <row r="37">
      <c r="A37" s="8">
        <v>41244.0</v>
      </c>
      <c r="B37" s="9"/>
      <c r="C37" s="12">
        <v>410.732246836068</v>
      </c>
      <c r="D37" s="12">
        <v>644.585963625071</v>
      </c>
      <c r="E37" s="12">
        <v>418.816792660766</v>
      </c>
      <c r="F37" s="12">
        <v>655.67</v>
      </c>
      <c r="G37" s="12">
        <v>475.091836126808</v>
      </c>
      <c r="H37" s="12">
        <v>150.0</v>
      </c>
      <c r="I37" s="13">
        <v>426.920343321978</v>
      </c>
      <c r="J37" s="13">
        <v>191.08300715355</v>
      </c>
      <c r="K37" s="12">
        <v>-19.6729474632612</v>
      </c>
      <c r="L37" s="12">
        <v>739.892057053986</v>
      </c>
      <c r="M37" s="12">
        <v>44.0</v>
      </c>
      <c r="N37" s="12">
        <v>436.27725</v>
      </c>
      <c r="O37" s="12">
        <v>298.274992253969</v>
      </c>
      <c r="P37" s="12">
        <v>286.27725</v>
      </c>
      <c r="Q37" s="12">
        <v>324.979650000591</v>
      </c>
      <c r="R37" s="12">
        <v>280.508281828459</v>
      </c>
      <c r="S37" s="12">
        <v>304.904285714286</v>
      </c>
      <c r="T37" s="12">
        <v>1378.53930058647</v>
      </c>
      <c r="U37" s="12">
        <v>460.088942414246</v>
      </c>
      <c r="V37" s="12">
        <v>111.228888888889</v>
      </c>
      <c r="W37" s="12">
        <v>385.07</v>
      </c>
      <c r="X37" s="12">
        <v>562.941146985757</v>
      </c>
    </row>
    <row r="38">
      <c r="A38" s="8">
        <v>41275.0</v>
      </c>
      <c r="B38" s="9">
        <f>IFERROR(__xludf.DUMMYFUNCTION("""COMPUTED_VALUE"""),46.0)</f>
        <v>46</v>
      </c>
      <c r="C38" s="12">
        <v>223.508931514664</v>
      </c>
      <c r="D38" s="12">
        <v>436.585963625071</v>
      </c>
      <c r="E38" s="12">
        <v>223.936673337381</v>
      </c>
      <c r="F38" s="12">
        <v>522.77</v>
      </c>
      <c r="G38" s="12">
        <v>610.855833865447</v>
      </c>
      <c r="H38" s="12">
        <v>340.814339700811</v>
      </c>
      <c r="I38" s="13">
        <v>657.523581475977</v>
      </c>
      <c r="J38" s="13">
        <v>411.944858055411</v>
      </c>
      <c r="K38" s="12">
        <v>161.375982629674</v>
      </c>
      <c r="L38" s="12">
        <v>499.385909561702</v>
      </c>
      <c r="M38" s="12">
        <v>156.262613235842</v>
      </c>
      <c r="N38" s="12">
        <v>382.472103663193</v>
      </c>
      <c r="O38" s="12">
        <v>383.732908629615</v>
      </c>
      <c r="P38" s="12">
        <v>268.123333333333</v>
      </c>
      <c r="Q38" s="12">
        <v>318.446437980692</v>
      </c>
      <c r="R38" s="12">
        <v>283.55375</v>
      </c>
      <c r="S38" s="12">
        <v>273.410714285714</v>
      </c>
      <c r="T38" s="12">
        <v>2041.07892111309</v>
      </c>
      <c r="U38" s="12">
        <v>159.55574301154</v>
      </c>
      <c r="V38" s="12">
        <v>202.971111111111</v>
      </c>
      <c r="W38" s="12">
        <v>246.07</v>
      </c>
      <c r="X38" s="12">
        <v>218.55983952012</v>
      </c>
    </row>
    <row r="39">
      <c r="A39" s="8">
        <v>41306.0</v>
      </c>
      <c r="B39" s="9">
        <f>IFERROR(__xludf.DUMMYFUNCTION("""COMPUTED_VALUE"""),110.0)</f>
        <v>110</v>
      </c>
      <c r="C39" s="12">
        <v>569.820408902074</v>
      </c>
      <c r="D39" s="12">
        <v>676.943479107653</v>
      </c>
      <c r="E39" s="12">
        <v>316.339467013439</v>
      </c>
      <c r="F39" s="12">
        <v>130.65</v>
      </c>
      <c r="G39" s="12">
        <v>483.445004712794</v>
      </c>
      <c r="H39" s="12">
        <v>410.918935677353</v>
      </c>
      <c r="I39" s="13">
        <v>676.738443876076</v>
      </c>
      <c r="J39" s="13">
        <v>97.484302269452</v>
      </c>
      <c r="K39" s="12">
        <v>-661.0143209986</v>
      </c>
      <c r="L39" s="12">
        <v>573.07932079565</v>
      </c>
      <c r="M39" s="12">
        <v>148.0</v>
      </c>
      <c r="N39" s="12">
        <v>296.838609345748</v>
      </c>
      <c r="O39" s="12">
        <v>298.695480941826</v>
      </c>
      <c r="P39" s="12">
        <v>279.61275</v>
      </c>
      <c r="Q39" s="12">
        <v>70.6376499255622</v>
      </c>
      <c r="R39" s="12">
        <v>295.22625</v>
      </c>
      <c r="S39" s="12">
        <v>254.225</v>
      </c>
      <c r="T39" s="12">
        <v>39.4598399249182</v>
      </c>
      <c r="U39" s="12">
        <v>383.212574469303</v>
      </c>
      <c r="V39" s="12">
        <v>108.713333333333</v>
      </c>
      <c r="W39" s="12">
        <v>395.69</v>
      </c>
      <c r="X39" s="12">
        <v>324.409527416475</v>
      </c>
    </row>
    <row r="40">
      <c r="A40" s="8">
        <v>41334.0</v>
      </c>
      <c r="B40" s="9">
        <f>IFERROR(__xludf.DUMMYFUNCTION("""COMPUTED_VALUE"""),149.0)</f>
        <v>149</v>
      </c>
      <c r="C40" s="12">
        <v>338.075827596179</v>
      </c>
      <c r="D40" s="12">
        <v>420.433779107653</v>
      </c>
      <c r="E40" s="12">
        <v>303.136639497431</v>
      </c>
      <c r="F40" s="12">
        <v>84.13</v>
      </c>
      <c r="G40" s="12">
        <v>282.191534780108</v>
      </c>
      <c r="H40" s="12">
        <v>338.149567052201</v>
      </c>
      <c r="I40" s="13">
        <v>439.217788568457</v>
      </c>
      <c r="J40" s="13">
        <v>81.2406611001314</v>
      </c>
      <c r="K40" s="12">
        <v>-709.880565853838</v>
      </c>
      <c r="L40" s="12">
        <v>296.904101256494</v>
      </c>
      <c r="M40" s="12">
        <v>322.333333333333</v>
      </c>
      <c r="N40" s="12">
        <v>284.853</v>
      </c>
      <c r="O40" s="12">
        <v>290.777195389012</v>
      </c>
      <c r="P40" s="12">
        <v>284.853</v>
      </c>
      <c r="Q40" s="12">
        <v>-260.823948362841</v>
      </c>
      <c r="R40" s="12">
        <v>318.140781828459</v>
      </c>
      <c r="S40" s="12">
        <v>239.949285714286</v>
      </c>
      <c r="T40" s="12">
        <v>77.8812005928293</v>
      </c>
      <c r="U40" s="12">
        <v>320.446949029069</v>
      </c>
      <c r="V40" s="12">
        <v>113.295313712183</v>
      </c>
      <c r="W40" s="12">
        <v>1522.91</v>
      </c>
      <c r="X40" s="12">
        <v>295.895046453367</v>
      </c>
    </row>
    <row r="41">
      <c r="A41" s="8">
        <v>41365.0</v>
      </c>
      <c r="B41" s="9">
        <f>IFERROR(__xludf.DUMMYFUNCTION("""COMPUTED_VALUE"""),6583.0)</f>
        <v>6583</v>
      </c>
      <c r="C41" s="12">
        <v>1127.66666666667</v>
      </c>
      <c r="D41" s="12">
        <v>2559.87237910765</v>
      </c>
      <c r="E41" s="12">
        <v>6580.44002164446</v>
      </c>
      <c r="F41" s="12">
        <v>6854.11412574475</v>
      </c>
      <c r="G41" s="12">
        <v>6196.48781261145</v>
      </c>
      <c r="H41" s="12">
        <v>5227.64282559754</v>
      </c>
      <c r="I41" s="13">
        <v>4226.57618605282</v>
      </c>
      <c r="J41" s="13">
        <v>4383.97488906077</v>
      </c>
      <c r="K41" s="12">
        <v>6943.49088486242</v>
      </c>
      <c r="L41" s="12">
        <v>6219.02652443872</v>
      </c>
      <c r="M41" s="12">
        <v>3706.0</v>
      </c>
      <c r="N41" s="12">
        <v>297.279449403399</v>
      </c>
      <c r="O41" s="12">
        <v>487.741835645643</v>
      </c>
      <c r="P41" s="12">
        <v>1645.0</v>
      </c>
      <c r="Q41" s="12">
        <v>607.210552290562</v>
      </c>
      <c r="R41" s="12">
        <v>4009.99195398463</v>
      </c>
      <c r="S41" s="12">
        <v>252.814285714286</v>
      </c>
      <c r="T41" s="12">
        <v>6246.04790888912</v>
      </c>
      <c r="U41" s="12">
        <v>1409.39294670287</v>
      </c>
      <c r="V41" s="12">
        <v>161.764202601072</v>
      </c>
      <c r="W41" s="12">
        <v>322.91</v>
      </c>
      <c r="X41" s="12">
        <v>294.055867310002</v>
      </c>
    </row>
    <row r="42">
      <c r="A42" s="8">
        <v>41395.0</v>
      </c>
      <c r="B42" s="9">
        <f>IFERROR(__xludf.DUMMYFUNCTION("""COMPUTED_VALUE"""),1680.0)</f>
        <v>1680</v>
      </c>
      <c r="C42" s="12">
        <v>1082.58883002465</v>
      </c>
      <c r="D42" s="12">
        <v>378.416591944527</v>
      </c>
      <c r="E42" s="12">
        <v>1118.05198455195</v>
      </c>
      <c r="F42" s="12">
        <v>120.55</v>
      </c>
      <c r="G42" s="12">
        <v>1675.54730498147</v>
      </c>
      <c r="H42" s="12">
        <v>1012.35091654261</v>
      </c>
      <c r="I42" s="13">
        <v>1213.60909178585</v>
      </c>
      <c r="J42" s="13">
        <v>291.620752374864</v>
      </c>
      <c r="K42" s="12">
        <v>-305.539866149349</v>
      </c>
      <c r="L42" s="12">
        <v>919.637384216314</v>
      </c>
      <c r="M42" s="12">
        <v>924.0</v>
      </c>
      <c r="N42" s="12">
        <v>396.151300168429</v>
      </c>
      <c r="O42" s="12">
        <v>377.658267270038</v>
      </c>
      <c r="P42" s="12">
        <v>1922.2</v>
      </c>
      <c r="Q42" s="12">
        <v>764.349245667537</v>
      </c>
      <c r="R42" s="12">
        <v>436.175134190527</v>
      </c>
      <c r="S42" s="12">
        <v>317.775</v>
      </c>
      <c r="T42" s="12">
        <v>5606.79466176195</v>
      </c>
      <c r="U42" s="12">
        <v>2097.92799368299</v>
      </c>
      <c r="V42" s="12">
        <v>306.013935593461</v>
      </c>
      <c r="W42" s="12">
        <v>1010.57</v>
      </c>
      <c r="X42" s="12">
        <v>409.952970305798</v>
      </c>
    </row>
    <row r="43">
      <c r="A43" s="8">
        <v>41426.0</v>
      </c>
      <c r="B43" s="9">
        <f>IFERROR(__xludf.DUMMYFUNCTION("""COMPUTED_VALUE"""),321.0)</f>
        <v>321</v>
      </c>
      <c r="C43" s="12">
        <v>1700.28634398459</v>
      </c>
      <c r="D43" s="12">
        <v>424.416591944527</v>
      </c>
      <c r="E43" s="12">
        <v>1245.89434113502</v>
      </c>
      <c r="F43" s="12">
        <v>293.69</v>
      </c>
      <c r="G43" s="12">
        <v>297.692380491657</v>
      </c>
      <c r="H43" s="12">
        <v>1069.15277071114</v>
      </c>
      <c r="I43" s="13">
        <v>1107.56124607452</v>
      </c>
      <c r="J43" s="13">
        <v>657.716059489007</v>
      </c>
      <c r="K43" s="12">
        <v>81.0787323162725</v>
      </c>
      <c r="L43" s="12">
        <v>341.346311096809</v>
      </c>
      <c r="M43" s="12">
        <v>379.332785424571</v>
      </c>
      <c r="N43" s="12">
        <v>488.329294269071</v>
      </c>
      <c r="O43" s="12">
        <v>505.442249343412</v>
      </c>
      <c r="P43" s="12">
        <v>885.931217006862</v>
      </c>
      <c r="Q43" s="12">
        <v>177.14678212699</v>
      </c>
      <c r="R43" s="12">
        <v>514.225153972663</v>
      </c>
      <c r="S43" s="12">
        <v>389.437142857143</v>
      </c>
      <c r="T43" s="12">
        <v>1449.5238962488</v>
      </c>
      <c r="U43" s="12">
        <v>798.402698396071</v>
      </c>
      <c r="V43" s="12">
        <v>450.454943650848</v>
      </c>
      <c r="W43" s="12">
        <v>394.83</v>
      </c>
      <c r="X43" s="12">
        <v>503.55983952012</v>
      </c>
    </row>
    <row r="44">
      <c r="A44" s="8">
        <v>41456.0</v>
      </c>
      <c r="B44" s="9">
        <f>IFERROR(__xludf.DUMMYFUNCTION("""COMPUTED_VALUE"""),237.0)</f>
        <v>237</v>
      </c>
      <c r="C44" s="12">
        <v>585.730845399789</v>
      </c>
      <c r="D44" s="12">
        <v>235.180779107653</v>
      </c>
      <c r="E44" s="12">
        <v>391.524302898653</v>
      </c>
      <c r="F44" s="12">
        <v>473.86036948234</v>
      </c>
      <c r="G44" s="12">
        <v>633.049460911042</v>
      </c>
      <c r="H44" s="12">
        <v>27.2263555906504</v>
      </c>
      <c r="I44" s="13">
        <v>761.362335999153</v>
      </c>
      <c r="J44" s="13">
        <v>150.726753996177</v>
      </c>
      <c r="K44" s="12">
        <v>-366.775388614473</v>
      </c>
      <c r="L44" s="12">
        <v>460.055112150587</v>
      </c>
      <c r="M44" s="12">
        <v>288.0</v>
      </c>
      <c r="N44" s="12">
        <v>514.900833333333</v>
      </c>
      <c r="O44" s="12">
        <v>666.526351211459</v>
      </c>
      <c r="P44" s="12">
        <v>514.900833333333</v>
      </c>
      <c r="Q44" s="12">
        <v>668.747618380431</v>
      </c>
      <c r="R44" s="12">
        <v>539.06</v>
      </c>
      <c r="S44" s="12">
        <v>427.393571428571</v>
      </c>
      <c r="T44" s="12">
        <v>328.635655693099</v>
      </c>
      <c r="U44" s="12">
        <v>740.308049355093</v>
      </c>
      <c r="V44" s="12">
        <v>267.76831833176</v>
      </c>
      <c r="W44" s="12">
        <v>394.83</v>
      </c>
      <c r="X44" s="12">
        <v>356.279546015691</v>
      </c>
    </row>
    <row r="45">
      <c r="A45" s="8">
        <v>41487.0</v>
      </c>
      <c r="B45" s="9">
        <f>IFERROR(__xludf.DUMMYFUNCTION("""COMPUTED_VALUE"""),2902.0)</f>
        <v>2902</v>
      </c>
      <c r="C45" s="12">
        <v>646.176731154025</v>
      </c>
      <c r="D45" s="12">
        <v>2034.99322910765</v>
      </c>
      <c r="E45" s="12">
        <v>557.522035229471</v>
      </c>
      <c r="F45" s="12">
        <v>916.249150845647</v>
      </c>
      <c r="G45" s="12">
        <v>2145.18579550736</v>
      </c>
      <c r="H45" s="12">
        <v>0.0</v>
      </c>
      <c r="I45" s="13">
        <v>817.438866609796</v>
      </c>
      <c r="J45" s="13">
        <v>1898.210355935</v>
      </c>
      <c r="K45" s="12">
        <v>-189.481044964278</v>
      </c>
      <c r="L45" s="12">
        <v>563.54651779346</v>
      </c>
      <c r="M45" s="12">
        <v>214.666666666667</v>
      </c>
      <c r="N45" s="12">
        <v>623.570324381605</v>
      </c>
      <c r="O45" s="12">
        <v>542.151004021671</v>
      </c>
      <c r="P45" s="12">
        <v>2241.99102794425</v>
      </c>
      <c r="Q45" s="12">
        <v>850.740419956182</v>
      </c>
      <c r="R45" s="12">
        <v>644.257646171102</v>
      </c>
      <c r="S45" s="12">
        <v>452.17</v>
      </c>
      <c r="T45" s="12">
        <v>2705.35750836579</v>
      </c>
      <c r="U45" s="12">
        <v>688.870116077225</v>
      </c>
      <c r="V45" s="12">
        <v>342.21173702378</v>
      </c>
      <c r="W45" s="12">
        <v>422.74</v>
      </c>
      <c r="X45" s="12">
        <v>1480.57343342739</v>
      </c>
    </row>
    <row r="46">
      <c r="A46" s="8">
        <v>41518.0</v>
      </c>
      <c r="B46" s="9">
        <f>IFERROR(__xludf.DUMMYFUNCTION("""COMPUTED_VALUE"""),2164.0)</f>
        <v>2164</v>
      </c>
      <c r="C46" s="12">
        <v>1422.36212848577</v>
      </c>
      <c r="D46" s="12">
        <v>470.943041778812</v>
      </c>
      <c r="E46" s="12">
        <v>1048.30147246608</v>
      </c>
      <c r="F46" s="12">
        <v>2100.03563036514</v>
      </c>
      <c r="G46" s="12">
        <v>597.793358452202</v>
      </c>
      <c r="H46" s="12">
        <v>1510.87507816617</v>
      </c>
      <c r="I46" s="13">
        <v>1939.50887610191</v>
      </c>
      <c r="J46" s="13">
        <v>441.641375189652</v>
      </c>
      <c r="K46" s="12">
        <v>-4.5374785003545</v>
      </c>
      <c r="L46" s="12">
        <v>851.117284502214</v>
      </c>
      <c r="M46" s="12">
        <v>2295.33333333333</v>
      </c>
      <c r="N46" s="12">
        <v>1207.22215022353</v>
      </c>
      <c r="O46" s="12">
        <v>1120.34318238394</v>
      </c>
      <c r="P46" s="12">
        <v>2163.28801888625</v>
      </c>
      <c r="Q46" s="12">
        <v>884.246256112064</v>
      </c>
      <c r="R46" s="12">
        <v>821.379189856548</v>
      </c>
      <c r="S46" s="12">
        <v>514.078571428571</v>
      </c>
      <c r="T46" s="12">
        <v>558.703425375903</v>
      </c>
      <c r="U46" s="12">
        <v>1131.03188973145</v>
      </c>
      <c r="V46" s="12">
        <v>383.399158316233</v>
      </c>
      <c r="W46" s="12">
        <v>1996.56</v>
      </c>
      <c r="X46" s="12">
        <v>2198.80558231365</v>
      </c>
    </row>
    <row r="47">
      <c r="A47" s="8">
        <v>41548.0</v>
      </c>
      <c r="B47" s="9"/>
      <c r="C47" s="12">
        <v>966.843751609786</v>
      </c>
      <c r="D47" s="12">
        <v>411.122360979951</v>
      </c>
      <c r="E47" s="12">
        <v>1036.82881030177</v>
      </c>
      <c r="F47" s="12">
        <v>661.597944924052</v>
      </c>
      <c r="G47" s="12">
        <v>818.168490463067</v>
      </c>
      <c r="H47" s="12">
        <v>1003.16363382996</v>
      </c>
      <c r="I47" s="13">
        <v>1208.02104903991</v>
      </c>
      <c r="J47" s="13">
        <v>623.501094250241</v>
      </c>
      <c r="K47" s="12">
        <v>35.3641466672647</v>
      </c>
      <c r="L47" s="12">
        <v>718.568418242285</v>
      </c>
      <c r="M47" s="12">
        <v>1138.2</v>
      </c>
      <c r="N47" s="12">
        <v>811.740473430888</v>
      </c>
      <c r="O47" s="12">
        <v>670.494875339526</v>
      </c>
      <c r="P47" s="12">
        <v>1157.4</v>
      </c>
      <c r="Q47" s="12">
        <v>893.099245667537</v>
      </c>
      <c r="R47" s="12">
        <v>1267.31625</v>
      </c>
      <c r="S47" s="12">
        <v>570.485</v>
      </c>
      <c r="T47" s="12">
        <v>486.376000254492</v>
      </c>
      <c r="U47" s="12">
        <v>900.8876268593</v>
      </c>
      <c r="V47" s="12">
        <v>322.96872535892</v>
      </c>
      <c r="W47" s="12">
        <v>687.94</v>
      </c>
      <c r="X47" s="12">
        <v>515.96690082917</v>
      </c>
    </row>
    <row r="48">
      <c r="A48" s="8">
        <v>41579.0</v>
      </c>
      <c r="B48" s="9">
        <f>IFERROR(__xludf.DUMMYFUNCTION("""COMPUTED_VALUE"""),4307.0)</f>
        <v>4307</v>
      </c>
      <c r="C48" s="12">
        <v>3054.28202425517</v>
      </c>
      <c r="D48" s="12">
        <v>1818.78318161294</v>
      </c>
      <c r="E48" s="12">
        <v>2369.30397675256</v>
      </c>
      <c r="F48" s="12">
        <v>1003.41840645104</v>
      </c>
      <c r="G48" s="12">
        <v>4133.65634249592</v>
      </c>
      <c r="H48" s="12">
        <v>4307.02069866337</v>
      </c>
      <c r="I48" s="13">
        <v>1182.41530918483</v>
      </c>
      <c r="J48" s="13">
        <v>1703.88531393417</v>
      </c>
      <c r="K48" s="12">
        <v>3612.50997449358</v>
      </c>
      <c r="L48" s="12">
        <v>3893.58932587146</v>
      </c>
      <c r="M48" s="12">
        <v>3667.35</v>
      </c>
      <c r="N48" s="12">
        <v>4317.30960904727</v>
      </c>
      <c r="O48" s="12">
        <v>4307.3054050205</v>
      </c>
      <c r="P48" s="12">
        <v>3619.2</v>
      </c>
      <c r="Q48" s="12">
        <v>4325.43420631929</v>
      </c>
      <c r="R48" s="12">
        <v>4034.8575</v>
      </c>
      <c r="S48" s="12">
        <v>631.171428571429</v>
      </c>
      <c r="T48" s="12">
        <v>13463.2400001725</v>
      </c>
      <c r="U48" s="12">
        <v>2567.8382045193</v>
      </c>
      <c r="V48" s="12">
        <v>3506.01663036194</v>
      </c>
      <c r="W48" s="12">
        <v>4261.42672383106</v>
      </c>
      <c r="X48" s="12">
        <v>3172.77247822034</v>
      </c>
    </row>
    <row r="49">
      <c r="A49" s="8">
        <v>41609.0</v>
      </c>
      <c r="B49" s="9"/>
      <c r="C49" s="12">
        <v>1235.62962114371</v>
      </c>
      <c r="D49" s="12">
        <v>1513.48444335624</v>
      </c>
      <c r="E49" s="12">
        <v>1562.72998837508</v>
      </c>
      <c r="F49" s="12">
        <v>422.74</v>
      </c>
      <c r="G49" s="12">
        <v>1371.51082381212</v>
      </c>
      <c r="H49" s="12">
        <v>274.513791097631</v>
      </c>
      <c r="I49" s="13">
        <v>1541.29532489199</v>
      </c>
      <c r="J49" s="13">
        <v>608.24938970749</v>
      </c>
      <c r="K49" s="12">
        <v>1073.67892590377</v>
      </c>
      <c r="L49" s="12">
        <v>1742.83940150509</v>
      </c>
      <c r="M49" s="12">
        <v>1450.8</v>
      </c>
      <c r="N49" s="12">
        <v>969.168</v>
      </c>
      <c r="O49" s="12">
        <v>842.896877828008</v>
      </c>
      <c r="P49" s="12">
        <v>821.168</v>
      </c>
      <c r="Q49" s="12">
        <v>1005.91358598428</v>
      </c>
      <c r="R49" s="12">
        <v>971.930254987599</v>
      </c>
      <c r="S49" s="12">
        <v>688.432142857143</v>
      </c>
      <c r="T49" s="12">
        <v>2687.57555429012</v>
      </c>
      <c r="U49" s="12">
        <v>839.410907530213</v>
      </c>
      <c r="V49" s="12">
        <v>385.053359376659</v>
      </c>
      <c r="W49" s="12">
        <v>1141.58</v>
      </c>
      <c r="X49" s="12">
        <v>1223.55983952012</v>
      </c>
    </row>
    <row r="50">
      <c r="A50" s="8">
        <v>41640.0</v>
      </c>
      <c r="B50" s="9">
        <f>IFERROR(__xludf.DUMMYFUNCTION("""COMPUTED_VALUE"""),5560.0)</f>
        <v>5560</v>
      </c>
      <c r="C50" s="12">
        <v>704.784717069615</v>
      </c>
      <c r="D50" s="12">
        <v>4880.76972910765</v>
      </c>
      <c r="E50" s="12">
        <v>763.016175615507</v>
      </c>
      <c r="F50" s="12">
        <v>4270.34765997072</v>
      </c>
      <c r="G50" s="12">
        <v>5677.40774461845</v>
      </c>
      <c r="H50" s="12">
        <v>0.0</v>
      </c>
      <c r="I50" s="13">
        <v>3909.66198628105</v>
      </c>
      <c r="J50" s="13">
        <v>1144.36776497142</v>
      </c>
      <c r="K50" s="12">
        <v>5580.79472575663</v>
      </c>
      <c r="L50" s="12">
        <v>5411.29216843514</v>
      </c>
      <c r="M50" s="12">
        <v>5101.2</v>
      </c>
      <c r="N50" s="12">
        <v>811.53736285925</v>
      </c>
      <c r="O50" s="12">
        <v>818.814887461629</v>
      </c>
      <c r="P50" s="12">
        <v>817.230166666667</v>
      </c>
      <c r="Q50" s="12">
        <v>1218.17009357118</v>
      </c>
      <c r="R50" s="12">
        <v>3891.69048704173</v>
      </c>
      <c r="S50" s="12">
        <v>705.827142857143</v>
      </c>
      <c r="T50" s="12">
        <v>422.42</v>
      </c>
      <c r="U50" s="12">
        <v>615.938955599254</v>
      </c>
      <c r="V50" s="12">
        <v>5659.11683772011</v>
      </c>
      <c r="W50" s="12">
        <v>993.58</v>
      </c>
      <c r="X50" s="12">
        <v>1702.43662559721</v>
      </c>
    </row>
    <row r="51">
      <c r="A51" s="8">
        <v>41671.0</v>
      </c>
      <c r="B51" s="9"/>
      <c r="C51" s="12">
        <v>420.071674383138</v>
      </c>
      <c r="D51" s="12">
        <v>435.132529107653</v>
      </c>
      <c r="E51" s="12">
        <v>458.185004829082</v>
      </c>
      <c r="F51" s="12">
        <v>1228.22398158449</v>
      </c>
      <c r="G51" s="12">
        <v>815.716940481451</v>
      </c>
      <c r="H51" s="12">
        <v>502.041134247315</v>
      </c>
      <c r="I51" s="13">
        <v>789.59518686644</v>
      </c>
      <c r="J51" s="13">
        <v>1274.9268100179</v>
      </c>
      <c r="K51" s="12">
        <v>381.884729169668</v>
      </c>
      <c r="L51" s="12">
        <v>1284.70970147591</v>
      </c>
      <c r="M51" s="12">
        <v>788.0</v>
      </c>
      <c r="N51" s="12">
        <v>874.711787624029</v>
      </c>
      <c r="O51" s="12">
        <v>857.74954296543</v>
      </c>
      <c r="P51" s="12">
        <v>782.215916666667</v>
      </c>
      <c r="Q51" s="12">
        <v>1022.52773440982</v>
      </c>
      <c r="R51" s="12">
        <v>836.641556098931</v>
      </c>
      <c r="S51" s="12">
        <v>704.558571428571</v>
      </c>
      <c r="T51" s="12">
        <v>321.832717238701</v>
      </c>
      <c r="U51" s="12">
        <v>389.337368115812</v>
      </c>
      <c r="V51" s="12">
        <v>488.795535885491</v>
      </c>
      <c r="W51" s="12">
        <v>995.9</v>
      </c>
      <c r="X51" s="12">
        <v>1049.71423409625</v>
      </c>
    </row>
    <row r="52">
      <c r="A52" s="8">
        <v>41699.0</v>
      </c>
      <c r="B52" s="9"/>
      <c r="C52" s="12">
        <v>1034.06630882526</v>
      </c>
      <c r="D52" s="12">
        <v>262.459279107653</v>
      </c>
      <c r="E52" s="12">
        <v>744.920480137401</v>
      </c>
      <c r="F52" s="12">
        <v>322.91</v>
      </c>
      <c r="G52" s="12">
        <v>1036.77067096988</v>
      </c>
      <c r="H52" s="12">
        <v>365.969072632598</v>
      </c>
      <c r="I52" s="13">
        <v>1099.90040825964</v>
      </c>
      <c r="J52" s="13">
        <v>404.641175402685</v>
      </c>
      <c r="K52" s="12">
        <v>771.826516732126</v>
      </c>
      <c r="L52" s="12">
        <v>760.368653515015</v>
      </c>
      <c r="M52" s="12">
        <v>968.666666666667</v>
      </c>
      <c r="N52" s="12">
        <v>755.988475765093</v>
      </c>
      <c r="O52" s="12">
        <v>746.52768894002</v>
      </c>
      <c r="P52" s="12">
        <v>739.842083333333</v>
      </c>
      <c r="Q52" s="12">
        <v>888.058290260806</v>
      </c>
      <c r="R52" s="12">
        <v>793.825781828459</v>
      </c>
      <c r="S52" s="12">
        <v>717.995714285714</v>
      </c>
      <c r="T52" s="12">
        <v>246.421934498258</v>
      </c>
      <c r="U52" s="12">
        <v>1019.28379852235</v>
      </c>
      <c r="V52" s="12">
        <v>302.390973848656</v>
      </c>
      <c r="W52" s="12">
        <v>782.94</v>
      </c>
      <c r="X52" s="12">
        <v>561.074500600148</v>
      </c>
    </row>
    <row r="53">
      <c r="A53" s="8">
        <v>41730.0</v>
      </c>
      <c r="B53" s="9"/>
      <c r="C53" s="12">
        <v>800.227062563906</v>
      </c>
      <c r="D53" s="12">
        <v>311.388029418416</v>
      </c>
      <c r="E53" s="12">
        <v>1185.49720686563</v>
      </c>
      <c r="F53" s="12">
        <v>310.76</v>
      </c>
      <c r="G53" s="12">
        <v>920.212620252771</v>
      </c>
      <c r="H53" s="12">
        <v>641.01461715093</v>
      </c>
      <c r="I53" s="13">
        <v>768.194845830458</v>
      </c>
      <c r="J53" s="13">
        <v>369.591278070967</v>
      </c>
      <c r="K53" s="12">
        <v>355.421145453063</v>
      </c>
      <c r="L53" s="12">
        <v>2009.11596919226</v>
      </c>
      <c r="M53" s="12">
        <v>993.3</v>
      </c>
      <c r="N53" s="12">
        <v>806.726423724422</v>
      </c>
      <c r="O53" s="12">
        <v>800.605011325289</v>
      </c>
      <c r="P53" s="12">
        <v>1002.94100038513</v>
      </c>
      <c r="Q53" s="12">
        <v>521.67</v>
      </c>
      <c r="R53" s="12">
        <v>753.2875</v>
      </c>
      <c r="S53" s="12">
        <v>713.919285714286</v>
      </c>
      <c r="T53" s="12">
        <v>2077.28878987783</v>
      </c>
      <c r="U53" s="12">
        <v>770.406205775127</v>
      </c>
      <c r="V53" s="12">
        <v>761.965905797035</v>
      </c>
      <c r="W53" s="12">
        <v>713.795267038944</v>
      </c>
      <c r="X53" s="12">
        <v>1480.57343342739</v>
      </c>
    </row>
    <row r="54">
      <c r="A54" s="8">
        <v>41760.0</v>
      </c>
      <c r="B54" s="9"/>
      <c r="C54" s="12">
        <v>1113.33333333333</v>
      </c>
      <c r="D54" s="12">
        <v>361.806382504709</v>
      </c>
      <c r="E54" s="12">
        <v>1385.41980987646</v>
      </c>
      <c r="F54" s="12">
        <v>993.58</v>
      </c>
      <c r="G54" s="12">
        <v>593.026349442133</v>
      </c>
      <c r="H54" s="12">
        <v>96.0</v>
      </c>
      <c r="I54" s="13">
        <v>1427.71195098115</v>
      </c>
      <c r="J54" s="13">
        <v>852.308477846272</v>
      </c>
      <c r="K54" s="12">
        <v>691.681972674356</v>
      </c>
      <c r="L54" s="12">
        <v>900.041710895207</v>
      </c>
      <c r="M54" s="12">
        <v>935.710176394808</v>
      </c>
      <c r="N54" s="12">
        <v>1096.15491208974</v>
      </c>
      <c r="O54" s="12">
        <v>793.675849439568</v>
      </c>
      <c r="P54" s="12">
        <v>2083.88852302243</v>
      </c>
      <c r="Q54" s="12">
        <v>866.116193028462</v>
      </c>
      <c r="R54" s="12">
        <v>909.675</v>
      </c>
      <c r="S54" s="12">
        <v>722.668571428571</v>
      </c>
      <c r="T54" s="12">
        <v>356.634321192192</v>
      </c>
      <c r="U54" s="12">
        <v>1141.35460012464</v>
      </c>
      <c r="V54" s="12">
        <v>845.584197716977</v>
      </c>
      <c r="W54" s="12">
        <v>734.36</v>
      </c>
      <c r="X54" s="12">
        <v>816.226910871012</v>
      </c>
    </row>
    <row r="55">
      <c r="A55" s="8">
        <v>41791.0</v>
      </c>
      <c r="B55" s="9">
        <f>IFERROR(__xludf.DUMMYFUNCTION("""COMPUTED_VALUE"""),1980.0)</f>
        <v>1980</v>
      </c>
      <c r="C55" s="12">
        <v>6314.31470149178</v>
      </c>
      <c r="D55" s="12">
        <v>812.555879107653</v>
      </c>
      <c r="E55" s="12">
        <v>997.080338757266</v>
      </c>
      <c r="F55" s="12">
        <v>1056.82</v>
      </c>
      <c r="G55" s="12">
        <v>1389.99517051689</v>
      </c>
      <c r="H55" s="12">
        <v>1383.06787811932</v>
      </c>
      <c r="I55" s="13">
        <v>770.077572951831</v>
      </c>
      <c r="J55" s="13">
        <v>499.547966895864</v>
      </c>
      <c r="K55" s="12">
        <v>98.0183973893731</v>
      </c>
      <c r="L55" s="12">
        <v>937.885568110113</v>
      </c>
      <c r="M55" s="12">
        <v>1355.07924246323</v>
      </c>
      <c r="N55" s="12">
        <v>2056.65942107511</v>
      </c>
      <c r="O55" s="12">
        <v>1553.41178792845</v>
      </c>
      <c r="P55" s="12">
        <v>1234.17461991836</v>
      </c>
      <c r="Q55" s="12">
        <v>928.02336094074</v>
      </c>
      <c r="R55" s="12">
        <v>3029.97373852399</v>
      </c>
      <c r="S55" s="12">
        <v>747.266428571429</v>
      </c>
      <c r="T55" s="12">
        <v>1257.44363217731</v>
      </c>
      <c r="U55" s="12">
        <v>1046.0394417993</v>
      </c>
      <c r="V55" s="12">
        <v>853.22468074708</v>
      </c>
      <c r="W55" s="12">
        <v>2048.29065333783</v>
      </c>
      <c r="X55" s="12">
        <v>701.102293243266</v>
      </c>
    </row>
    <row r="56">
      <c r="A56" s="8">
        <v>41821.0</v>
      </c>
      <c r="B56" s="9"/>
      <c r="C56" s="12">
        <v>735.900101342803</v>
      </c>
      <c r="D56" s="12">
        <v>1123.13938946675</v>
      </c>
      <c r="E56" s="12">
        <v>701.408502467173</v>
      </c>
      <c r="F56" s="12">
        <v>651.94</v>
      </c>
      <c r="G56" s="12">
        <v>986.44864478944</v>
      </c>
      <c r="H56" s="12">
        <v>727.44</v>
      </c>
      <c r="I56" s="13">
        <v>792.622692696863</v>
      </c>
      <c r="J56" s="13">
        <v>381.602067485054</v>
      </c>
      <c r="K56" s="12">
        <v>-118.57005952381</v>
      </c>
      <c r="L56" s="12">
        <v>717.91961099588</v>
      </c>
      <c r="M56" s="12">
        <v>560.0</v>
      </c>
      <c r="N56" s="12">
        <v>661.210833333333</v>
      </c>
      <c r="O56" s="12">
        <v>667.979632352941</v>
      </c>
      <c r="P56" s="12">
        <v>661.210833333333</v>
      </c>
      <c r="Q56" s="12">
        <v>300.267737002611</v>
      </c>
      <c r="R56" s="12">
        <v>602.342806098931</v>
      </c>
      <c r="S56" s="12">
        <v>728.256428571429</v>
      </c>
      <c r="T56" s="12">
        <v>828.53</v>
      </c>
      <c r="U56" s="12">
        <v>792.790784928655</v>
      </c>
      <c r="V56" s="12">
        <v>467.211111111111</v>
      </c>
      <c r="W56" s="12">
        <v>789.96</v>
      </c>
      <c r="X56" s="12">
        <v>833.522623885052</v>
      </c>
    </row>
    <row r="57">
      <c r="A57" s="8">
        <v>41852.0</v>
      </c>
      <c r="B57" s="9">
        <f>IFERROR(__xludf.DUMMYFUNCTION("""COMPUTED_VALUE"""),75.0)</f>
        <v>75</v>
      </c>
      <c r="C57" s="12">
        <v>382.666666666667</v>
      </c>
      <c r="D57" s="12">
        <v>516.813979107653</v>
      </c>
      <c r="E57" s="12">
        <v>226.671469382237</v>
      </c>
      <c r="F57" s="12">
        <v>640.56</v>
      </c>
      <c r="G57" s="12">
        <v>538.048887746392</v>
      </c>
      <c r="H57" s="12">
        <v>126.725836010355</v>
      </c>
      <c r="I57" s="13">
        <v>353.497309830912</v>
      </c>
      <c r="J57" s="13">
        <v>481.976460301429</v>
      </c>
      <c r="K57" s="12">
        <v>-1822.28663244774</v>
      </c>
      <c r="L57" s="12">
        <v>427.380170355006</v>
      </c>
      <c r="M57" s="12">
        <v>276.0</v>
      </c>
      <c r="N57" s="12">
        <v>125.765497359245</v>
      </c>
      <c r="O57" s="12">
        <v>1011.81457482848</v>
      </c>
      <c r="P57" s="12">
        <v>940.257187861057</v>
      </c>
      <c r="Q57" s="12">
        <v>1233.30537845292</v>
      </c>
      <c r="R57" s="12">
        <v>653.525261069027</v>
      </c>
      <c r="S57" s="12">
        <v>702.982307692308</v>
      </c>
      <c r="T57" s="12">
        <v>517.64953941337</v>
      </c>
      <c r="U57" s="12">
        <v>401.293619791667</v>
      </c>
      <c r="V57" s="12">
        <v>345.771414441421</v>
      </c>
      <c r="W57" s="12">
        <v>562.88</v>
      </c>
      <c r="X57" s="12">
        <v>1056.80472705456</v>
      </c>
    </row>
    <row r="58">
      <c r="A58" s="8">
        <v>41883.0</v>
      </c>
      <c r="B58" s="9">
        <f>IFERROR(__xludf.DUMMYFUNCTION("""COMPUTED_VALUE"""),3840.0)</f>
        <v>3840</v>
      </c>
      <c r="C58" s="12">
        <v>3413.66666666667</v>
      </c>
      <c r="D58" s="12">
        <v>1030.52791910765</v>
      </c>
      <c r="E58" s="12">
        <v>3466.30260309338</v>
      </c>
      <c r="F58" s="12">
        <v>1020.06</v>
      </c>
      <c r="G58" s="12">
        <v>625.171660589728</v>
      </c>
      <c r="H58" s="12">
        <v>4204.85504790624</v>
      </c>
      <c r="I58" s="13">
        <v>3125.68113118973</v>
      </c>
      <c r="J58" s="13">
        <v>1924.45096616795</v>
      </c>
      <c r="K58" s="12">
        <v>-3680.97837523872</v>
      </c>
      <c r="L58" s="12">
        <v>488.974937903908</v>
      </c>
      <c r="M58" s="12">
        <v>2744.0</v>
      </c>
      <c r="N58" s="12">
        <v>4200.0</v>
      </c>
      <c r="O58" s="12">
        <v>1728.44383877999</v>
      </c>
      <c r="P58" s="12">
        <v>1259.24814492799</v>
      </c>
      <c r="Q58" s="12">
        <v>4076.32235464154</v>
      </c>
      <c r="R58" s="12">
        <v>3465.91298704173</v>
      </c>
      <c r="S58" s="12">
        <v>707.235833333333</v>
      </c>
      <c r="T58" s="12">
        <v>1055.58266807752</v>
      </c>
      <c r="U58" s="12">
        <v>3441.93229166667</v>
      </c>
      <c r="V58" s="12">
        <v>4742.68484061086</v>
      </c>
      <c r="W58" s="12">
        <v>4645.4</v>
      </c>
      <c r="X58" s="12">
        <v>2739.83362908533</v>
      </c>
    </row>
    <row r="59">
      <c r="A59" s="8">
        <v>41913.0</v>
      </c>
      <c r="B59" s="9"/>
      <c r="C59" s="12">
        <v>1900.66666666667</v>
      </c>
      <c r="D59" s="12">
        <v>1579.75438726048</v>
      </c>
      <c r="E59" s="12">
        <v>1909.95978686625</v>
      </c>
      <c r="F59" s="12">
        <v>1872.17229488815</v>
      </c>
      <c r="G59" s="12">
        <v>1888.51632571947</v>
      </c>
      <c r="H59" s="12">
        <v>867.856849449267</v>
      </c>
      <c r="I59" s="13">
        <v>1238.40561553419</v>
      </c>
      <c r="J59" s="13">
        <v>1663.55101715214</v>
      </c>
      <c r="K59" s="12">
        <v>-1396.20326059674</v>
      </c>
      <c r="L59" s="12">
        <v>1888.51628353112</v>
      </c>
      <c r="M59" s="12">
        <v>0.0</v>
      </c>
      <c r="N59" s="12">
        <v>90.4476316049401</v>
      </c>
      <c r="O59" s="12">
        <v>1814.18967469061</v>
      </c>
      <c r="P59" s="12">
        <v>1889.83405606186</v>
      </c>
      <c r="Q59" s="12">
        <v>2571.96746409968</v>
      </c>
      <c r="R59" s="12">
        <v>2646.07129129608</v>
      </c>
      <c r="S59" s="12">
        <v>713.297272727273</v>
      </c>
      <c r="T59" s="12">
        <v>2871.53093693381</v>
      </c>
      <c r="U59" s="12">
        <v>1900.69374694156</v>
      </c>
      <c r="V59" s="12">
        <v>809.794439267685</v>
      </c>
      <c r="W59" s="12">
        <v>529.19</v>
      </c>
      <c r="X59" s="12">
        <v>1541.64759127903</v>
      </c>
    </row>
    <row r="60">
      <c r="A60" s="8">
        <v>41944.0</v>
      </c>
      <c r="B60" s="9">
        <f>IFERROR(__xludf.DUMMYFUNCTION("""COMPUTED_VALUE"""),35430.0)</f>
        <v>35430</v>
      </c>
      <c r="C60" s="12">
        <v>35429.9998101309</v>
      </c>
      <c r="D60" s="12">
        <v>35429.3445038077</v>
      </c>
      <c r="E60" s="12">
        <v>35431.9844079847</v>
      </c>
      <c r="F60" s="12">
        <v>35079.4124898513</v>
      </c>
      <c r="G60" s="12">
        <v>35430.0002063647</v>
      </c>
      <c r="H60" s="12">
        <v>35051.7204361807</v>
      </c>
      <c r="I60" s="13">
        <v>35499.0136265816</v>
      </c>
      <c r="J60" s="13">
        <v>35017.1371948255</v>
      </c>
      <c r="K60" s="12">
        <v>19175.2124274901</v>
      </c>
      <c r="L60" s="12">
        <v>35429.9994148793</v>
      </c>
      <c r="M60" s="12">
        <v>35429.9997470567</v>
      </c>
      <c r="N60" s="12">
        <v>34936.1578301105</v>
      </c>
      <c r="O60" s="12">
        <v>34921.4584623354</v>
      </c>
      <c r="P60" s="12">
        <v>35428.6282859552</v>
      </c>
      <c r="Q60" s="12">
        <v>35668.0115107313</v>
      </c>
      <c r="R60" s="12">
        <v>40783.5966987515</v>
      </c>
      <c r="S60" s="12">
        <v>682.621</v>
      </c>
      <c r="T60" s="12">
        <v>35430.0052300334</v>
      </c>
      <c r="U60" s="12">
        <v>35665.6350619077</v>
      </c>
      <c r="V60" s="12">
        <v>35459.1306193472</v>
      </c>
      <c r="W60" s="12">
        <v>35499.1190837702</v>
      </c>
      <c r="X60" s="12">
        <v>35429.9999842828</v>
      </c>
    </row>
    <row r="61">
      <c r="A61" s="8">
        <v>41974.0</v>
      </c>
      <c r="B61" s="9">
        <f>IFERROR(__xludf.DUMMYFUNCTION("""COMPUTED_VALUE"""),880.0)</f>
        <v>880</v>
      </c>
      <c r="C61" s="12">
        <v>3039.40317713866</v>
      </c>
      <c r="D61" s="12">
        <v>2741.21311938703</v>
      </c>
      <c r="E61" s="12">
        <v>2705.02700733708</v>
      </c>
      <c r="F61" s="12">
        <v>1211.54</v>
      </c>
      <c r="G61" s="12">
        <v>3039.40321113004</v>
      </c>
      <c r="H61" s="12">
        <v>2976.05580173462</v>
      </c>
      <c r="I61" s="13">
        <v>1071.83351309861</v>
      </c>
      <c r="J61" s="13">
        <v>2204.17660566002</v>
      </c>
      <c r="K61" s="12">
        <v>13754.7005403449</v>
      </c>
      <c r="L61" s="12">
        <v>3039.40314323155</v>
      </c>
      <c r="M61" s="12">
        <v>0.0</v>
      </c>
      <c r="N61" s="12">
        <v>419.3289806864</v>
      </c>
      <c r="O61" s="12">
        <v>402.836149753018</v>
      </c>
      <c r="P61" s="12">
        <v>624.052178017412</v>
      </c>
      <c r="Q61" s="12">
        <v>2771.7157002624</v>
      </c>
      <c r="R61" s="12">
        <v>4061.70997793638</v>
      </c>
      <c r="S61" s="12">
        <v>649.367777777778</v>
      </c>
      <c r="T61" s="12">
        <v>1487.80929276447</v>
      </c>
      <c r="U61" s="12">
        <v>638.826943356682</v>
      </c>
      <c r="V61" s="12">
        <v>857.17193137183</v>
      </c>
      <c r="W61" s="12">
        <v>1033.09064451052</v>
      </c>
      <c r="X61" s="12">
        <v>979.724144459532</v>
      </c>
    </row>
    <row r="62">
      <c r="A62" s="8">
        <v>42005.0</v>
      </c>
      <c r="B62" s="9">
        <f>IFERROR(__xludf.DUMMYFUNCTION("""COMPUTED_VALUE"""),891.0)</f>
        <v>891</v>
      </c>
      <c r="C62" s="12">
        <v>787.666666666667</v>
      </c>
      <c r="D62" s="12">
        <v>886.801279107653</v>
      </c>
      <c r="E62" s="12">
        <v>699.856403523801</v>
      </c>
      <c r="F62" s="12">
        <v>638.36</v>
      </c>
      <c r="G62" s="12">
        <v>1328.54479243541</v>
      </c>
      <c r="H62" s="12">
        <v>76.1132893657692</v>
      </c>
      <c r="I62" s="13">
        <v>0.0</v>
      </c>
      <c r="J62" s="13">
        <v>912.016119436592</v>
      </c>
      <c r="K62" s="12">
        <v>-2932.27003430866</v>
      </c>
      <c r="L62" s="12">
        <v>1047.10735471485</v>
      </c>
      <c r="M62" s="12">
        <v>304.0</v>
      </c>
      <c r="N62" s="12">
        <v>17.7260738119991</v>
      </c>
      <c r="O62" s="12">
        <v>40.6299652862027</v>
      </c>
      <c r="P62" s="12">
        <v>44.341229413669</v>
      </c>
      <c r="Q62" s="12">
        <v>-84.9913610278694</v>
      </c>
      <c r="R62" s="12">
        <v>745.883150033144</v>
      </c>
      <c r="S62" s="12">
        <v>594.95375</v>
      </c>
      <c r="T62" s="12">
        <v>555.607485913915</v>
      </c>
      <c r="U62" s="12">
        <v>880.632463151368</v>
      </c>
      <c r="V62" s="12">
        <v>946.805317646196</v>
      </c>
      <c r="W62" s="12">
        <v>707.790762960228</v>
      </c>
      <c r="X62" s="12">
        <v>1294.00056601305</v>
      </c>
    </row>
    <row r="63">
      <c r="A63" s="8">
        <v>42036.0</v>
      </c>
      <c r="B63" s="9">
        <f>IFERROR(__xludf.DUMMYFUNCTION("""COMPUTED_VALUE"""),406.0)</f>
        <v>406</v>
      </c>
      <c r="C63" s="12">
        <v>446.429428477075</v>
      </c>
      <c r="D63" s="12">
        <v>1553.37047910765</v>
      </c>
      <c r="E63" s="12">
        <v>473.514277614491</v>
      </c>
      <c r="F63" s="12">
        <v>404.98</v>
      </c>
      <c r="G63" s="12">
        <v>690.542322641225</v>
      </c>
      <c r="H63" s="12">
        <v>647.35548096578</v>
      </c>
      <c r="I63" s="13">
        <v>959.951360259183</v>
      </c>
      <c r="J63" s="13">
        <v>0.0</v>
      </c>
      <c r="K63" s="12">
        <v>-1887.07587780235</v>
      </c>
      <c r="L63" s="12">
        <v>979.213778853904</v>
      </c>
      <c r="M63" s="12">
        <v>25.6</v>
      </c>
      <c r="N63" s="12">
        <v>221.445347448844</v>
      </c>
      <c r="O63" s="12">
        <v>217.95928735646</v>
      </c>
      <c r="P63" s="12">
        <v>133.526504229166</v>
      </c>
      <c r="Q63" s="12">
        <v>547.945754332463</v>
      </c>
      <c r="R63" s="12">
        <v>585.590781828459</v>
      </c>
      <c r="S63" s="12">
        <v>498.299375</v>
      </c>
      <c r="T63" s="12">
        <v>276.627903902938</v>
      </c>
      <c r="U63" s="12">
        <v>427.4500050617</v>
      </c>
      <c r="V63" s="12">
        <v>330.716666666667</v>
      </c>
      <c r="W63" s="12">
        <v>661.13</v>
      </c>
      <c r="X63" s="12">
        <v>252.345657346075</v>
      </c>
    </row>
    <row r="64">
      <c r="A64" s="8">
        <v>42064.0</v>
      </c>
      <c r="B64" s="9">
        <f>IFERROR(__xludf.DUMMYFUNCTION("""COMPUTED_VALUE"""),463.0)</f>
        <v>463</v>
      </c>
      <c r="C64" s="12">
        <v>364.392865330832</v>
      </c>
      <c r="D64" s="12">
        <v>703.925542194818</v>
      </c>
      <c r="E64" s="12">
        <v>362.697620981477</v>
      </c>
      <c r="F64" s="12">
        <v>346.78</v>
      </c>
      <c r="G64" s="12">
        <v>305.269488058368</v>
      </c>
      <c r="H64" s="12">
        <v>364.39</v>
      </c>
      <c r="I64" s="13">
        <v>379.317015619462</v>
      </c>
      <c r="J64" s="13">
        <v>0.0</v>
      </c>
      <c r="K64" s="12">
        <v>-1251.84297619048</v>
      </c>
      <c r="L64" s="12">
        <v>407.77</v>
      </c>
      <c r="M64" s="12">
        <v>576.0</v>
      </c>
      <c r="N64" s="12">
        <v>0.0</v>
      </c>
      <c r="O64" s="12">
        <v>22.6989569277137</v>
      </c>
      <c r="P64" s="12">
        <v>2.41978794308103</v>
      </c>
      <c r="Q64" s="12">
        <v>314.405427247822</v>
      </c>
      <c r="R64" s="12">
        <v>404.065781828459</v>
      </c>
      <c r="S64" s="12">
        <v>464.053125</v>
      </c>
      <c r="T64" s="12">
        <v>116.295971588699</v>
      </c>
      <c r="U64" s="12">
        <v>349.329571615977</v>
      </c>
      <c r="V64" s="12">
        <v>385.819980391078</v>
      </c>
      <c r="W64" s="12">
        <v>483.305</v>
      </c>
      <c r="X64" s="12">
        <v>553.464861791021</v>
      </c>
    </row>
    <row r="65">
      <c r="A65" s="8">
        <v>42095.0</v>
      </c>
      <c r="B65" s="9">
        <f>IFERROR(__xludf.DUMMYFUNCTION("""COMPUTED_VALUE"""),763.0)</f>
        <v>763</v>
      </c>
      <c r="C65" s="12">
        <v>334.581261898151</v>
      </c>
      <c r="D65" s="12">
        <v>820.390479107653</v>
      </c>
      <c r="E65" s="12">
        <v>375.006620022825</v>
      </c>
      <c r="F65" s="12">
        <v>330.0</v>
      </c>
      <c r="G65" s="12">
        <v>785.106954527031</v>
      </c>
      <c r="H65" s="12">
        <v>673.0</v>
      </c>
      <c r="I65" s="13">
        <v>946.644066032716</v>
      </c>
      <c r="J65" s="13">
        <v>450.394535142346</v>
      </c>
      <c r="K65" s="12">
        <v>381.07455627363</v>
      </c>
      <c r="L65" s="12">
        <v>576.097238353516</v>
      </c>
      <c r="M65" s="12">
        <v>439.80662218714</v>
      </c>
      <c r="N65" s="12">
        <v>673.0</v>
      </c>
      <c r="O65" s="12">
        <v>287.918216469085</v>
      </c>
      <c r="P65" s="12">
        <v>36.0</v>
      </c>
      <c r="Q65" s="12">
        <v>639.637438163615</v>
      </c>
      <c r="R65" s="12">
        <v>850.616226299587</v>
      </c>
      <c r="S65" s="12">
        <v>454.89375</v>
      </c>
      <c r="T65" s="12">
        <v>150.694203056708</v>
      </c>
      <c r="U65" s="12">
        <v>878.432507774719</v>
      </c>
      <c r="V65" s="12">
        <v>713.559467571946</v>
      </c>
      <c r="W65" s="12">
        <v>1037.39</v>
      </c>
      <c r="X65" s="12">
        <v>713.76180384</v>
      </c>
    </row>
    <row r="66">
      <c r="A66" s="8">
        <v>42125.0</v>
      </c>
      <c r="B66" s="9">
        <f>IFERROR(__xludf.DUMMYFUNCTION("""COMPUTED_VALUE"""),424.0)</f>
        <v>424</v>
      </c>
      <c r="C66" s="12">
        <v>23.3333333333333</v>
      </c>
      <c r="D66" s="12">
        <v>820.390479107653</v>
      </c>
      <c r="E66" s="12">
        <v>67.3277845376673</v>
      </c>
      <c r="F66" s="12">
        <v>445.4</v>
      </c>
      <c r="G66" s="12">
        <v>292.674205683279</v>
      </c>
      <c r="H66" s="12">
        <v>12.4258179929964</v>
      </c>
      <c r="I66" s="13">
        <v>6.76350130619658</v>
      </c>
      <c r="J66" s="13">
        <v>371.591275287755</v>
      </c>
      <c r="K66" s="12">
        <v>-594.12363037519</v>
      </c>
      <c r="L66" s="12">
        <v>357.544847952416</v>
      </c>
      <c r="M66" s="12">
        <v>751.0</v>
      </c>
      <c r="N66" s="12">
        <v>0.0</v>
      </c>
      <c r="O66" s="12">
        <v>-28.1056084103286</v>
      </c>
      <c r="P66" s="12">
        <v>235.412540368176</v>
      </c>
      <c r="Q66" s="12">
        <v>255.804998299178</v>
      </c>
      <c r="R66" s="12">
        <v>379.133333333333</v>
      </c>
      <c r="S66" s="12">
        <v>470.338571428571</v>
      </c>
      <c r="T66" s="12">
        <v>381.277137017062</v>
      </c>
      <c r="U66" s="12">
        <v>211.514663787204</v>
      </c>
      <c r="V66" s="12">
        <v>342.318862743659</v>
      </c>
      <c r="W66" s="12">
        <v>577.99</v>
      </c>
      <c r="X66" s="12">
        <v>110.55983952012</v>
      </c>
    </row>
    <row r="67">
      <c r="A67" s="8">
        <v>42156.0</v>
      </c>
      <c r="B67" s="9">
        <f>IFERROR(__xludf.DUMMYFUNCTION("""COMPUTED_VALUE"""),1876.0)</f>
        <v>1876</v>
      </c>
      <c r="C67" s="12">
        <v>61.6666666666667</v>
      </c>
      <c r="D67" s="12">
        <v>948.390479107653</v>
      </c>
      <c r="E67" s="12">
        <v>69.9710686622409</v>
      </c>
      <c r="F67" s="12">
        <v>655.13</v>
      </c>
      <c r="G67" s="12">
        <v>258.708044912824</v>
      </c>
      <c r="H67" s="12">
        <v>610.212295876492</v>
      </c>
      <c r="I67" s="13">
        <v>66.2765348109941</v>
      </c>
      <c r="J67" s="13">
        <v>337.096965369619</v>
      </c>
      <c r="K67" s="12">
        <v>-245.355639603488</v>
      </c>
      <c r="L67" s="12">
        <v>746.46537255087</v>
      </c>
      <c r="M67" s="12">
        <v>2370.0</v>
      </c>
      <c r="N67" s="12">
        <v>664.336042346532</v>
      </c>
      <c r="O67" s="12">
        <v>653.87786206938</v>
      </c>
      <c r="P67" s="12">
        <v>2632.72012601096</v>
      </c>
      <c r="Q67" s="12">
        <v>650.312262997389</v>
      </c>
      <c r="R67" s="12">
        <v>380.851615161792</v>
      </c>
      <c r="S67" s="12">
        <v>493.728333333333</v>
      </c>
      <c r="T67" s="12">
        <v>479.584550570561</v>
      </c>
      <c r="U67" s="12">
        <v>231.316666666667</v>
      </c>
      <c r="V67" s="12">
        <v>679.31</v>
      </c>
      <c r="W67" s="12">
        <v>731.79</v>
      </c>
      <c r="X67" s="12">
        <v>2025.64423318802</v>
      </c>
    </row>
    <row r="68">
      <c r="A68" s="8">
        <v>42186.0</v>
      </c>
      <c r="B68" s="9"/>
      <c r="C68" s="12">
        <v>168.666666666667</v>
      </c>
      <c r="D68" s="12">
        <v>179.415679107653</v>
      </c>
      <c r="E68" s="12">
        <v>135.822742545596</v>
      </c>
      <c r="F68" s="12">
        <v>727.44</v>
      </c>
      <c r="G68" s="12">
        <v>498.991889981503</v>
      </c>
      <c r="H68" s="12">
        <v>327.191245419719</v>
      </c>
      <c r="I68" s="13">
        <v>56.2594396476522</v>
      </c>
      <c r="J68" s="13">
        <v>18.3914263297058</v>
      </c>
      <c r="K68" s="12">
        <v>-106.02622045303</v>
      </c>
      <c r="L68" s="12">
        <v>891.073365702731</v>
      </c>
      <c r="M68" s="12">
        <v>356.013759893646</v>
      </c>
      <c r="N68" s="12">
        <v>332.168021173266</v>
      </c>
      <c r="O68" s="12">
        <v>326.93893103469</v>
      </c>
      <c r="P68" s="12">
        <v>57.5</v>
      </c>
      <c r="Q68" s="12">
        <v>572.671508664926</v>
      </c>
      <c r="R68" s="12">
        <v>379.133333333333</v>
      </c>
      <c r="S68" s="12">
        <v>503.394</v>
      </c>
      <c r="T68" s="12">
        <v>206.274325028574</v>
      </c>
      <c r="U68" s="12">
        <v>168.729971205378</v>
      </c>
      <c r="V68" s="12">
        <v>180.31</v>
      </c>
      <c r="W68" s="12">
        <v>364.39</v>
      </c>
      <c r="X68" s="12">
        <v>121.55983952012</v>
      </c>
    </row>
    <row r="69">
      <c r="A69" s="8">
        <v>42217.0</v>
      </c>
      <c r="B69" s="9">
        <f>IFERROR(__xludf.DUMMYFUNCTION("""COMPUTED_VALUE"""),70.0)</f>
        <v>70</v>
      </c>
      <c r="C69" s="12">
        <v>87.0</v>
      </c>
      <c r="D69" s="12">
        <v>281.188079107653</v>
      </c>
      <c r="E69" s="12">
        <v>25.4808197209583</v>
      </c>
      <c r="F69" s="12">
        <v>3.0</v>
      </c>
      <c r="G69" s="12">
        <v>460.046590447311</v>
      </c>
      <c r="H69" s="12">
        <v>44.8223110617619</v>
      </c>
      <c r="I69" s="13">
        <v>11.9321420621614</v>
      </c>
      <c r="J69" s="13">
        <v>13.8116207600299</v>
      </c>
      <c r="K69" s="12">
        <v>-179.420766648959</v>
      </c>
      <c r="L69" s="12">
        <v>267.55714137683</v>
      </c>
      <c r="M69" s="12">
        <v>696.0</v>
      </c>
      <c r="N69" s="12">
        <v>0.969239658686152</v>
      </c>
      <c r="O69" s="12">
        <v>0.932810600213051</v>
      </c>
      <c r="P69" s="12">
        <v>25.0</v>
      </c>
      <c r="Q69" s="12">
        <v>234.341328146653</v>
      </c>
      <c r="R69" s="12">
        <v>385.522389432264</v>
      </c>
      <c r="S69" s="12">
        <v>465.46</v>
      </c>
      <c r="T69" s="12">
        <v>76.5378472696564</v>
      </c>
      <c r="U69" s="12">
        <v>87.0</v>
      </c>
      <c r="V69" s="12">
        <v>181.31</v>
      </c>
      <c r="W69" s="12">
        <v>392.39</v>
      </c>
      <c r="X69" s="12">
        <v>65.5598395201199</v>
      </c>
    </row>
    <row r="70">
      <c r="A70" s="8">
        <v>42248.0</v>
      </c>
      <c r="B70" s="9">
        <f>IFERROR(__xludf.DUMMYFUNCTION("""COMPUTED_VALUE"""),1439.0)</f>
        <v>1439</v>
      </c>
      <c r="C70" s="12">
        <v>110.333333333333</v>
      </c>
      <c r="D70" s="12">
        <v>61.114303685038</v>
      </c>
      <c r="E70" s="12">
        <v>66.1208323583061</v>
      </c>
      <c r="F70" s="12">
        <v>49.7997564628608</v>
      </c>
      <c r="G70" s="12">
        <v>1306.9012214933</v>
      </c>
      <c r="H70" s="12">
        <v>958.945404586829</v>
      </c>
      <c r="I70" s="13">
        <v>0.0</v>
      </c>
      <c r="J70" s="13">
        <v>79.0327516183019</v>
      </c>
      <c r="K70" s="12">
        <v>-31.3506593131578</v>
      </c>
      <c r="L70" s="12">
        <v>791.69527861392</v>
      </c>
      <c r="M70" s="12">
        <v>1023.72419543295</v>
      </c>
      <c r="N70" s="12">
        <v>319.704154861963</v>
      </c>
      <c r="O70" s="12">
        <v>1020.65329285435</v>
      </c>
      <c r="P70" s="12">
        <v>1333.07574634523</v>
      </c>
      <c r="Q70" s="12">
        <v>1023.46169539702</v>
      </c>
      <c r="R70" s="12">
        <v>1474.76649176179</v>
      </c>
      <c r="S70" s="12">
        <v>378.133333333333</v>
      </c>
      <c r="T70" s="12">
        <v>1521.82240846718</v>
      </c>
      <c r="U70" s="12">
        <v>172.090268366456</v>
      </c>
      <c r="V70" s="12">
        <v>224.000300649758</v>
      </c>
      <c r="W70" s="12">
        <v>382.925973295217</v>
      </c>
      <c r="X70" s="12">
        <v>1650.26809721764</v>
      </c>
    </row>
    <row r="71">
      <c r="A71" s="8">
        <v>42278.0</v>
      </c>
      <c r="B71" s="9">
        <f>IFERROR(__xludf.DUMMYFUNCTION("""COMPUTED_VALUE"""),2591.0)</f>
        <v>2591</v>
      </c>
      <c r="C71" s="12">
        <v>2353.94843831615</v>
      </c>
      <c r="D71" s="12">
        <v>2049.46190484221</v>
      </c>
      <c r="E71" s="12">
        <v>2477.20976652352</v>
      </c>
      <c r="F71" s="12">
        <v>2713.57222626262</v>
      </c>
      <c r="G71" s="12">
        <v>2353.9484646417</v>
      </c>
      <c r="H71" s="12">
        <v>2329.56376376346</v>
      </c>
      <c r="I71" s="13">
        <v>2419.30130767633</v>
      </c>
      <c r="J71" s="13">
        <v>2389.76288808412</v>
      </c>
      <c r="K71" s="12">
        <v>1463.76924732201</v>
      </c>
      <c r="L71" s="12">
        <v>2353.94841205587</v>
      </c>
      <c r="M71" s="12">
        <v>3529.0</v>
      </c>
      <c r="N71" s="12">
        <v>2292.93596196359</v>
      </c>
      <c r="O71" s="12">
        <v>2206.75552404519</v>
      </c>
      <c r="P71" s="12">
        <v>2353.84269182883</v>
      </c>
      <c r="Q71" s="12">
        <v>2092.30651405566</v>
      </c>
      <c r="R71" s="12">
        <v>3021.84221458523</v>
      </c>
      <c r="S71" s="12">
        <v>378.133333333333</v>
      </c>
      <c r="T71" s="12">
        <v>2521.66795305271</v>
      </c>
      <c r="U71" s="12">
        <v>2376.62047652806</v>
      </c>
      <c r="V71" s="12">
        <v>2434.48095188149</v>
      </c>
      <c r="W71" s="12">
        <v>2657.61030619255</v>
      </c>
      <c r="X71" s="12">
        <v>385.96690082917</v>
      </c>
    </row>
    <row r="72">
      <c r="A72" s="8">
        <v>42309.0</v>
      </c>
      <c r="B72" s="9">
        <f>IFERROR(__xludf.DUMMYFUNCTION("""COMPUTED_VALUE"""),720.0)</f>
        <v>720</v>
      </c>
      <c r="C72" s="12">
        <v>12.8130236880051</v>
      </c>
      <c r="D72" s="12">
        <v>-66.1173575310912</v>
      </c>
      <c r="E72" s="12">
        <v>111.758997085322</v>
      </c>
      <c r="F72" s="12">
        <v>72.0</v>
      </c>
      <c r="G72" s="12">
        <v>87.3822933588574</v>
      </c>
      <c r="H72" s="12">
        <v>313.82121633303</v>
      </c>
      <c r="I72" s="13">
        <v>23.2445440947103</v>
      </c>
      <c r="J72" s="13">
        <v>12.4453877009484</v>
      </c>
      <c r="K72" s="12">
        <v>345.109040787272</v>
      </c>
      <c r="L72" s="12">
        <v>915.04298200114</v>
      </c>
      <c r="M72" s="12">
        <v>0.0</v>
      </c>
      <c r="N72" s="12">
        <v>332.168021173266</v>
      </c>
      <c r="O72" s="12">
        <v>326.93893103469</v>
      </c>
      <c r="P72" s="12">
        <v>996.791313353179</v>
      </c>
      <c r="Q72" s="12">
        <v>187.281508664926</v>
      </c>
      <c r="R72" s="12">
        <v>1049.705</v>
      </c>
      <c r="S72" s="12">
        <v>378.133333333333</v>
      </c>
      <c r="T72" s="12">
        <v>764.300074592646</v>
      </c>
      <c r="U72" s="12">
        <v>381.023585642101</v>
      </c>
      <c r="V72" s="12">
        <v>295.460150324879</v>
      </c>
      <c r="W72" s="12">
        <v>595.0475</v>
      </c>
      <c r="X72" s="12">
        <v>1075.21471032782</v>
      </c>
    </row>
    <row r="73">
      <c r="A73" s="8">
        <v>42339.0</v>
      </c>
      <c r="B73" s="9">
        <f>IFERROR(__xludf.DUMMYFUNCTION("""COMPUTED_VALUE"""),41.0)</f>
        <v>41</v>
      </c>
      <c r="C73" s="12">
        <v>18.8242987898381</v>
      </c>
      <c r="D73" s="12">
        <v>-63.0472313567614</v>
      </c>
      <c r="E73" s="12">
        <v>33.5766336814102</v>
      </c>
      <c r="F73" s="12">
        <v>12.0</v>
      </c>
      <c r="G73" s="12">
        <v>58.4544740308034</v>
      </c>
      <c r="H73" s="12">
        <v>19.3374431988272</v>
      </c>
      <c r="I73" s="13">
        <v>45.9270522661278</v>
      </c>
      <c r="J73" s="13">
        <v>77.3468856627192</v>
      </c>
      <c r="K73" s="12">
        <v>35.8097351854922</v>
      </c>
      <c r="L73" s="12">
        <v>124.989329722134</v>
      </c>
      <c r="M73" s="12">
        <v>224.0</v>
      </c>
      <c r="N73" s="12">
        <v>0.0</v>
      </c>
      <c r="O73" s="12">
        <v>1.40768725133108</v>
      </c>
      <c r="P73" s="12">
        <v>3.71034151272425</v>
      </c>
      <c r="Q73" s="12">
        <v>-437.15534715433</v>
      </c>
      <c r="R73" s="12">
        <v>7.38905609893065</v>
      </c>
      <c r="S73" s="12">
        <v>378.133333333333</v>
      </c>
      <c r="T73" s="12">
        <v>46.8407389454049</v>
      </c>
      <c r="U73" s="12">
        <v>143.98982464465</v>
      </c>
      <c r="V73" s="12">
        <v>541.623054464473</v>
      </c>
      <c r="W73" s="12">
        <v>419.705</v>
      </c>
      <c r="X73" s="12">
        <v>119.55983952012</v>
      </c>
    </row>
    <row r="74">
      <c r="A74" s="8">
        <v>42370.0</v>
      </c>
      <c r="B74" s="9">
        <f>IFERROR(__xludf.DUMMYFUNCTION("""COMPUTED_VALUE"""),391.0)</f>
        <v>391</v>
      </c>
      <c r="C74" s="12">
        <v>68.1645506960154</v>
      </c>
      <c r="D74" s="12">
        <v>-74.6826859932406</v>
      </c>
      <c r="E74" s="12">
        <v>49.6442547141497</v>
      </c>
      <c r="F74" s="12">
        <v>16.0</v>
      </c>
      <c r="G74" s="12">
        <v>77.2570211974793</v>
      </c>
      <c r="H74" s="12">
        <v>270.461970499555</v>
      </c>
      <c r="I74" s="13">
        <v>21.6282170667366</v>
      </c>
      <c r="J74" s="13">
        <v>50.6803863393336</v>
      </c>
      <c r="K74" s="12">
        <v>83.910520932492</v>
      </c>
      <c r="L74" s="12">
        <v>140.810272245749</v>
      </c>
      <c r="M74" s="12">
        <v>322.464159793939</v>
      </c>
      <c r="N74" s="12">
        <v>221.445347448844</v>
      </c>
      <c r="O74" s="12">
        <v>217.95928735646</v>
      </c>
      <c r="P74" s="12">
        <v>1.45187276584862</v>
      </c>
      <c r="Q74" s="12">
        <v>-17.0</v>
      </c>
      <c r="R74" s="12">
        <v>20.0855369231877</v>
      </c>
      <c r="S74" s="12">
        <v>378.133333333333</v>
      </c>
      <c r="T74" s="12">
        <v>48.4373562283428</v>
      </c>
      <c r="U74" s="12">
        <v>2.71576471071168</v>
      </c>
      <c r="V74" s="12">
        <v>18.7935337665056</v>
      </c>
      <c r="W74" s="12">
        <v>60.0</v>
      </c>
      <c r="X74" s="12">
        <v>59.5598395201199</v>
      </c>
    </row>
    <row r="75">
      <c r="A75" s="8">
        <v>42401.0</v>
      </c>
      <c r="B75" s="9"/>
      <c r="C75" s="12">
        <v>549.841898439514</v>
      </c>
      <c r="D75" s="12">
        <v>228.783135778972</v>
      </c>
      <c r="E75" s="12">
        <v>667.150679103527</v>
      </c>
      <c r="F75" s="12">
        <v>438.305</v>
      </c>
      <c r="G75" s="12">
        <v>549.84190458871</v>
      </c>
      <c r="H75" s="12">
        <v>541.602445796756</v>
      </c>
      <c r="I75" s="13">
        <v>0.0</v>
      </c>
      <c r="J75" s="13">
        <v>603.476210856969</v>
      </c>
      <c r="K75" s="12">
        <v>10.773533473031</v>
      </c>
      <c r="L75" s="12">
        <v>549.841892305564</v>
      </c>
      <c r="M75" s="12">
        <v>0.0</v>
      </c>
      <c r="N75" s="12">
        <v>535.590432570454</v>
      </c>
      <c r="O75" s="12">
        <v>515.460163435377</v>
      </c>
      <c r="P75" s="12">
        <v>549.817197877516</v>
      </c>
      <c r="Q75" s="12">
        <v>245.157774206447</v>
      </c>
      <c r="R75" s="12">
        <v>461.372491454202</v>
      </c>
      <c r="S75" s="12">
        <v>378.133333333333</v>
      </c>
      <c r="T75" s="12">
        <v>849.551228040302</v>
      </c>
      <c r="U75" s="12">
        <v>804.659835555569</v>
      </c>
      <c r="V75" s="12">
        <v>532.84869302218</v>
      </c>
      <c r="W75" s="12">
        <v>446.379629419718</v>
      </c>
      <c r="X75" s="12">
        <v>144.714880630386</v>
      </c>
    </row>
    <row r="76">
      <c r="A76" s="8">
        <v>42430.0</v>
      </c>
      <c r="B76" s="9">
        <f>IFERROR(__xludf.DUMMYFUNCTION("""COMPUTED_VALUE"""),660.0)</f>
        <v>660</v>
      </c>
      <c r="C76" s="12">
        <v>163.25516533186</v>
      </c>
      <c r="D76" s="12">
        <v>85.1166791076529</v>
      </c>
      <c r="E76" s="12">
        <v>228.70823195865</v>
      </c>
      <c r="F76" s="12">
        <v>364.39</v>
      </c>
      <c r="G76" s="12">
        <v>163.255167157636</v>
      </c>
      <c r="H76" s="12">
        <v>167.747390542976</v>
      </c>
      <c r="I76" s="13">
        <v>0.0</v>
      </c>
      <c r="J76" s="13">
        <v>178.510552182548</v>
      </c>
      <c r="K76" s="12">
        <v>-16.5354449205954</v>
      </c>
      <c r="L76" s="12">
        <v>507.54869924748</v>
      </c>
      <c r="M76" s="12">
        <v>0.0</v>
      </c>
      <c r="N76" s="12">
        <v>159.023720941613</v>
      </c>
      <c r="O76" s="12">
        <v>153.046783889073</v>
      </c>
      <c r="P76" s="12">
        <v>163.247831415794</v>
      </c>
      <c r="Q76" s="12">
        <v>-399.866274559395</v>
      </c>
      <c r="R76" s="12">
        <v>49.5443725602222</v>
      </c>
      <c r="S76" s="12">
        <v>378.133333333333</v>
      </c>
      <c r="T76" s="12">
        <v>539.887578263154</v>
      </c>
      <c r="U76" s="12">
        <v>150.7434544155</v>
      </c>
      <c r="V76" s="12">
        <v>755.656920230555</v>
      </c>
      <c r="W76" s="12">
        <v>9.72229971856947</v>
      </c>
      <c r="X76" s="12">
        <v>120.55983952012</v>
      </c>
    </row>
    <row r="77">
      <c r="A77" s="8">
        <v>42461.0</v>
      </c>
      <c r="B77" s="9">
        <f>IFERROR(__xludf.DUMMYFUNCTION("""COMPUTED_VALUE"""),28.0)</f>
        <v>28</v>
      </c>
      <c r="C77" s="12">
        <v>160.664185127731</v>
      </c>
      <c r="D77" s="12">
        <v>-163.969500696584</v>
      </c>
      <c r="E77" s="12">
        <v>221.393248516606</v>
      </c>
      <c r="F77" s="12">
        <v>331.705</v>
      </c>
      <c r="G77" s="12">
        <v>160.66418692453</v>
      </c>
      <c r="H77" s="12">
        <v>196.31570323931</v>
      </c>
      <c r="I77" s="13">
        <v>0.0</v>
      </c>
      <c r="J77" s="13">
        <v>188.411375149759</v>
      </c>
      <c r="K77" s="12">
        <v>965.265603490411</v>
      </c>
      <c r="L77" s="12">
        <v>264.753072749723</v>
      </c>
      <c r="M77" s="12">
        <v>0.0</v>
      </c>
      <c r="N77" s="12">
        <v>156.499896889191</v>
      </c>
      <c r="O77" s="12">
        <v>150.617818247734</v>
      </c>
      <c r="P77" s="12">
        <v>456.198857814068</v>
      </c>
      <c r="Q77" s="12">
        <v>-331.659099701963</v>
      </c>
      <c r="R77" s="12">
        <v>112.8946723663</v>
      </c>
      <c r="S77" s="12">
        <v>348.0475</v>
      </c>
      <c r="T77" s="12">
        <v>344.186755397374</v>
      </c>
      <c r="U77" s="12">
        <v>154.276773264932</v>
      </c>
      <c r="V77" s="12">
        <v>223.902563347931</v>
      </c>
      <c r="W77" s="12">
        <v>47.1349811122235</v>
      </c>
      <c r="X77" s="12">
        <v>208.55983952012</v>
      </c>
    </row>
    <row r="78">
      <c r="A78" s="8">
        <v>42491.0</v>
      </c>
      <c r="B78" s="9">
        <f>IFERROR(__xludf.DUMMYFUNCTION("""COMPUTED_VALUE"""),11010.0)</f>
        <v>11010</v>
      </c>
      <c r="C78" s="12">
        <v>9821.41482588393</v>
      </c>
      <c r="D78" s="12">
        <v>9585.5232238526</v>
      </c>
      <c r="E78" s="12">
        <v>9963.64095943703</v>
      </c>
      <c r="F78" s="12">
        <v>11448.3359562389</v>
      </c>
      <c r="G78" s="12">
        <v>9821.41493572241</v>
      </c>
      <c r="H78" s="12">
        <v>9615.45495728003</v>
      </c>
      <c r="I78" s="13">
        <v>11492.6380094356</v>
      </c>
      <c r="J78" s="13">
        <v>9881.73514659117</v>
      </c>
      <c r="K78" s="12">
        <v>7949.01637529443</v>
      </c>
      <c r="L78" s="12">
        <v>9821.41471631776</v>
      </c>
      <c r="M78" s="12">
        <v>9821.4148083994</v>
      </c>
      <c r="N78" s="12">
        <v>9538.50276391927</v>
      </c>
      <c r="O78" s="12">
        <v>9188.85902410495</v>
      </c>
      <c r="P78" s="12">
        <v>9820.97361820859</v>
      </c>
      <c r="Q78" s="12">
        <v>8531.92434639724</v>
      </c>
      <c r="R78" s="12">
        <v>10809.3343028563</v>
      </c>
      <c r="S78" s="12">
        <v>331.705</v>
      </c>
      <c r="T78" s="12">
        <v>9555.30819922034</v>
      </c>
      <c r="U78" s="12">
        <v>10453.6766085283</v>
      </c>
      <c r="V78" s="12">
        <v>9531.17753259692</v>
      </c>
      <c r="W78" s="12">
        <v>10695.8596399159</v>
      </c>
      <c r="X78" s="12">
        <v>186.55983952012</v>
      </c>
    </row>
    <row r="79">
      <c r="A79" s="8">
        <v>42522.0</v>
      </c>
      <c r="B79" s="9">
        <f>IFERROR(__xludf.DUMMYFUNCTION("""COMPUTED_VALUE"""),51.0)</f>
        <v>51</v>
      </c>
      <c r="C79" s="12">
        <v>1839.33333333333</v>
      </c>
      <c r="D79" s="12">
        <v>305.095647428855</v>
      </c>
      <c r="E79" s="12">
        <v>829.281026495853</v>
      </c>
      <c r="F79" s="12">
        <v>16.0</v>
      </c>
      <c r="G79" s="12">
        <v>78.396979478705</v>
      </c>
      <c r="H79" s="12">
        <v>123.576376042236</v>
      </c>
      <c r="I79" s="13">
        <v>31.1855967299593</v>
      </c>
      <c r="J79" s="13">
        <v>24.0026275068615</v>
      </c>
      <c r="K79" s="12">
        <v>207.015333317828</v>
      </c>
      <c r="L79" s="12">
        <v>81.7293525615791</v>
      </c>
      <c r="M79" s="12">
        <v>572.65509261766</v>
      </c>
      <c r="N79" s="12">
        <v>111.885761314845</v>
      </c>
      <c r="O79" s="12">
        <v>103.90448853743</v>
      </c>
      <c r="P79" s="12">
        <v>87.7576427357387</v>
      </c>
      <c r="Q79" s="12">
        <v>-183.878501025061</v>
      </c>
      <c r="R79" s="12">
        <v>1.0</v>
      </c>
      <c r="S79" s="12">
        <v>0.0</v>
      </c>
      <c r="T79" s="12">
        <v>114.591829047051</v>
      </c>
      <c r="U79" s="12">
        <v>278.443430445272</v>
      </c>
      <c r="V79" s="12">
        <v>44.0809082328423</v>
      </c>
      <c r="W79" s="12">
        <v>120.575659403892</v>
      </c>
      <c r="X79" s="12">
        <v>299.524162212308</v>
      </c>
    </row>
    <row r="80">
      <c r="A80" s="8">
        <v>42552.0</v>
      </c>
      <c r="B80" s="9">
        <f>IFERROR(__xludf.DUMMYFUNCTION("""COMPUTED_VALUE"""),7338.0)</f>
        <v>7338</v>
      </c>
      <c r="C80" s="12">
        <v>7389.52995975349</v>
      </c>
      <c r="D80" s="12">
        <v>7331.26976669677</v>
      </c>
      <c r="E80" s="12">
        <v>6981.45899061314</v>
      </c>
      <c r="F80" s="12">
        <v>27.3919199019307</v>
      </c>
      <c r="G80" s="12">
        <v>6987.25414793905</v>
      </c>
      <c r="H80" s="12">
        <v>6871.48560308427</v>
      </c>
      <c r="I80" s="13">
        <v>6805.17813030042</v>
      </c>
      <c r="J80" s="13">
        <v>6860.41610296379</v>
      </c>
      <c r="K80" s="12">
        <v>6480.44575512922</v>
      </c>
      <c r="L80" s="12">
        <v>7189.48682304957</v>
      </c>
      <c r="M80" s="12">
        <v>6428.0</v>
      </c>
      <c r="N80" s="12">
        <v>0.0</v>
      </c>
      <c r="O80" s="12">
        <v>128.820818016135</v>
      </c>
      <c r="P80" s="12">
        <v>6110.97381992562</v>
      </c>
      <c r="Q80" s="12">
        <v>-361.335555861829</v>
      </c>
      <c r="R80" s="12">
        <v>20.0855369231877</v>
      </c>
      <c r="S80" s="12">
        <v>0.0</v>
      </c>
      <c r="T80" s="12">
        <v>7758.0</v>
      </c>
      <c r="U80" s="12">
        <v>1378.20404899436</v>
      </c>
      <c r="V80" s="12">
        <v>35.5378529147415</v>
      </c>
      <c r="W80" s="12">
        <v>6870.89423398403</v>
      </c>
      <c r="X80" s="12">
        <v>6984.75250315004</v>
      </c>
    </row>
    <row r="81">
      <c r="A81" s="8">
        <v>42583.0</v>
      </c>
      <c r="B81" s="9">
        <f>IFERROR(__xludf.DUMMYFUNCTION("""COMPUTED_VALUE"""),417.0)</f>
        <v>417</v>
      </c>
      <c r="C81" s="12">
        <v>494.666666666667</v>
      </c>
      <c r="D81" s="12">
        <v>25348.9255421948</v>
      </c>
      <c r="E81" s="12">
        <v>480.655314556055</v>
      </c>
      <c r="F81" s="12">
        <v>7.0</v>
      </c>
      <c r="G81" s="12">
        <v>0.0</v>
      </c>
      <c r="H81" s="12">
        <v>0.0</v>
      </c>
      <c r="I81" s="13">
        <v>23.5216497928923</v>
      </c>
      <c r="J81" s="13">
        <v>0.0</v>
      </c>
      <c r="K81" s="12">
        <v>0.0</v>
      </c>
      <c r="L81" s="12">
        <v>99.0</v>
      </c>
      <c r="M81" s="12">
        <v>0.0</v>
      </c>
      <c r="N81" s="12">
        <v>0.0</v>
      </c>
      <c r="O81" s="12">
        <v>11.6134198234814</v>
      </c>
      <c r="P81" s="12">
        <v>14.841366050897</v>
      </c>
      <c r="Q81" s="12">
        <v>11.6132789480528</v>
      </c>
      <c r="R81" s="12">
        <v>2.71828182845905</v>
      </c>
      <c r="S81" s="12">
        <v>0.0</v>
      </c>
      <c r="T81" s="12">
        <v>271.629946146042</v>
      </c>
      <c r="U81" s="12">
        <v>474.873830831878</v>
      </c>
      <c r="V81" s="12">
        <v>69.165272322363</v>
      </c>
      <c r="W81" s="12">
        <v>0.0</v>
      </c>
      <c r="X81" s="12">
        <v>62.5598395201199</v>
      </c>
    </row>
    <row r="82">
      <c r="A82" s="8">
        <v>42614.0</v>
      </c>
      <c r="B82" s="9">
        <f>IFERROR(__xludf.DUMMYFUNCTION("""COMPUTED_VALUE"""),72.0)</f>
        <v>72</v>
      </c>
      <c r="C82" s="12">
        <v>330.666666666667</v>
      </c>
      <c r="D82" s="12">
        <v>168.294343268254</v>
      </c>
      <c r="E82" s="12">
        <v>101.710388326311</v>
      </c>
      <c r="F82" s="12">
        <v>5.0</v>
      </c>
      <c r="G82" s="12">
        <v>0.464347361053555</v>
      </c>
      <c r="H82" s="12">
        <v>0.454135672979947</v>
      </c>
      <c r="I82" s="13">
        <v>46.4489009259406</v>
      </c>
      <c r="J82" s="13">
        <v>0.466819953098622</v>
      </c>
      <c r="K82" s="12">
        <v>0.0</v>
      </c>
      <c r="L82" s="12">
        <v>103.0</v>
      </c>
      <c r="M82" s="12">
        <v>379.666666666667</v>
      </c>
      <c r="N82" s="12">
        <v>0.452311840720204</v>
      </c>
      <c r="O82" s="12">
        <v>-115.411389973405</v>
      </c>
      <c r="P82" s="12">
        <v>129.0</v>
      </c>
      <c r="Q82" s="12">
        <v>-656.788773363137</v>
      </c>
      <c r="R82" s="12">
        <v>20.0855369231877</v>
      </c>
      <c r="S82" s="12">
        <v>0.0</v>
      </c>
      <c r="T82" s="12">
        <v>230.144994970372</v>
      </c>
      <c r="U82" s="12">
        <v>343.670284212809</v>
      </c>
      <c r="V82" s="12">
        <v>26.2596426954508</v>
      </c>
      <c r="W82" s="12">
        <v>0.0</v>
      </c>
      <c r="X82" s="12">
        <v>819.006160849288</v>
      </c>
    </row>
    <row r="83">
      <c r="A83" s="8">
        <v>42644.0</v>
      </c>
      <c r="B83" s="9">
        <f>IFERROR(__xludf.DUMMYFUNCTION("""COMPUTED_VALUE"""),211.0)</f>
        <v>211</v>
      </c>
      <c r="C83" s="12">
        <v>14.442387758294</v>
      </c>
      <c r="D83" s="12">
        <v>-214.417942941707</v>
      </c>
      <c r="E83" s="12">
        <v>0.0</v>
      </c>
      <c r="F83" s="12">
        <v>5.0</v>
      </c>
      <c r="G83" s="12">
        <v>15.3096078481236</v>
      </c>
      <c r="H83" s="12">
        <v>88.0</v>
      </c>
      <c r="I83" s="13">
        <v>24.9166936178921</v>
      </c>
      <c r="J83" s="13">
        <v>10.1217103669095</v>
      </c>
      <c r="K83" s="12">
        <v>-1.69438401669179</v>
      </c>
      <c r="L83" s="12">
        <v>184.689950506655</v>
      </c>
      <c r="M83" s="12">
        <v>605.666666666667</v>
      </c>
      <c r="N83" s="12">
        <v>88.0</v>
      </c>
      <c r="O83" s="12">
        <v>2.46345268982939</v>
      </c>
      <c r="P83" s="12">
        <v>31.9412008486696</v>
      </c>
      <c r="Q83" s="12">
        <v>30.0</v>
      </c>
      <c r="R83" s="12">
        <v>1.0</v>
      </c>
      <c r="S83" s="12">
        <v>0.0</v>
      </c>
      <c r="T83" s="12">
        <v>206.011596174446</v>
      </c>
      <c r="U83" s="12">
        <v>-29.4948370304496</v>
      </c>
      <c r="V83" s="12">
        <v>60.6991633934178</v>
      </c>
      <c r="W83" s="12">
        <v>88.0</v>
      </c>
      <c r="X83" s="12">
        <v>402.176293679496</v>
      </c>
    </row>
    <row r="84">
      <c r="A84" s="8">
        <v>42675.0</v>
      </c>
      <c r="B84" s="9">
        <f>IFERROR(__xludf.DUMMYFUNCTION("""COMPUTED_VALUE"""),149.0)</f>
        <v>149</v>
      </c>
      <c r="C84" s="12">
        <v>123.875387891994</v>
      </c>
      <c r="D84" s="12">
        <v>-196.402181295922</v>
      </c>
      <c r="E84" s="12">
        <v>-243.862495294043</v>
      </c>
      <c r="F84" s="12">
        <v>16.0</v>
      </c>
      <c r="G84" s="12">
        <v>123.875389277363</v>
      </c>
      <c r="H84" s="12">
        <v>153.405436459883</v>
      </c>
      <c r="I84" s="13">
        <v>50.7669324130009</v>
      </c>
      <c r="J84" s="13">
        <v>111.812777395947</v>
      </c>
      <c r="K84" s="12">
        <v>220.64523915606</v>
      </c>
      <c r="L84" s="12">
        <v>123.875386510059</v>
      </c>
      <c r="M84" s="12">
        <v>0.0</v>
      </c>
      <c r="N84" s="12">
        <v>120.664636096669</v>
      </c>
      <c r="O84" s="12">
        <v>116.129432605347</v>
      </c>
      <c r="P84" s="12">
        <v>123.8698230347</v>
      </c>
      <c r="Q84" s="12">
        <v>-363.212996223936</v>
      </c>
      <c r="R84" s="12">
        <v>2.71828182845905</v>
      </c>
      <c r="S84" s="12">
        <v>0.0</v>
      </c>
      <c r="T84" s="12">
        <v>492.732627186318</v>
      </c>
      <c r="U84" s="12">
        <v>366.113184038859</v>
      </c>
      <c r="V84" s="12">
        <v>149.949943345209</v>
      </c>
      <c r="W84" s="12">
        <v>52.7689001175103</v>
      </c>
      <c r="X84" s="12">
        <v>304.708613296509</v>
      </c>
    </row>
    <row r="85">
      <c r="A85" s="8">
        <v>42705.0</v>
      </c>
      <c r="B85" s="9">
        <f>IFERROR(__xludf.DUMMYFUNCTION("""COMPUTED_VALUE"""),289.0)</f>
        <v>289</v>
      </c>
      <c r="C85" s="12">
        <v>596.398607717544</v>
      </c>
      <c r="D85" s="12">
        <v>-206.516487337108</v>
      </c>
      <c r="E85" s="12">
        <v>310.33078401475</v>
      </c>
      <c r="F85" s="12">
        <v>4.0</v>
      </c>
      <c r="G85" s="12">
        <v>108.394578679059</v>
      </c>
      <c r="H85" s="12">
        <v>111.826267295137</v>
      </c>
      <c r="I85" s="13">
        <v>151.577762420686</v>
      </c>
      <c r="J85" s="13">
        <v>287.823131347035</v>
      </c>
      <c r="K85" s="12">
        <v>120.679003639493</v>
      </c>
      <c r="L85" s="12">
        <v>214.450647802702</v>
      </c>
      <c r="M85" s="12">
        <v>756.0</v>
      </c>
      <c r="N85" s="12">
        <v>1.6534959703557</v>
      </c>
      <c r="O85" s="12">
        <v>-1678.42026596865</v>
      </c>
      <c r="P85" s="12">
        <v>6.14549774080681</v>
      </c>
      <c r="Q85" s="12">
        <v>-270.698348898907</v>
      </c>
      <c r="R85" s="12">
        <v>1.0</v>
      </c>
      <c r="S85" s="12">
        <v>0.0</v>
      </c>
      <c r="T85" s="12">
        <v>264.735200100399</v>
      </c>
      <c r="U85" s="12">
        <v>567.220308198262</v>
      </c>
      <c r="V85" s="12">
        <v>18.330544644726</v>
      </c>
      <c r="W85" s="12">
        <v>22.0</v>
      </c>
      <c r="X85" s="12">
        <v>87.9985579768909</v>
      </c>
    </row>
    <row r="86">
      <c r="A86" s="8">
        <v>42736.0</v>
      </c>
      <c r="B86" s="9">
        <f>IFERROR(__xludf.DUMMYFUNCTION("""COMPUTED_VALUE"""),6.0)</f>
        <v>6</v>
      </c>
      <c r="C86" s="12">
        <v>496.333333333333</v>
      </c>
      <c r="D86" s="12">
        <v>-188.931166529959</v>
      </c>
      <c r="E86" s="12">
        <v>-154.816693931818</v>
      </c>
      <c r="F86" s="12">
        <v>2.0</v>
      </c>
      <c r="G86" s="12">
        <v>0.0</v>
      </c>
      <c r="H86" s="12">
        <v>200.439275791302</v>
      </c>
      <c r="I86" s="13">
        <v>21.0337485606521</v>
      </c>
      <c r="J86" s="13">
        <v>54.2556344120078</v>
      </c>
      <c r="K86" s="12">
        <v>0.0</v>
      </c>
      <c r="L86" s="12">
        <v>244.0</v>
      </c>
      <c r="M86" s="12">
        <v>0.0</v>
      </c>
      <c r="N86" s="12">
        <v>221.445347448844</v>
      </c>
      <c r="O86" s="12">
        <v>217.683417694632</v>
      </c>
      <c r="P86" s="12">
        <v>419.0</v>
      </c>
      <c r="Q86" s="12">
        <v>-90.8316051485844</v>
      </c>
      <c r="R86" s="12">
        <v>1.0</v>
      </c>
      <c r="S86" s="12">
        <v>0.0</v>
      </c>
      <c r="T86" s="12">
        <v>188.355417089287</v>
      </c>
      <c r="U86" s="12">
        <v>508.240111989745</v>
      </c>
      <c r="V86" s="12">
        <v>10.9853943198468</v>
      </c>
      <c r="W86" s="12">
        <v>21.0</v>
      </c>
      <c r="X86" s="12">
        <v>202.056481829322</v>
      </c>
    </row>
    <row r="87">
      <c r="A87" s="8">
        <v>42767.0</v>
      </c>
      <c r="B87" s="9">
        <f>IFERROR(__xludf.DUMMYFUNCTION("""COMPUTED_VALUE"""),1573.0)</f>
        <v>1573</v>
      </c>
      <c r="C87" s="12">
        <v>909.632766326924</v>
      </c>
      <c r="D87" s="12">
        <v>624.242744874264</v>
      </c>
      <c r="E87" s="12">
        <v>6.1772179190414</v>
      </c>
      <c r="F87" s="12">
        <v>1453.0</v>
      </c>
      <c r="G87" s="12">
        <v>964.245394523644</v>
      </c>
      <c r="H87" s="12">
        <v>934.429066762078</v>
      </c>
      <c r="I87" s="13">
        <v>45.7363472918372</v>
      </c>
      <c r="J87" s="13">
        <v>262.088513745187</v>
      </c>
      <c r="K87" s="12">
        <v>1041.40039345518</v>
      </c>
      <c r="L87" s="12">
        <v>827.583716723565</v>
      </c>
      <c r="M87" s="12">
        <v>1088.66666666667</v>
      </c>
      <c r="N87" s="12">
        <v>0.0</v>
      </c>
      <c r="O87" s="12">
        <v>47.8613665452567</v>
      </c>
      <c r="P87" s="12">
        <v>2165.71020905752</v>
      </c>
      <c r="Q87" s="12">
        <v>-171.420722697193</v>
      </c>
      <c r="R87" s="12">
        <v>366.744227035305</v>
      </c>
      <c r="S87" s="12">
        <v>0.0</v>
      </c>
      <c r="T87" s="12">
        <v>1504.51618050617</v>
      </c>
      <c r="U87" s="12">
        <v>140.24988320011</v>
      </c>
      <c r="V87" s="12">
        <v>28.3602526828698</v>
      </c>
      <c r="W87" s="12">
        <v>0.0</v>
      </c>
      <c r="X87" s="12">
        <v>1600.82138434686</v>
      </c>
    </row>
    <row r="88">
      <c r="A88" s="8">
        <v>42795.0</v>
      </c>
      <c r="B88" s="9">
        <f>IFERROR(__xludf.DUMMYFUNCTION("""COMPUTED_VALUE"""),1425.0)</f>
        <v>1425</v>
      </c>
      <c r="C88" s="12">
        <v>1256.8298049689</v>
      </c>
      <c r="D88" s="12">
        <v>-69.4718457435285</v>
      </c>
      <c r="E88" s="12">
        <v>322.587198330634</v>
      </c>
      <c r="F88" s="12">
        <v>772.0</v>
      </c>
      <c r="G88" s="12">
        <v>1407.74656318662</v>
      </c>
      <c r="H88" s="12">
        <v>240.0</v>
      </c>
      <c r="I88" s="13">
        <v>0.0</v>
      </c>
      <c r="J88" s="13">
        <v>473.305975689101</v>
      </c>
      <c r="K88" s="12">
        <v>1198.8043171944</v>
      </c>
      <c r="L88" s="12">
        <v>1163.14174208343</v>
      </c>
      <c r="M88" s="12">
        <v>0.0</v>
      </c>
      <c r="N88" s="12">
        <v>238.997421191811</v>
      </c>
      <c r="O88" s="12">
        <v>1115.24022486705</v>
      </c>
      <c r="P88" s="12">
        <v>799.497936393972</v>
      </c>
      <c r="Q88" s="12">
        <v>1115.22669655695</v>
      </c>
      <c r="R88" s="12">
        <v>988.289604966363</v>
      </c>
      <c r="S88" s="12">
        <v>0.0</v>
      </c>
      <c r="T88" s="12">
        <v>1282.44831040031</v>
      </c>
      <c r="U88" s="12">
        <v>439.986690279537</v>
      </c>
      <c r="V88" s="12">
        <v>263.523398553742</v>
      </c>
      <c r="W88" s="12">
        <v>240.0</v>
      </c>
      <c r="X88" s="12">
        <v>1500.55983952012</v>
      </c>
    </row>
    <row r="89">
      <c r="A89" s="8">
        <v>42826.0</v>
      </c>
      <c r="B89" s="9">
        <f>IFERROR(__xludf.DUMMYFUNCTION("""COMPUTED_VALUE"""),10030.0)</f>
        <v>10030</v>
      </c>
      <c r="C89" s="12">
        <v>9547.85195263874</v>
      </c>
      <c r="D89" s="12">
        <v>15774.4289637052</v>
      </c>
      <c r="E89" s="12">
        <v>51.1735161386811</v>
      </c>
      <c r="F89" s="12">
        <v>10052.3178232199</v>
      </c>
      <c r="G89" s="12">
        <v>10149.6466398592</v>
      </c>
      <c r="H89" s="12">
        <v>9587.0</v>
      </c>
      <c r="I89" s="13">
        <v>7056.23381568903</v>
      </c>
      <c r="J89" s="13">
        <v>8111.03761502661</v>
      </c>
      <c r="K89" s="12">
        <v>9595.45072134933</v>
      </c>
      <c r="L89" s="12">
        <v>9914.02323074262</v>
      </c>
      <c r="M89" s="12">
        <v>9982.98396415018</v>
      </c>
      <c r="N89" s="12">
        <v>9587.0</v>
      </c>
      <c r="O89" s="12">
        <v>9679.56547173874</v>
      </c>
      <c r="P89" s="12">
        <v>10030.0210240709</v>
      </c>
      <c r="Q89" s="12">
        <v>9679.44805473709</v>
      </c>
      <c r="R89" s="12">
        <v>10035.3543945249</v>
      </c>
      <c r="S89" s="12">
        <v>0.0</v>
      </c>
      <c r="T89" s="12">
        <v>9948.21357295395</v>
      </c>
      <c r="U89" s="12">
        <v>10657.7170301197</v>
      </c>
      <c r="V89" s="12">
        <v>6403.57410960488</v>
      </c>
      <c r="W89" s="12">
        <v>9587.0</v>
      </c>
      <c r="X89" s="12">
        <v>10030.3479882256</v>
      </c>
    </row>
    <row r="90">
      <c r="A90" s="8">
        <v>42856.0</v>
      </c>
      <c r="B90" s="9">
        <f>IFERROR(__xludf.DUMMYFUNCTION("""COMPUTED_VALUE"""),6438.0)</f>
        <v>6438</v>
      </c>
      <c r="C90" s="12">
        <v>5693.93098654588</v>
      </c>
      <c r="D90" s="12">
        <v>6448.31644145136</v>
      </c>
      <c r="E90" s="12">
        <v>0.0</v>
      </c>
      <c r="F90" s="12">
        <v>6412.86683953568</v>
      </c>
      <c r="G90" s="12">
        <v>6309.41663809094</v>
      </c>
      <c r="H90" s="12">
        <v>6064.48906298027</v>
      </c>
      <c r="I90" s="13">
        <v>794.99054417208</v>
      </c>
      <c r="J90" s="13">
        <v>3960.59402862509</v>
      </c>
      <c r="K90" s="12">
        <v>6125.31918441585</v>
      </c>
      <c r="L90" s="12">
        <v>5903.07284041757</v>
      </c>
      <c r="M90" s="12">
        <v>4614.66012127451</v>
      </c>
      <c r="N90" s="12">
        <v>217.504175582171</v>
      </c>
      <c r="O90" s="12">
        <v>5527.79539989474</v>
      </c>
      <c r="P90" s="12">
        <v>1164.40195821059</v>
      </c>
      <c r="Q90" s="12">
        <v>5571.62809468655</v>
      </c>
      <c r="R90" s="12">
        <v>6241.26880400518</v>
      </c>
      <c r="S90" s="12">
        <v>0.0</v>
      </c>
      <c r="T90" s="12">
        <v>7406.65194692944</v>
      </c>
      <c r="U90" s="12">
        <v>6247.61188786953</v>
      </c>
      <c r="V90" s="12">
        <v>3920.83295737185</v>
      </c>
      <c r="W90" s="12">
        <v>6087.34083780899</v>
      </c>
      <c r="X90" s="12">
        <v>5867.55983952012</v>
      </c>
    </row>
    <row r="91">
      <c r="A91" s="8">
        <v>42887.0</v>
      </c>
      <c r="B91" s="9"/>
      <c r="C91" s="12">
        <v>282.76425646637</v>
      </c>
      <c r="D91" s="12">
        <v>201.28623371399</v>
      </c>
      <c r="E91" s="12">
        <v>249.462608283278</v>
      </c>
      <c r="F91" s="12">
        <v>694.586126659414</v>
      </c>
      <c r="G91" s="12">
        <v>318.486033818539</v>
      </c>
      <c r="H91" s="12">
        <v>11.9031480722671</v>
      </c>
      <c r="I91" s="13">
        <v>19.5859677440961</v>
      </c>
      <c r="J91" s="13">
        <v>595.870771207412</v>
      </c>
      <c r="K91" s="12">
        <v>34.6488949209031</v>
      </c>
      <c r="L91" s="12">
        <v>222.314983031069</v>
      </c>
      <c r="M91" s="12">
        <v>1108.46848728066</v>
      </c>
      <c r="N91" s="12">
        <v>-326.990502096014</v>
      </c>
      <c r="O91" s="12">
        <v>228.397256528468</v>
      </c>
      <c r="P91" s="12">
        <v>686.090541461575</v>
      </c>
      <c r="Q91" s="12">
        <v>228.394485978372</v>
      </c>
      <c r="R91" s="12">
        <v>2.71828182845905</v>
      </c>
      <c r="S91" s="12">
        <v>0.0</v>
      </c>
      <c r="T91" s="12">
        <v>1826.46508785797</v>
      </c>
      <c r="U91" s="12">
        <v>25.4987998847721</v>
      </c>
      <c r="V91" s="12">
        <v>3234.78257492073</v>
      </c>
      <c r="W91" s="12">
        <v>0.0</v>
      </c>
      <c r="X91" s="12">
        <v>708.55983952012</v>
      </c>
    </row>
    <row r="92">
      <c r="A92" s="8">
        <v>42917.0</v>
      </c>
      <c r="B92" s="9">
        <f>IFERROR(__xludf.DUMMYFUNCTION("""COMPUTED_VALUE"""),1140.0)</f>
        <v>1140</v>
      </c>
      <c r="C92" s="12">
        <v>11.7156178396494</v>
      </c>
      <c r="D92" s="12">
        <v>806.096699083948</v>
      </c>
      <c r="E92" s="12">
        <v>0.0</v>
      </c>
      <c r="F92" s="12">
        <v>693.0</v>
      </c>
      <c r="G92" s="12">
        <v>2.56</v>
      </c>
      <c r="H92" s="12">
        <v>200.439275791302</v>
      </c>
      <c r="I92" s="13">
        <v>29.0854319609924</v>
      </c>
      <c r="J92" s="13">
        <v>0.0</v>
      </c>
      <c r="K92" s="12">
        <v>0.0</v>
      </c>
      <c r="L92" s="12">
        <v>185.0</v>
      </c>
      <c r="M92" s="12">
        <v>3017.23759478201</v>
      </c>
      <c r="N92" s="12">
        <v>221.445347448844</v>
      </c>
      <c r="O92" s="12">
        <v>287.676435352118</v>
      </c>
      <c r="P92" s="12">
        <v>962.269005365223</v>
      </c>
      <c r="Q92" s="12">
        <v>110.465229950998</v>
      </c>
      <c r="R92" s="12">
        <v>7.38905609893065</v>
      </c>
      <c r="S92" s="12">
        <v>0.0</v>
      </c>
      <c r="T92" s="12">
        <v>28523.1815391434</v>
      </c>
      <c r="U92" s="12">
        <v>844.712558833892</v>
      </c>
      <c r="V92" s="12">
        <v>639.955267061279</v>
      </c>
      <c r="W92" s="12">
        <v>228.0</v>
      </c>
      <c r="X92" s="12">
        <v>177.55983952012</v>
      </c>
    </row>
    <row r="93">
      <c r="A93" s="8">
        <v>42948.0</v>
      </c>
      <c r="B93" s="9">
        <f>IFERROR(__xludf.DUMMYFUNCTION("""COMPUTED_VALUE"""),782.0)</f>
        <v>782</v>
      </c>
      <c r="C93" s="12">
        <v>23.3466596017655</v>
      </c>
      <c r="D93" s="12">
        <v>587.312831327629</v>
      </c>
      <c r="E93" s="12">
        <v>601.641554039208</v>
      </c>
      <c r="F93" s="12">
        <v>781.0</v>
      </c>
      <c r="G93" s="12">
        <v>98.6901011867009</v>
      </c>
      <c r="H93" s="12">
        <v>70.7271576535488</v>
      </c>
      <c r="I93" s="13">
        <v>0.581123310588382</v>
      </c>
      <c r="J93" s="13">
        <v>614.55370481566</v>
      </c>
      <c r="K93" s="12">
        <v>-145.584546182484</v>
      </c>
      <c r="L93" s="12">
        <v>625.483863301094</v>
      </c>
      <c r="M93" s="12">
        <v>10331.6666666667</v>
      </c>
      <c r="N93" s="12">
        <v>0.0</v>
      </c>
      <c r="O93" s="12">
        <v>491.591766303497</v>
      </c>
      <c r="P93" s="12">
        <v>1578.34701567365</v>
      </c>
      <c r="Q93" s="12">
        <v>890.472026548156</v>
      </c>
      <c r="R93" s="12">
        <v>27601.5627984652</v>
      </c>
      <c r="S93" s="12">
        <v>0.0</v>
      </c>
      <c r="T93" s="12">
        <v>33639.4162889499</v>
      </c>
      <c r="U93" s="12">
        <v>-51.7345987524619</v>
      </c>
      <c r="V93" s="12">
        <v>201.512906036429</v>
      </c>
      <c r="W93" s="12">
        <v>61.6957150365296</v>
      </c>
      <c r="X93" s="12">
        <v>740.55983952012</v>
      </c>
    </row>
    <row r="94">
      <c r="A94" s="14">
        <v>42979.0</v>
      </c>
      <c r="B94" s="9">
        <f>IFERROR(__xludf.DUMMYFUNCTION("""COMPUTED_VALUE"""),289.0)</f>
        <v>289</v>
      </c>
      <c r="C94" s="12">
        <v>31.2925055144612</v>
      </c>
      <c r="D94" s="12">
        <v>1852.54461536171</v>
      </c>
      <c r="E94" s="12">
        <v>17.880453319485</v>
      </c>
      <c r="F94" s="12">
        <v>238.0</v>
      </c>
      <c r="G94" s="12">
        <v>37.0795389273355</v>
      </c>
      <c r="H94" s="12">
        <v>23.6819097057949</v>
      </c>
      <c r="I94" s="13">
        <v>12.1570818100246</v>
      </c>
      <c r="J94" s="13">
        <v>20.6946488345889</v>
      </c>
      <c r="K94" s="12">
        <v>0.0</v>
      </c>
      <c r="L94" s="12">
        <v>210.78287898088</v>
      </c>
      <c r="M94" s="12">
        <v>1840.0</v>
      </c>
      <c r="N94" s="12">
        <v>0.0</v>
      </c>
      <c r="O94" s="12">
        <v>1016.41602304649</v>
      </c>
      <c r="P94" s="12">
        <v>26.7789865700967</v>
      </c>
      <c r="Q94" s="12">
        <v>924.292989588117</v>
      </c>
      <c r="R94" s="12">
        <v>2.71828182845905</v>
      </c>
      <c r="S94" s="12">
        <v>0.0</v>
      </c>
      <c r="T94" s="12">
        <v>37397.6613692134</v>
      </c>
      <c r="U94" s="12">
        <v>-77.0760000317604</v>
      </c>
      <c r="V94" s="12">
        <v>608.042404464361</v>
      </c>
      <c r="W94" s="12">
        <v>35.3460786083814</v>
      </c>
      <c r="X94" s="12">
        <v>828.55983952012</v>
      </c>
    </row>
    <row r="95">
      <c r="A95" s="14">
        <v>43009.0</v>
      </c>
      <c r="B95" s="9">
        <f>IFERROR(__xludf.DUMMYFUNCTION("""COMPUTED_VALUE"""),219.0)</f>
        <v>219</v>
      </c>
      <c r="C95" s="12">
        <v>419.496847876209</v>
      </c>
      <c r="D95" s="12">
        <v>1657.22064223905</v>
      </c>
      <c r="E95" s="12">
        <v>458.740109889727</v>
      </c>
      <c r="F95" s="12">
        <v>9273.0</v>
      </c>
      <c r="G95" s="12">
        <v>467.73128782796</v>
      </c>
      <c r="H95" s="12">
        <v>635.00751509383</v>
      </c>
      <c r="I95" s="13">
        <v>12.7862785482337</v>
      </c>
      <c r="J95" s="13">
        <v>424.770334449362</v>
      </c>
      <c r="K95" s="12">
        <v>6184.37627761724</v>
      </c>
      <c r="L95" s="12">
        <v>457.231842750391</v>
      </c>
      <c r="M95" s="12">
        <v>704.666666666667</v>
      </c>
      <c r="N95" s="12">
        <v>221.445347448844</v>
      </c>
      <c r="O95" s="12">
        <v>2090.76583514232</v>
      </c>
      <c r="P95" s="12">
        <v>189.872693933758</v>
      </c>
      <c r="Q95" s="12">
        <v>4971.64075433246</v>
      </c>
      <c r="R95" s="12">
        <v>131.04</v>
      </c>
      <c r="S95" s="12">
        <v>0.0</v>
      </c>
      <c r="T95" s="12">
        <v>54221.460346991</v>
      </c>
      <c r="U95" s="12">
        <v>734.210397451991</v>
      </c>
      <c r="V95" s="12">
        <v>1126.18136005269</v>
      </c>
      <c r="W95" s="12">
        <v>514.509552863548</v>
      </c>
      <c r="X95" s="12">
        <v>285.55983952012</v>
      </c>
    </row>
    <row r="96">
      <c r="A96" s="14">
        <v>43040.0</v>
      </c>
      <c r="B96" s="9">
        <f>IFERROR(__xludf.DUMMYFUNCTION("""COMPUTED_VALUE"""),1508.0)</f>
        <v>1508</v>
      </c>
      <c r="C96" s="12">
        <v>562.819858616452</v>
      </c>
      <c r="D96" s="12">
        <v>277.433466954837</v>
      </c>
      <c r="E96" s="12">
        <v>623.598214626577</v>
      </c>
      <c r="F96" s="12">
        <v>282.0</v>
      </c>
      <c r="G96" s="12">
        <v>629.06973951434</v>
      </c>
      <c r="H96" s="12">
        <v>116.0</v>
      </c>
      <c r="I96" s="13">
        <v>14.911215623915</v>
      </c>
      <c r="J96" s="13">
        <v>469.156432315223</v>
      </c>
      <c r="K96" s="12">
        <v>476.119179291738</v>
      </c>
      <c r="L96" s="12">
        <v>743.272680203041</v>
      </c>
      <c r="M96" s="12">
        <v>406.8</v>
      </c>
      <c r="N96" s="12">
        <v>116.0</v>
      </c>
      <c r="O96" s="12">
        <v>358.696307729801</v>
      </c>
      <c r="P96" s="12">
        <v>22.2620490763455</v>
      </c>
      <c r="Q96" s="12">
        <v>798.356266872094</v>
      </c>
      <c r="R96" s="12">
        <v>2.71828182845905</v>
      </c>
      <c r="S96" s="12">
        <v>0.0</v>
      </c>
      <c r="T96" s="12">
        <v>49716.2660738097</v>
      </c>
      <c r="U96" s="12">
        <v>-4906.20557744641</v>
      </c>
      <c r="V96" s="12">
        <v>1337.20528243396</v>
      </c>
      <c r="W96" s="12">
        <v>116.0</v>
      </c>
      <c r="X96" s="12">
        <v>9320.55983952012</v>
      </c>
    </row>
    <row r="97">
      <c r="A97" s="14">
        <v>43070.0</v>
      </c>
      <c r="B97" s="9">
        <f>IFERROR(__xludf.DUMMYFUNCTION("""COMPUTED_VALUE"""),227.0)</f>
        <v>227</v>
      </c>
      <c r="C97" s="12">
        <v>69.7025446395575</v>
      </c>
      <c r="D97" s="12">
        <v>806.423195858338</v>
      </c>
      <c r="E97" s="12">
        <v>170.503554178459</v>
      </c>
      <c r="F97" s="12">
        <v>1064.5710538796</v>
      </c>
      <c r="G97" s="12">
        <v>2581.94287236986</v>
      </c>
      <c r="H97" s="12">
        <v>467.240489680534</v>
      </c>
      <c r="I97" s="12">
        <v>52.3805033942913</v>
      </c>
      <c r="J97" s="12">
        <v>138.475374369024</v>
      </c>
      <c r="K97" s="12">
        <v>3849.673952713</v>
      </c>
      <c r="L97" s="12">
        <v>308.389436714988</v>
      </c>
      <c r="M97" s="12">
        <v>1447.5</v>
      </c>
      <c r="N97" s="12">
        <v>341.556342573089</v>
      </c>
      <c r="O97" s="12">
        <v>242.178705552364</v>
      </c>
      <c r="P97" s="12">
        <v>675.443474512018</v>
      </c>
      <c r="Q97" s="12">
        <v>-62.8725998238156</v>
      </c>
      <c r="R97" s="12">
        <v>2246.55692611752</v>
      </c>
      <c r="S97" s="12">
        <v>0.0</v>
      </c>
      <c r="T97" s="12">
        <v>37367.4235478036</v>
      </c>
      <c r="U97" s="12">
        <v>2339.79479909891</v>
      </c>
      <c r="V97" s="12">
        <v>789.130250020056</v>
      </c>
      <c r="W97" s="12">
        <v>2167.53798399217</v>
      </c>
      <c r="X97" s="12">
        <v>329.55983952012</v>
      </c>
    </row>
    <row r="98">
      <c r="A98" s="19">
        <v>43101.0</v>
      </c>
      <c r="B98" s="9">
        <f>IFERROR(__xludf.DUMMYFUNCTION("""COMPUTED_VALUE"""),250.0)</f>
        <v>250</v>
      </c>
      <c r="C98" s="12">
        <v>496.048660137138</v>
      </c>
      <c r="D98" s="12">
        <v>514.470183788397</v>
      </c>
      <c r="E98" s="12">
        <v>549.769647320021</v>
      </c>
      <c r="F98" s="12">
        <v>701.0</v>
      </c>
      <c r="G98" s="12">
        <v>577.202326974881</v>
      </c>
      <c r="H98" s="12">
        <v>313.0</v>
      </c>
      <c r="I98" s="12">
        <v>3.19617820823609</v>
      </c>
      <c r="J98" s="12">
        <v>695.591314336225</v>
      </c>
      <c r="K98" s="12">
        <v>503.64097465846</v>
      </c>
      <c r="L98" s="12">
        <v>510.427861773486</v>
      </c>
      <c r="M98" s="12">
        <v>355.333333333333</v>
      </c>
      <c r="N98" s="12">
        <v>313.0</v>
      </c>
      <c r="O98" s="12">
        <v>128.099539871128</v>
      </c>
      <c r="P98" s="12">
        <v>49.363674038853</v>
      </c>
      <c r="Q98" s="12">
        <v>128.097985972461</v>
      </c>
      <c r="R98" s="12">
        <v>5.13009608233451</v>
      </c>
      <c r="S98" s="12">
        <v>0.0</v>
      </c>
      <c r="T98" s="12">
        <v>441.234742935108</v>
      </c>
      <c r="U98" s="12">
        <v>365.068926539538</v>
      </c>
      <c r="V98" s="12">
        <v>488.044530915852</v>
      </c>
      <c r="W98" s="12">
        <v>313.0</v>
      </c>
      <c r="X98" s="12">
        <v>331.55983952012</v>
      </c>
    </row>
    <row r="99">
      <c r="A99" s="19">
        <v>43132.0</v>
      </c>
      <c r="B99" s="18">
        <f>IFERROR(__xludf.DUMMYFUNCTION("""COMPUTED_VALUE"""),245.0)</f>
        <v>245</v>
      </c>
      <c r="C99" s="12">
        <v>355.645867983972</v>
      </c>
      <c r="D99" s="12">
        <v>81740.0678655515</v>
      </c>
      <c r="E99" s="12">
        <v>458.764863276704</v>
      </c>
      <c r="F99" s="12">
        <v>718.0</v>
      </c>
      <c r="G99" s="12">
        <v>373.500579718432</v>
      </c>
      <c r="H99" s="12">
        <v>126.0</v>
      </c>
      <c r="I99" s="12">
        <v>11.2760413678737</v>
      </c>
      <c r="J99" s="12">
        <v>209.809978264322</v>
      </c>
      <c r="K99" s="12">
        <v>1261.73115950836</v>
      </c>
      <c r="L99" s="12">
        <v>447.420932799929</v>
      </c>
      <c r="M99" s="12">
        <v>3172.0</v>
      </c>
      <c r="N99" s="12">
        <v>126.0</v>
      </c>
      <c r="O99" s="12">
        <v>92.3970719592438</v>
      </c>
      <c r="P99" s="12">
        <v>477.827459160401</v>
      </c>
      <c r="Q99" s="12">
        <v>92.3959511457959</v>
      </c>
      <c r="R99" s="12">
        <v>7.38905609893065</v>
      </c>
      <c r="S99" s="12">
        <v>0.0</v>
      </c>
      <c r="T99" s="12">
        <v>59749.56</v>
      </c>
      <c r="U99" s="12">
        <v>195.552789138026</v>
      </c>
      <c r="V99" s="12">
        <v>500.362816722806</v>
      </c>
      <c r="W99" s="12">
        <v>126.0</v>
      </c>
      <c r="X99" s="12">
        <v>748.55983952012</v>
      </c>
    </row>
    <row r="100">
      <c r="A100" s="15">
        <v>43160.0</v>
      </c>
      <c r="B100" s="18">
        <f>IFERROR(__xludf.DUMMYFUNCTION("""COMPUTED_VALUE"""),170.0)</f>
        <v>170</v>
      </c>
      <c r="C100" s="12">
        <v>1180.29435929864</v>
      </c>
      <c r="D100" s="12">
        <v>16240.0142261896</v>
      </c>
      <c r="E100" s="12">
        <v>1425.77195279573</v>
      </c>
      <c r="F100" s="12">
        <v>3106.0</v>
      </c>
      <c r="G100" s="12">
        <v>1258.57122961068</v>
      </c>
      <c r="H100" s="12">
        <v>2214.23998186906</v>
      </c>
      <c r="I100" s="12">
        <v>12.339801608229</v>
      </c>
      <c r="J100" s="12">
        <v>929.072342287778</v>
      </c>
      <c r="K100" s="12">
        <v>13951.8176700871</v>
      </c>
      <c r="L100" s="12">
        <v>1530.87127452918</v>
      </c>
      <c r="M100" s="12">
        <v>536.632808411636</v>
      </c>
      <c r="N100" s="12">
        <v>5241.08983596171</v>
      </c>
      <c r="O100" s="12">
        <v>1100.42393445822</v>
      </c>
      <c r="P100" s="12">
        <v>3758.77972536997</v>
      </c>
      <c r="Q100" s="12">
        <v>-205.574796391579</v>
      </c>
      <c r="R100" s="12">
        <v>7.38905609893065</v>
      </c>
      <c r="S100" s="12">
        <v>0.0</v>
      </c>
      <c r="T100" s="12">
        <v>10213.35</v>
      </c>
      <c r="U100" s="12">
        <v>345.397553248353</v>
      </c>
      <c r="V100" s="12">
        <v>436.108944911877</v>
      </c>
      <c r="W100" s="12">
        <v>1446.26023009785</v>
      </c>
      <c r="X100" s="12">
        <v>765.55983952012</v>
      </c>
    </row>
    <row r="101">
      <c r="A101" s="15">
        <v>43191.0</v>
      </c>
      <c r="B101" s="18">
        <f>IFERROR(__xludf.DUMMYFUNCTION("""COMPUTED_VALUE"""),30222.0)</f>
        <v>30222</v>
      </c>
      <c r="C101" s="12">
        <v>1569.3647255755</v>
      </c>
      <c r="D101" s="12">
        <v>66423.0985951519</v>
      </c>
      <c r="E101" s="12">
        <v>1839.80587033872</v>
      </c>
      <c r="F101" s="12">
        <v>466.0</v>
      </c>
      <c r="G101" s="12">
        <v>1669.15358180869</v>
      </c>
      <c r="H101" s="12">
        <v>1611.75254664114</v>
      </c>
      <c r="I101" s="12">
        <v>58.1108977213011</v>
      </c>
      <c r="J101" s="12">
        <v>1043.75557550892</v>
      </c>
      <c r="K101" s="12">
        <v>1751.12068127222</v>
      </c>
      <c r="L101" s="12">
        <v>2160.76685521268</v>
      </c>
      <c r="M101" s="12">
        <v>277.0</v>
      </c>
      <c r="N101" s="12">
        <v>11.3097298493747</v>
      </c>
      <c r="O101" s="12">
        <v>47.216108605094</v>
      </c>
      <c r="P101" s="12">
        <v>10160.8663553401</v>
      </c>
      <c r="Q101" s="12">
        <v>-60.4690755137758</v>
      </c>
      <c r="R101" s="12">
        <v>11.2390661070032</v>
      </c>
      <c r="S101" s="12">
        <v>0.0</v>
      </c>
      <c r="T101" s="12">
        <v>65987.46</v>
      </c>
      <c r="U101" s="12">
        <v>811.387116012839</v>
      </c>
      <c r="V101" s="12">
        <v>292.337734894356</v>
      </c>
      <c r="W101" s="12">
        <v>1936.55489627917</v>
      </c>
      <c r="X101" s="12">
        <v>3153.55983952012</v>
      </c>
    </row>
    <row r="102">
      <c r="A102" s="48">
        <v>43221.0</v>
      </c>
      <c r="B102" s="18">
        <f>IFERROR(__xludf.DUMMYFUNCTION("""COMPUTED_VALUE"""),1517.0)</f>
        <v>1517</v>
      </c>
      <c r="C102" s="12">
        <v>10030.573489138</v>
      </c>
      <c r="D102" s="12">
        <v>25680.8622063306</v>
      </c>
      <c r="E102" s="12">
        <v>11059.2765086181</v>
      </c>
      <c r="F102" s="12">
        <v>1181.0</v>
      </c>
      <c r="G102" s="12">
        <v>11681.3676337837</v>
      </c>
      <c r="H102" s="12">
        <v>11059.5906953131</v>
      </c>
      <c r="I102" s="12">
        <v>99.3603591830336</v>
      </c>
      <c r="J102" s="12">
        <v>3356.18747398182</v>
      </c>
      <c r="K102" s="12">
        <v>25826.8381758714</v>
      </c>
      <c r="L102" s="12">
        <v>10284.0250964672</v>
      </c>
      <c r="M102" s="12">
        <v>5911.0</v>
      </c>
      <c r="N102" s="12">
        <v>6124.11984761301</v>
      </c>
      <c r="O102" s="12">
        <v>5481.03324176344</v>
      </c>
      <c r="P102" s="12">
        <v>1061.5</v>
      </c>
      <c r="Q102" s="12">
        <v>5985.98633825495</v>
      </c>
      <c r="R102" s="12">
        <v>6085.85604883734</v>
      </c>
      <c r="S102" s="12">
        <v>0.0</v>
      </c>
      <c r="T102" s="12">
        <v>242577.511253847</v>
      </c>
      <c r="U102" s="12">
        <v>7908.87620897535</v>
      </c>
      <c r="V102" s="12">
        <v>6250.29699779785</v>
      </c>
      <c r="W102" s="12">
        <v>13174.6474604571</v>
      </c>
      <c r="X102" s="12">
        <v>2043.42885464259</v>
      </c>
    </row>
    <row r="103">
      <c r="A103" s="15">
        <v>43252.0</v>
      </c>
      <c r="B103" s="18">
        <f>IFERROR(__xludf.DUMMYFUNCTION("""COMPUTED_VALUE"""),2956.0)</f>
        <v>2956</v>
      </c>
      <c r="C103" s="7">
        <v>2632.95260578112</v>
      </c>
      <c r="D103" s="7">
        <v>1378.86529989979</v>
      </c>
      <c r="E103" s="7">
        <v>2804.22704713409</v>
      </c>
      <c r="F103" s="7">
        <v>1989.20229721315</v>
      </c>
      <c r="G103" s="7">
        <v>3077.44376365136</v>
      </c>
      <c r="H103" s="7">
        <v>42395.0</v>
      </c>
      <c r="I103" s="7">
        <v>2077.43449302034</v>
      </c>
      <c r="J103" s="7">
        <v>5580.17669602628</v>
      </c>
      <c r="K103" s="7">
        <v>6210.59906382773</v>
      </c>
      <c r="L103" s="7">
        <v>2782.19253331469</v>
      </c>
      <c r="M103" s="7">
        <v>70449.9353227571</v>
      </c>
      <c r="N103" s="7">
        <v>52289.4223500276</v>
      </c>
      <c r="O103" s="7">
        <v>44285.0757429846</v>
      </c>
      <c r="P103" s="7">
        <v>5973.16587789742</v>
      </c>
      <c r="Q103" s="7">
        <v>46413.1230961546</v>
      </c>
      <c r="R103" s="7">
        <v>53535.5184102377</v>
      </c>
      <c r="S103" s="7">
        <v>0.0</v>
      </c>
      <c r="T103" s="7">
        <v>6385.2938293308</v>
      </c>
      <c r="U103" s="7">
        <v>51634.6274539003</v>
      </c>
      <c r="V103" s="7">
        <v>54983.057956988</v>
      </c>
      <c r="W103" s="7">
        <v>42395.0</v>
      </c>
      <c r="X103" s="7">
        <v>1743.69991904836</v>
      </c>
    </row>
    <row r="104">
      <c r="A104" s="15">
        <v>43282.0</v>
      </c>
      <c r="B104" s="18">
        <f>IFERROR(__xludf.DUMMYFUNCTION("""COMPUTED_VALUE"""),83.0)</f>
        <v>83</v>
      </c>
      <c r="C104" s="7">
        <v>1594.65836901114</v>
      </c>
      <c r="D104" s="7">
        <v>13470.5701118835</v>
      </c>
      <c r="E104" s="7">
        <v>1695.85408829668</v>
      </c>
      <c r="F104" s="7">
        <v>877.0</v>
      </c>
      <c r="G104" s="7">
        <v>2864.78688424977</v>
      </c>
      <c r="H104" s="7">
        <v>1671.05625208765</v>
      </c>
      <c r="I104" s="7">
        <v>1438.11425608698</v>
      </c>
      <c r="J104" s="7">
        <v>2117.70106989479</v>
      </c>
      <c r="K104" s="7">
        <v>1880.10117076913</v>
      </c>
      <c r="L104" s="7">
        <v>1771.85057763134</v>
      </c>
      <c r="M104" s="7">
        <v>919.0</v>
      </c>
      <c r="N104" s="7">
        <v>5185.15339776156</v>
      </c>
      <c r="O104" s="7">
        <v>5114.70686444918</v>
      </c>
      <c r="P104" s="7">
        <v>5369.21984725633</v>
      </c>
      <c r="Q104" s="7">
        <v>3573.97887426777</v>
      </c>
      <c r="R104" s="7">
        <v>34758.6104659882</v>
      </c>
      <c r="S104" s="7">
        <v>0.0</v>
      </c>
      <c r="T104" s="7">
        <v>8278.5</v>
      </c>
      <c r="U104" s="7">
        <v>2326.94543605996</v>
      </c>
      <c r="V104" s="7">
        <v>5291.98472949257</v>
      </c>
      <c r="W104" s="7">
        <v>1326.07263628171</v>
      </c>
      <c r="X104" s="7">
        <v>2112.77311534756</v>
      </c>
    </row>
    <row r="105">
      <c r="A105" s="17">
        <v>43313.0</v>
      </c>
      <c r="B105" s="18"/>
      <c r="C105" s="7">
        <v>571.299730337277</v>
      </c>
      <c r="D105" s="7">
        <v>16364.4203596538</v>
      </c>
      <c r="E105" s="7">
        <v>552.410293632803</v>
      </c>
      <c r="F105" s="7">
        <v>375.0</v>
      </c>
      <c r="G105" s="7">
        <v>587.075242585165</v>
      </c>
      <c r="H105" s="7">
        <v>577.380776574029</v>
      </c>
      <c r="I105" s="7">
        <v>400.344081188595</v>
      </c>
      <c r="J105" s="7">
        <v>554.917359617864</v>
      </c>
      <c r="K105" s="7">
        <v>1095.41863553227</v>
      </c>
      <c r="L105" s="7">
        <v>592.032808908267</v>
      </c>
      <c r="M105" s="7">
        <v>612.0</v>
      </c>
      <c r="N105" s="7">
        <v>7942.34949778324</v>
      </c>
      <c r="O105" s="7">
        <v>7784.1690556583</v>
      </c>
      <c r="P105" s="7">
        <v>4063.02077154461</v>
      </c>
      <c r="Q105" s="7">
        <v>7188.81239384122</v>
      </c>
      <c r="R105" s="7">
        <v>7892.72531168771</v>
      </c>
      <c r="S105" s="7">
        <v>0.0</v>
      </c>
      <c r="T105" s="7">
        <v>5316.48</v>
      </c>
      <c r="U105" s="7">
        <v>7174.67786528289</v>
      </c>
      <c r="V105" s="7">
        <v>8105.98820021538</v>
      </c>
      <c r="W105" s="7">
        <v>513.183921412163</v>
      </c>
      <c r="X105" s="7">
        <v>924.55983952012</v>
      </c>
    </row>
    <row r="106">
      <c r="A106" s="15">
        <v>43344.0</v>
      </c>
      <c r="B106" s="18"/>
    </row>
    <row r="107">
      <c r="A107" s="15">
        <v>43374.0</v>
      </c>
      <c r="B107" s="18"/>
    </row>
    <row r="108">
      <c r="A108" s="15">
        <v>43405.0</v>
      </c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0</v>
      </c>
      <c r="B1" s="3" t="s">
        <v>1</v>
      </c>
      <c r="C1" s="3" t="s">
        <v>285</v>
      </c>
      <c r="D1" s="60" t="s">
        <v>286</v>
      </c>
      <c r="E1" s="60" t="s">
        <v>287</v>
      </c>
      <c r="F1" s="60" t="s">
        <v>288</v>
      </c>
      <c r="G1" s="3" t="s">
        <v>289</v>
      </c>
      <c r="H1" s="3" t="s">
        <v>290</v>
      </c>
      <c r="I1" s="3" t="s">
        <v>291</v>
      </c>
      <c r="J1" s="62" t="s">
        <v>292</v>
      </c>
      <c r="K1" s="6" t="s">
        <v>293</v>
      </c>
      <c r="L1" s="6" t="s">
        <v>294</v>
      </c>
      <c r="M1" s="6" t="s">
        <v>295</v>
      </c>
      <c r="N1" s="6" t="s">
        <v>296</v>
      </c>
      <c r="O1" s="6" t="s">
        <v>297</v>
      </c>
      <c r="P1" s="6" t="s">
        <v>298</v>
      </c>
      <c r="Q1" s="6" t="s">
        <v>299</v>
      </c>
      <c r="R1" s="6" t="s">
        <v>300</v>
      </c>
      <c r="S1" s="6" t="s">
        <v>301</v>
      </c>
      <c r="T1" s="6" t="s">
        <v>302</v>
      </c>
      <c r="U1" s="6" t="s">
        <v>303</v>
      </c>
      <c r="V1" s="6" t="s">
        <v>304</v>
      </c>
      <c r="W1" s="6" t="s">
        <v>305</v>
      </c>
      <c r="X1" s="6" t="s">
        <v>306</v>
      </c>
    </row>
    <row r="2">
      <c r="A2" s="8">
        <v>40179.0</v>
      </c>
      <c r="B2" s="9">
        <f>IFERROR(__xludf.DUMMYFUNCTION("IMPORTRANGE(""https://docs.google.com/spreadsheets/d/1oPTPmoJ9phtMOkp-nMB7WHnPESomLzqUj9t0gcE9bYA"",""Current Region!P2:P150"")"),9493.0)</f>
        <v>9493</v>
      </c>
      <c r="C2" s="10" t="s">
        <v>26</v>
      </c>
      <c r="D2" s="10" t="s">
        <v>26</v>
      </c>
      <c r="E2" s="10" t="s">
        <v>26</v>
      </c>
      <c r="F2" s="63" t="s">
        <v>26</v>
      </c>
      <c r="G2" s="10" t="s">
        <v>26</v>
      </c>
      <c r="H2" s="10" t="s">
        <v>26</v>
      </c>
      <c r="I2" s="10" t="s">
        <v>26</v>
      </c>
      <c r="J2" s="10" t="s">
        <v>26</v>
      </c>
      <c r="K2" s="11" t="s">
        <v>26</v>
      </c>
      <c r="L2" s="11" t="s">
        <v>26</v>
      </c>
      <c r="M2" s="10" t="s">
        <v>26</v>
      </c>
      <c r="N2" s="10" t="s">
        <v>26</v>
      </c>
      <c r="O2" s="10" t="s">
        <v>26</v>
      </c>
      <c r="P2" s="10" t="s">
        <v>26</v>
      </c>
      <c r="Q2" s="10" t="s">
        <v>26</v>
      </c>
      <c r="R2" s="10" t="s">
        <v>26</v>
      </c>
      <c r="S2" s="10" t="s">
        <v>26</v>
      </c>
      <c r="T2" s="10" t="s">
        <v>26</v>
      </c>
      <c r="U2" s="10" t="s">
        <v>26</v>
      </c>
      <c r="V2" s="10" t="s">
        <v>26</v>
      </c>
      <c r="W2" s="10" t="s">
        <v>26</v>
      </c>
      <c r="X2" s="10" t="s">
        <v>26</v>
      </c>
    </row>
    <row r="3">
      <c r="A3" s="8">
        <v>40210.0</v>
      </c>
      <c r="B3" s="9">
        <f>IFERROR(__xludf.DUMMYFUNCTION("""COMPUTED_VALUE"""),12902.0)</f>
        <v>12902</v>
      </c>
      <c r="C3" s="10" t="s">
        <v>26</v>
      </c>
      <c r="D3" s="10" t="s">
        <v>26</v>
      </c>
      <c r="E3" s="10" t="s">
        <v>26</v>
      </c>
      <c r="F3" s="63" t="s">
        <v>26</v>
      </c>
      <c r="G3" s="10" t="s">
        <v>26</v>
      </c>
      <c r="H3" s="10" t="s">
        <v>26</v>
      </c>
      <c r="I3" s="10" t="s">
        <v>26</v>
      </c>
      <c r="J3" s="10" t="s">
        <v>26</v>
      </c>
      <c r="K3" s="11" t="s">
        <v>26</v>
      </c>
      <c r="L3" s="11" t="s">
        <v>26</v>
      </c>
      <c r="M3" s="10" t="s">
        <v>26</v>
      </c>
      <c r="N3" s="10" t="s">
        <v>26</v>
      </c>
      <c r="O3" s="10" t="s">
        <v>26</v>
      </c>
      <c r="P3" s="10" t="s">
        <v>26</v>
      </c>
      <c r="Q3" s="10" t="s">
        <v>26</v>
      </c>
      <c r="R3" s="10" t="s">
        <v>26</v>
      </c>
      <c r="S3" s="10" t="s">
        <v>26</v>
      </c>
      <c r="T3" s="10" t="s">
        <v>26</v>
      </c>
      <c r="U3" s="10" t="s">
        <v>26</v>
      </c>
      <c r="V3" s="10" t="s">
        <v>26</v>
      </c>
      <c r="W3" s="10" t="s">
        <v>26</v>
      </c>
      <c r="X3" s="10" t="s">
        <v>26</v>
      </c>
    </row>
    <row r="4">
      <c r="A4" s="8">
        <v>40238.0</v>
      </c>
      <c r="B4" s="9">
        <f>IFERROR(__xludf.DUMMYFUNCTION("""COMPUTED_VALUE"""),24935.0)</f>
        <v>24935</v>
      </c>
      <c r="C4" s="10" t="s">
        <v>26</v>
      </c>
      <c r="D4" s="10" t="s">
        <v>26</v>
      </c>
      <c r="E4" s="10" t="s">
        <v>26</v>
      </c>
      <c r="F4" s="63" t="s">
        <v>26</v>
      </c>
      <c r="G4" s="10" t="s">
        <v>26</v>
      </c>
      <c r="H4" s="10" t="s">
        <v>26</v>
      </c>
      <c r="I4" s="10" t="s">
        <v>26</v>
      </c>
      <c r="J4" s="10" t="s">
        <v>26</v>
      </c>
      <c r="K4" s="11" t="s">
        <v>26</v>
      </c>
      <c r="L4" s="11" t="s">
        <v>26</v>
      </c>
      <c r="M4" s="10" t="s">
        <v>26</v>
      </c>
      <c r="N4" s="10" t="s">
        <v>26</v>
      </c>
      <c r="O4" s="10" t="s">
        <v>26</v>
      </c>
      <c r="P4" s="10" t="s">
        <v>26</v>
      </c>
      <c r="Q4" s="10" t="s">
        <v>26</v>
      </c>
      <c r="R4" s="10" t="s">
        <v>26</v>
      </c>
      <c r="S4" s="10" t="s">
        <v>26</v>
      </c>
      <c r="T4" s="10" t="s">
        <v>26</v>
      </c>
      <c r="U4" s="10" t="s">
        <v>26</v>
      </c>
      <c r="V4" s="10" t="s">
        <v>26</v>
      </c>
      <c r="W4" s="10" t="s">
        <v>26</v>
      </c>
      <c r="X4" s="10" t="s">
        <v>26</v>
      </c>
    </row>
    <row r="5">
      <c r="A5" s="8">
        <v>40269.0</v>
      </c>
      <c r="B5" s="9">
        <f>IFERROR(__xludf.DUMMYFUNCTION("""COMPUTED_VALUE"""),2233.0)</f>
        <v>2233</v>
      </c>
      <c r="C5" s="10" t="s">
        <v>26</v>
      </c>
      <c r="D5" s="10" t="s">
        <v>26</v>
      </c>
      <c r="E5" s="10" t="s">
        <v>26</v>
      </c>
      <c r="F5" s="63" t="s">
        <v>26</v>
      </c>
      <c r="G5" s="10" t="s">
        <v>26</v>
      </c>
      <c r="H5" s="10" t="s">
        <v>26</v>
      </c>
      <c r="I5" s="10" t="s">
        <v>26</v>
      </c>
      <c r="J5" s="10" t="s">
        <v>26</v>
      </c>
      <c r="K5" s="11" t="s">
        <v>26</v>
      </c>
      <c r="L5" s="11" t="s">
        <v>26</v>
      </c>
      <c r="M5" s="10" t="s">
        <v>26</v>
      </c>
      <c r="N5" s="10" t="s">
        <v>26</v>
      </c>
      <c r="O5" s="10" t="s">
        <v>26</v>
      </c>
      <c r="P5" s="10" t="s">
        <v>26</v>
      </c>
      <c r="Q5" s="10" t="s">
        <v>26</v>
      </c>
      <c r="R5" s="10" t="s">
        <v>26</v>
      </c>
      <c r="S5" s="10" t="s">
        <v>26</v>
      </c>
      <c r="T5" s="10" t="s">
        <v>26</v>
      </c>
      <c r="U5" s="10" t="s">
        <v>26</v>
      </c>
      <c r="V5" s="10" t="s">
        <v>26</v>
      </c>
      <c r="W5" s="10" t="s">
        <v>26</v>
      </c>
      <c r="X5" s="10" t="s">
        <v>26</v>
      </c>
    </row>
    <row r="6">
      <c r="A6" s="8">
        <v>40299.0</v>
      </c>
      <c r="B6" s="9">
        <f>IFERROR(__xludf.DUMMYFUNCTION("""COMPUTED_VALUE"""),5338.0)</f>
        <v>5338</v>
      </c>
      <c r="C6" s="10" t="s">
        <v>26</v>
      </c>
      <c r="D6" s="10" t="s">
        <v>26</v>
      </c>
      <c r="E6" s="10" t="s">
        <v>26</v>
      </c>
      <c r="F6" s="63" t="s">
        <v>26</v>
      </c>
      <c r="G6" s="10" t="s">
        <v>26</v>
      </c>
      <c r="H6" s="10" t="s">
        <v>26</v>
      </c>
      <c r="I6" s="10" t="s">
        <v>26</v>
      </c>
      <c r="J6" s="10" t="s">
        <v>26</v>
      </c>
      <c r="K6" s="11" t="s">
        <v>26</v>
      </c>
      <c r="L6" s="11" t="s">
        <v>26</v>
      </c>
      <c r="M6" s="10" t="s">
        <v>26</v>
      </c>
      <c r="N6" s="10" t="s">
        <v>26</v>
      </c>
      <c r="O6" s="10" t="s">
        <v>26</v>
      </c>
      <c r="P6" s="10" t="s">
        <v>26</v>
      </c>
      <c r="Q6" s="10" t="s">
        <v>26</v>
      </c>
      <c r="R6" s="10" t="s">
        <v>26</v>
      </c>
      <c r="S6" s="10" t="s">
        <v>26</v>
      </c>
      <c r="T6" s="10" t="s">
        <v>26</v>
      </c>
      <c r="U6" s="10" t="s">
        <v>26</v>
      </c>
      <c r="V6" s="10" t="s">
        <v>26</v>
      </c>
      <c r="W6" s="10" t="s">
        <v>26</v>
      </c>
      <c r="X6" s="10" t="s">
        <v>26</v>
      </c>
    </row>
    <row r="7">
      <c r="A7" s="8">
        <v>40330.0</v>
      </c>
      <c r="B7" s="9">
        <f>IFERROR(__xludf.DUMMYFUNCTION("""COMPUTED_VALUE"""),2346.0)</f>
        <v>2346</v>
      </c>
      <c r="C7" s="10" t="s">
        <v>26</v>
      </c>
      <c r="D7" s="10" t="s">
        <v>26</v>
      </c>
      <c r="E7" s="10" t="s">
        <v>26</v>
      </c>
      <c r="F7" s="63" t="s">
        <v>26</v>
      </c>
      <c r="G7" s="10" t="s">
        <v>26</v>
      </c>
      <c r="H7" s="10" t="s">
        <v>26</v>
      </c>
      <c r="I7" s="10" t="s">
        <v>26</v>
      </c>
      <c r="J7" s="10" t="s">
        <v>26</v>
      </c>
      <c r="K7" s="11" t="s">
        <v>26</v>
      </c>
      <c r="L7" s="11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  <c r="R7" s="10" t="s">
        <v>26</v>
      </c>
      <c r="S7" s="10" t="s">
        <v>26</v>
      </c>
      <c r="T7" s="10" t="s">
        <v>26</v>
      </c>
      <c r="U7" s="10" t="s">
        <v>26</v>
      </c>
      <c r="V7" s="10" t="s">
        <v>26</v>
      </c>
      <c r="W7" s="10" t="s">
        <v>26</v>
      </c>
      <c r="X7" s="10" t="s">
        <v>26</v>
      </c>
    </row>
    <row r="8">
      <c r="A8" s="8">
        <v>40360.0</v>
      </c>
      <c r="B8" s="9">
        <f>IFERROR(__xludf.DUMMYFUNCTION("""COMPUTED_VALUE"""),5408.0)</f>
        <v>5408</v>
      </c>
      <c r="C8" s="10" t="s">
        <v>26</v>
      </c>
      <c r="D8" s="10" t="s">
        <v>26</v>
      </c>
      <c r="E8" s="10" t="s">
        <v>26</v>
      </c>
      <c r="F8" s="63" t="s">
        <v>26</v>
      </c>
      <c r="G8" s="10" t="s">
        <v>26</v>
      </c>
      <c r="H8" s="10" t="s">
        <v>26</v>
      </c>
      <c r="I8" s="10" t="s">
        <v>26</v>
      </c>
      <c r="J8" s="10" t="s">
        <v>26</v>
      </c>
      <c r="K8" s="11" t="s">
        <v>26</v>
      </c>
      <c r="L8" s="11" t="s">
        <v>26</v>
      </c>
      <c r="M8" s="10" t="s">
        <v>26</v>
      </c>
      <c r="N8" s="10" t="s">
        <v>26</v>
      </c>
      <c r="O8" s="10" t="s">
        <v>26</v>
      </c>
      <c r="P8" s="10" t="s">
        <v>26</v>
      </c>
      <c r="Q8" s="10" t="s">
        <v>26</v>
      </c>
      <c r="R8" s="10" t="s">
        <v>26</v>
      </c>
      <c r="S8" s="10" t="s">
        <v>26</v>
      </c>
      <c r="T8" s="10" t="s">
        <v>26</v>
      </c>
      <c r="U8" s="10" t="s">
        <v>26</v>
      </c>
      <c r="V8" s="10" t="s">
        <v>26</v>
      </c>
      <c r="W8" s="10" t="s">
        <v>26</v>
      </c>
      <c r="X8" s="10" t="s">
        <v>26</v>
      </c>
    </row>
    <row r="9">
      <c r="A9" s="8">
        <v>40391.0</v>
      </c>
      <c r="B9" s="9">
        <f>IFERROR(__xludf.DUMMYFUNCTION("""COMPUTED_VALUE"""),11784.0)</f>
        <v>11784</v>
      </c>
      <c r="C9" s="10" t="s">
        <v>26</v>
      </c>
      <c r="D9" s="10" t="s">
        <v>26</v>
      </c>
      <c r="E9" s="10" t="s">
        <v>26</v>
      </c>
      <c r="F9" s="63" t="s">
        <v>26</v>
      </c>
      <c r="G9" s="10" t="s">
        <v>26</v>
      </c>
      <c r="H9" s="10" t="s">
        <v>26</v>
      </c>
      <c r="I9" s="10" t="s">
        <v>26</v>
      </c>
      <c r="J9" s="10" t="s">
        <v>26</v>
      </c>
      <c r="K9" s="11" t="s">
        <v>26</v>
      </c>
      <c r="L9" s="11" t="s">
        <v>26</v>
      </c>
      <c r="M9" s="10" t="s">
        <v>26</v>
      </c>
      <c r="N9" s="10" t="s">
        <v>26</v>
      </c>
      <c r="O9" s="10" t="s">
        <v>26</v>
      </c>
      <c r="P9" s="10" t="s">
        <v>26</v>
      </c>
      <c r="Q9" s="10" t="s">
        <v>26</v>
      </c>
      <c r="R9" s="10" t="s">
        <v>26</v>
      </c>
      <c r="S9" s="10" t="s">
        <v>26</v>
      </c>
      <c r="T9" s="10" t="s">
        <v>26</v>
      </c>
      <c r="U9" s="10" t="s">
        <v>26</v>
      </c>
      <c r="V9" s="10" t="s">
        <v>26</v>
      </c>
      <c r="W9" s="10" t="s">
        <v>26</v>
      </c>
      <c r="X9" s="10" t="s">
        <v>26</v>
      </c>
    </row>
    <row r="10">
      <c r="A10" s="8">
        <v>40422.0</v>
      </c>
      <c r="B10" s="9">
        <f>IFERROR(__xludf.DUMMYFUNCTION("""COMPUTED_VALUE"""),7164.0)</f>
        <v>7164</v>
      </c>
      <c r="C10" s="10" t="s">
        <v>26</v>
      </c>
      <c r="D10" s="10" t="s">
        <v>26</v>
      </c>
      <c r="E10" s="10" t="s">
        <v>26</v>
      </c>
      <c r="F10" s="63" t="s">
        <v>26</v>
      </c>
      <c r="G10" s="10" t="s">
        <v>26</v>
      </c>
      <c r="H10" s="10" t="s">
        <v>26</v>
      </c>
      <c r="I10" s="10" t="s">
        <v>26</v>
      </c>
      <c r="J10" s="10" t="s">
        <v>26</v>
      </c>
      <c r="K10" s="11" t="s">
        <v>26</v>
      </c>
      <c r="L10" s="11" t="s">
        <v>26</v>
      </c>
      <c r="M10" s="10" t="s">
        <v>26</v>
      </c>
      <c r="N10" s="10" t="s">
        <v>26</v>
      </c>
      <c r="O10" s="10" t="s">
        <v>26</v>
      </c>
      <c r="P10" s="10" t="s">
        <v>26</v>
      </c>
      <c r="Q10" s="10" t="s">
        <v>26</v>
      </c>
      <c r="R10" s="10" t="s">
        <v>26</v>
      </c>
      <c r="S10" s="10" t="s">
        <v>26</v>
      </c>
      <c r="T10" s="10" t="s">
        <v>26</v>
      </c>
      <c r="U10" s="10" t="s">
        <v>26</v>
      </c>
      <c r="V10" s="10" t="s">
        <v>26</v>
      </c>
      <c r="W10" s="10" t="s">
        <v>26</v>
      </c>
      <c r="X10" s="10" t="s">
        <v>26</v>
      </c>
    </row>
    <row r="11">
      <c r="A11" s="8">
        <v>40452.0</v>
      </c>
      <c r="B11" s="9">
        <f>IFERROR(__xludf.DUMMYFUNCTION("""COMPUTED_VALUE"""),6609.0)</f>
        <v>6609</v>
      </c>
      <c r="C11" s="10" t="s">
        <v>26</v>
      </c>
      <c r="D11" s="10" t="s">
        <v>26</v>
      </c>
      <c r="E11" s="10" t="s">
        <v>26</v>
      </c>
      <c r="F11" s="63" t="s">
        <v>26</v>
      </c>
      <c r="G11" s="10" t="s">
        <v>26</v>
      </c>
      <c r="H11" s="10" t="s">
        <v>26</v>
      </c>
      <c r="I11" s="10" t="s">
        <v>26</v>
      </c>
      <c r="J11" s="10" t="s">
        <v>26</v>
      </c>
      <c r="K11" s="11" t="s">
        <v>26</v>
      </c>
      <c r="L11" s="11" t="s">
        <v>26</v>
      </c>
      <c r="M11" s="10" t="s">
        <v>26</v>
      </c>
      <c r="N11" s="10" t="s">
        <v>26</v>
      </c>
      <c r="O11" s="10" t="s">
        <v>26</v>
      </c>
      <c r="P11" s="10" t="s">
        <v>26</v>
      </c>
      <c r="Q11" s="10" t="s">
        <v>26</v>
      </c>
      <c r="R11" s="10" t="s">
        <v>26</v>
      </c>
      <c r="S11" s="10" t="s">
        <v>26</v>
      </c>
      <c r="T11" s="10" t="s">
        <v>26</v>
      </c>
      <c r="U11" s="10" t="s">
        <v>26</v>
      </c>
      <c r="V11" s="10" t="s">
        <v>26</v>
      </c>
      <c r="W11" s="10" t="s">
        <v>26</v>
      </c>
      <c r="X11" s="10" t="s">
        <v>26</v>
      </c>
    </row>
    <row r="12">
      <c r="A12" s="8">
        <v>40483.0</v>
      </c>
      <c r="B12" s="9">
        <f>IFERROR(__xludf.DUMMYFUNCTION("""COMPUTED_VALUE"""),3876.0)</f>
        <v>3876</v>
      </c>
      <c r="C12" s="10" t="s">
        <v>26</v>
      </c>
      <c r="D12" s="10" t="s">
        <v>26</v>
      </c>
      <c r="E12" s="10" t="s">
        <v>26</v>
      </c>
      <c r="F12" s="63" t="s">
        <v>26</v>
      </c>
      <c r="G12" s="10" t="s">
        <v>26</v>
      </c>
      <c r="H12" s="10" t="s">
        <v>26</v>
      </c>
      <c r="I12" s="10" t="s">
        <v>26</v>
      </c>
      <c r="J12" s="10" t="s">
        <v>26</v>
      </c>
      <c r="K12" s="11" t="s">
        <v>26</v>
      </c>
      <c r="L12" s="11" t="s">
        <v>26</v>
      </c>
      <c r="M12" s="10" t="s">
        <v>26</v>
      </c>
      <c r="N12" s="10" t="s">
        <v>26</v>
      </c>
      <c r="O12" s="10" t="s">
        <v>26</v>
      </c>
      <c r="P12" s="10" t="s">
        <v>26</v>
      </c>
      <c r="Q12" s="10" t="s">
        <v>26</v>
      </c>
      <c r="R12" s="10" t="s">
        <v>26</v>
      </c>
      <c r="S12" s="10" t="s">
        <v>26</v>
      </c>
      <c r="T12" s="10" t="s">
        <v>26</v>
      </c>
      <c r="U12" s="10" t="s">
        <v>26</v>
      </c>
      <c r="V12" s="10" t="s">
        <v>26</v>
      </c>
      <c r="W12" s="10" t="s">
        <v>26</v>
      </c>
      <c r="X12" s="10" t="s">
        <v>26</v>
      </c>
    </row>
    <row r="13">
      <c r="A13" s="8">
        <v>40513.0</v>
      </c>
      <c r="B13" s="9">
        <f>IFERROR(__xludf.DUMMYFUNCTION("""COMPUTED_VALUE"""),4085.0)</f>
        <v>4085</v>
      </c>
      <c r="C13" s="10" t="s">
        <v>26</v>
      </c>
      <c r="D13" s="10" t="s">
        <v>26</v>
      </c>
      <c r="E13" s="10" t="s">
        <v>26</v>
      </c>
      <c r="F13" s="63" t="s">
        <v>26</v>
      </c>
      <c r="G13" s="10" t="s">
        <v>26</v>
      </c>
      <c r="H13" s="10" t="s">
        <v>26</v>
      </c>
      <c r="I13" s="10" t="s">
        <v>26</v>
      </c>
      <c r="J13" s="10" t="s">
        <v>26</v>
      </c>
      <c r="K13" s="11" t="s">
        <v>26</v>
      </c>
      <c r="L13" s="11" t="s">
        <v>26</v>
      </c>
      <c r="M13" s="10" t="s">
        <v>26</v>
      </c>
      <c r="N13" s="10" t="s">
        <v>26</v>
      </c>
      <c r="O13" s="10" t="s">
        <v>26</v>
      </c>
      <c r="P13" s="10" t="s">
        <v>26</v>
      </c>
      <c r="Q13" s="10" t="s">
        <v>26</v>
      </c>
      <c r="R13" s="10" t="s">
        <v>26</v>
      </c>
      <c r="S13" s="10" t="s">
        <v>26</v>
      </c>
      <c r="T13" s="10" t="s">
        <v>26</v>
      </c>
      <c r="U13" s="10" t="s">
        <v>26</v>
      </c>
      <c r="V13" s="10" t="s">
        <v>26</v>
      </c>
      <c r="W13" s="10" t="s">
        <v>26</v>
      </c>
      <c r="X13" s="10" t="s">
        <v>26</v>
      </c>
    </row>
    <row r="14">
      <c r="A14" s="8">
        <v>40544.0</v>
      </c>
      <c r="B14" s="9">
        <f>IFERROR(__xludf.DUMMYFUNCTION("""COMPUTED_VALUE"""),5602.0)</f>
        <v>5602</v>
      </c>
      <c r="C14" s="10" t="s">
        <v>26</v>
      </c>
      <c r="D14" s="10" t="s">
        <v>26</v>
      </c>
      <c r="E14" s="10" t="s">
        <v>26</v>
      </c>
      <c r="F14" s="63" t="s">
        <v>26</v>
      </c>
      <c r="G14" s="10" t="s">
        <v>26</v>
      </c>
      <c r="H14" s="10" t="s">
        <v>26</v>
      </c>
      <c r="I14" s="10" t="s">
        <v>26</v>
      </c>
      <c r="J14" s="10" t="s">
        <v>26</v>
      </c>
      <c r="K14" s="11" t="s">
        <v>26</v>
      </c>
      <c r="L14" s="11" t="s">
        <v>26</v>
      </c>
      <c r="M14" s="10" t="s">
        <v>26</v>
      </c>
      <c r="N14" s="10" t="s">
        <v>26</v>
      </c>
      <c r="O14" s="10" t="s">
        <v>26</v>
      </c>
      <c r="P14" s="10" t="s">
        <v>26</v>
      </c>
      <c r="Q14" s="10" t="s">
        <v>26</v>
      </c>
      <c r="R14" s="10" t="s">
        <v>26</v>
      </c>
      <c r="S14" s="10" t="s">
        <v>26</v>
      </c>
      <c r="T14" s="10" t="s">
        <v>26</v>
      </c>
      <c r="U14" s="10" t="s">
        <v>26</v>
      </c>
      <c r="V14" s="10" t="s">
        <v>26</v>
      </c>
      <c r="W14" s="10" t="s">
        <v>26</v>
      </c>
      <c r="X14" s="10" t="s">
        <v>26</v>
      </c>
    </row>
    <row r="15">
      <c r="A15" s="8">
        <v>40575.0</v>
      </c>
      <c r="B15" s="9">
        <f>IFERROR(__xludf.DUMMYFUNCTION("""COMPUTED_VALUE"""),4304.0)</f>
        <v>4304</v>
      </c>
      <c r="C15" s="10" t="s">
        <v>26</v>
      </c>
      <c r="D15" s="10" t="s">
        <v>26</v>
      </c>
      <c r="E15" s="10" t="s">
        <v>26</v>
      </c>
      <c r="F15" s="63" t="s">
        <v>26</v>
      </c>
      <c r="G15" s="10" t="s">
        <v>26</v>
      </c>
      <c r="H15" s="10" t="s">
        <v>26</v>
      </c>
      <c r="I15" s="10" t="s">
        <v>26</v>
      </c>
      <c r="J15" s="10" t="s">
        <v>26</v>
      </c>
      <c r="K15" s="11" t="s">
        <v>26</v>
      </c>
      <c r="L15" s="11" t="s">
        <v>26</v>
      </c>
      <c r="M15" s="10" t="s">
        <v>26</v>
      </c>
      <c r="N15" s="10" t="s">
        <v>26</v>
      </c>
      <c r="O15" s="10" t="s">
        <v>26</v>
      </c>
      <c r="P15" s="10" t="s">
        <v>26</v>
      </c>
      <c r="Q15" s="10" t="s">
        <v>26</v>
      </c>
      <c r="R15" s="10" t="s">
        <v>26</v>
      </c>
      <c r="S15" s="10" t="s">
        <v>26</v>
      </c>
      <c r="T15" s="10" t="s">
        <v>26</v>
      </c>
      <c r="U15" s="10" t="s">
        <v>26</v>
      </c>
      <c r="V15" s="10" t="s">
        <v>26</v>
      </c>
      <c r="W15" s="10" t="s">
        <v>26</v>
      </c>
      <c r="X15" s="10" t="s">
        <v>26</v>
      </c>
    </row>
    <row r="16">
      <c r="A16" s="8">
        <v>40603.0</v>
      </c>
      <c r="B16" s="9">
        <f>IFERROR(__xludf.DUMMYFUNCTION("""COMPUTED_VALUE"""),6287.0)</f>
        <v>6287</v>
      </c>
      <c r="C16" s="10" t="s">
        <v>26</v>
      </c>
      <c r="D16" s="10" t="s">
        <v>26</v>
      </c>
      <c r="E16" s="10" t="s">
        <v>26</v>
      </c>
      <c r="F16" s="63" t="s">
        <v>26</v>
      </c>
      <c r="G16" s="10" t="s">
        <v>26</v>
      </c>
      <c r="H16" s="10" t="s">
        <v>26</v>
      </c>
      <c r="I16" s="10" t="s">
        <v>26</v>
      </c>
      <c r="J16" s="10" t="s">
        <v>26</v>
      </c>
      <c r="K16" s="11" t="s">
        <v>26</v>
      </c>
      <c r="L16" s="11" t="s">
        <v>26</v>
      </c>
      <c r="M16" s="10" t="s">
        <v>26</v>
      </c>
      <c r="N16" s="10" t="s">
        <v>26</v>
      </c>
      <c r="O16" s="10" t="s">
        <v>26</v>
      </c>
      <c r="P16" s="10" t="s">
        <v>26</v>
      </c>
      <c r="Q16" s="10" t="s">
        <v>26</v>
      </c>
      <c r="R16" s="10" t="s">
        <v>26</v>
      </c>
      <c r="S16" s="10" t="s">
        <v>26</v>
      </c>
      <c r="T16" s="10" t="s">
        <v>26</v>
      </c>
      <c r="U16" s="10" t="s">
        <v>26</v>
      </c>
      <c r="V16" s="10" t="s">
        <v>26</v>
      </c>
      <c r="W16" s="10" t="s">
        <v>26</v>
      </c>
      <c r="X16" s="10" t="s">
        <v>26</v>
      </c>
    </row>
    <row r="17">
      <c r="A17" s="8">
        <v>40634.0</v>
      </c>
      <c r="B17" s="9">
        <f>IFERROR(__xludf.DUMMYFUNCTION("""COMPUTED_VALUE"""),2320.0)</f>
        <v>2320</v>
      </c>
      <c r="C17" s="10" t="s">
        <v>26</v>
      </c>
      <c r="D17" s="10" t="s">
        <v>26</v>
      </c>
      <c r="E17" s="10" t="s">
        <v>26</v>
      </c>
      <c r="F17" s="63" t="s">
        <v>26</v>
      </c>
      <c r="G17" s="10" t="s">
        <v>26</v>
      </c>
      <c r="H17" s="10" t="s">
        <v>26</v>
      </c>
      <c r="I17" s="10" t="s">
        <v>26</v>
      </c>
      <c r="J17" s="10" t="s">
        <v>26</v>
      </c>
      <c r="K17" s="11" t="s">
        <v>26</v>
      </c>
      <c r="L17" s="11" t="s">
        <v>26</v>
      </c>
      <c r="M17" s="10" t="s">
        <v>26</v>
      </c>
      <c r="N17" s="10" t="s">
        <v>26</v>
      </c>
      <c r="O17" s="10" t="s">
        <v>26</v>
      </c>
      <c r="P17" s="10" t="s">
        <v>26</v>
      </c>
      <c r="Q17" s="10" t="s">
        <v>26</v>
      </c>
      <c r="R17" s="10" t="s">
        <v>26</v>
      </c>
      <c r="S17" s="10" t="s">
        <v>26</v>
      </c>
      <c r="T17" s="10" t="s">
        <v>26</v>
      </c>
      <c r="U17" s="10" t="s">
        <v>26</v>
      </c>
      <c r="V17" s="10" t="s">
        <v>26</v>
      </c>
      <c r="W17" s="10" t="s">
        <v>26</v>
      </c>
      <c r="X17" s="10" t="s">
        <v>26</v>
      </c>
    </row>
    <row r="18">
      <c r="A18" s="8">
        <v>40664.0</v>
      </c>
      <c r="B18" s="9">
        <f>IFERROR(__xludf.DUMMYFUNCTION("""COMPUTED_VALUE"""),3482.0)</f>
        <v>3482</v>
      </c>
      <c r="C18" s="10" t="s">
        <v>26</v>
      </c>
      <c r="D18" s="10" t="s">
        <v>26</v>
      </c>
      <c r="E18" s="10" t="s">
        <v>26</v>
      </c>
      <c r="F18" s="63" t="s">
        <v>26</v>
      </c>
      <c r="G18" s="10" t="s">
        <v>26</v>
      </c>
      <c r="H18" s="10" t="s">
        <v>26</v>
      </c>
      <c r="I18" s="10" t="s">
        <v>26</v>
      </c>
      <c r="J18" s="10" t="s">
        <v>26</v>
      </c>
      <c r="K18" s="11" t="s">
        <v>26</v>
      </c>
      <c r="L18" s="11" t="s">
        <v>26</v>
      </c>
      <c r="M18" s="10" t="s">
        <v>26</v>
      </c>
      <c r="N18" s="10" t="s">
        <v>26</v>
      </c>
      <c r="O18" s="10" t="s">
        <v>26</v>
      </c>
      <c r="P18" s="10" t="s">
        <v>26</v>
      </c>
      <c r="Q18" s="10" t="s">
        <v>26</v>
      </c>
      <c r="R18" s="10" t="s">
        <v>26</v>
      </c>
      <c r="S18" s="10" t="s">
        <v>26</v>
      </c>
      <c r="T18" s="10" t="s">
        <v>26</v>
      </c>
      <c r="U18" s="10" t="s">
        <v>26</v>
      </c>
      <c r="V18" s="10" t="s">
        <v>26</v>
      </c>
      <c r="W18" s="10" t="s">
        <v>26</v>
      </c>
      <c r="X18" s="10" t="s">
        <v>26</v>
      </c>
    </row>
    <row r="19">
      <c r="A19" s="8">
        <v>40695.0</v>
      </c>
      <c r="B19" s="9">
        <f>IFERROR(__xludf.DUMMYFUNCTION("""COMPUTED_VALUE"""),3141.0)</f>
        <v>3141</v>
      </c>
      <c r="C19" s="10" t="s">
        <v>26</v>
      </c>
      <c r="D19" s="10" t="s">
        <v>26</v>
      </c>
      <c r="E19" s="10" t="s">
        <v>26</v>
      </c>
      <c r="F19" s="63" t="s">
        <v>26</v>
      </c>
      <c r="G19" s="10" t="s">
        <v>26</v>
      </c>
      <c r="H19" s="10" t="s">
        <v>26</v>
      </c>
      <c r="I19" s="10" t="s">
        <v>26</v>
      </c>
      <c r="J19" s="10" t="s">
        <v>26</v>
      </c>
      <c r="K19" s="11" t="s">
        <v>26</v>
      </c>
      <c r="L19" s="11" t="s">
        <v>26</v>
      </c>
      <c r="M19" s="10" t="s">
        <v>26</v>
      </c>
      <c r="N19" s="10" t="s">
        <v>26</v>
      </c>
      <c r="O19" s="10" t="s">
        <v>26</v>
      </c>
      <c r="P19" s="10" t="s">
        <v>26</v>
      </c>
      <c r="Q19" s="10" t="s">
        <v>26</v>
      </c>
      <c r="R19" s="10" t="s">
        <v>26</v>
      </c>
      <c r="S19" s="10" t="s">
        <v>26</v>
      </c>
      <c r="T19" s="10" t="s">
        <v>26</v>
      </c>
      <c r="U19" s="10" t="s">
        <v>26</v>
      </c>
      <c r="V19" s="10" t="s">
        <v>26</v>
      </c>
      <c r="W19" s="10" t="s">
        <v>26</v>
      </c>
      <c r="X19" s="10" t="s">
        <v>26</v>
      </c>
    </row>
    <row r="20">
      <c r="A20" s="8">
        <v>40725.0</v>
      </c>
      <c r="B20" s="9">
        <f>IFERROR(__xludf.DUMMYFUNCTION("""COMPUTED_VALUE"""),9916.0)</f>
        <v>9916</v>
      </c>
      <c r="C20" s="10" t="s">
        <v>26</v>
      </c>
      <c r="D20" s="10" t="s">
        <v>26</v>
      </c>
      <c r="E20" s="10" t="s">
        <v>26</v>
      </c>
      <c r="F20" s="63" t="s">
        <v>26</v>
      </c>
      <c r="G20" s="10" t="s">
        <v>26</v>
      </c>
      <c r="H20" s="10" t="s">
        <v>26</v>
      </c>
      <c r="I20" s="10" t="s">
        <v>26</v>
      </c>
      <c r="J20" s="10" t="s">
        <v>26</v>
      </c>
      <c r="K20" s="11" t="s">
        <v>26</v>
      </c>
      <c r="L20" s="11" t="s">
        <v>26</v>
      </c>
      <c r="M20" s="10" t="s">
        <v>26</v>
      </c>
      <c r="N20" s="10" t="s">
        <v>26</v>
      </c>
      <c r="O20" s="10" t="s">
        <v>26</v>
      </c>
      <c r="P20" s="10" t="s">
        <v>26</v>
      </c>
      <c r="Q20" s="10" t="s">
        <v>26</v>
      </c>
      <c r="R20" s="10" t="s">
        <v>26</v>
      </c>
      <c r="S20" s="10" t="s">
        <v>26</v>
      </c>
      <c r="T20" s="10" t="s">
        <v>26</v>
      </c>
      <c r="U20" s="10" t="s">
        <v>26</v>
      </c>
      <c r="V20" s="10" t="s">
        <v>26</v>
      </c>
      <c r="W20" s="10" t="s">
        <v>26</v>
      </c>
      <c r="X20" s="10" t="s">
        <v>26</v>
      </c>
    </row>
    <row r="21">
      <c r="A21" s="8">
        <v>40756.0</v>
      </c>
      <c r="B21" s="9">
        <f>IFERROR(__xludf.DUMMYFUNCTION("""COMPUTED_VALUE"""),7118.0)</f>
        <v>7118</v>
      </c>
      <c r="C21" s="12">
        <v>6537.45934831157</v>
      </c>
      <c r="D21" s="12">
        <v>5172.42788573441</v>
      </c>
      <c r="E21" s="12">
        <v>6783.83761435248</v>
      </c>
      <c r="F21" s="12">
        <v>2961.68331225498</v>
      </c>
      <c r="G21" s="12">
        <v>8757.14014313318</v>
      </c>
      <c r="H21" s="12">
        <v>52000.0</v>
      </c>
      <c r="I21" s="12">
        <v>7494.0</v>
      </c>
      <c r="J21" s="12">
        <v>121.691831075252</v>
      </c>
      <c r="K21" s="13">
        <v>1284.33791385779</v>
      </c>
      <c r="L21" s="13">
        <v>504.284285714286</v>
      </c>
      <c r="M21" s="12">
        <v>969.402496071056</v>
      </c>
      <c r="N21" s="12">
        <v>533.589308796528</v>
      </c>
      <c r="O21" s="12">
        <v>2571.83088924444</v>
      </c>
      <c r="P21" s="12">
        <v>2349.0</v>
      </c>
      <c r="Q21" s="12">
        <v>4826.44680461833</v>
      </c>
      <c r="R21" s="12">
        <v>1607.44793304116</v>
      </c>
      <c r="S21" s="12">
        <v>8562.10281410701</v>
      </c>
      <c r="T21" s="12">
        <v>7790.51841864105</v>
      </c>
      <c r="U21" s="12">
        <v>1456.34601208496</v>
      </c>
      <c r="V21" s="12">
        <v>9122.65193946658</v>
      </c>
      <c r="W21" s="12">
        <v>804.0</v>
      </c>
      <c r="X21" s="12">
        <v>2334.13526300097</v>
      </c>
    </row>
    <row r="22">
      <c r="A22" s="8">
        <v>40787.0</v>
      </c>
      <c r="B22" s="9">
        <f>IFERROR(__xludf.DUMMYFUNCTION("""COMPUTED_VALUE"""),3679.0)</f>
        <v>3679</v>
      </c>
      <c r="C22" s="12">
        <v>5859.31806109479</v>
      </c>
      <c r="D22" s="12">
        <v>1079.82753930537</v>
      </c>
      <c r="E22" s="12">
        <v>3423.02014140513</v>
      </c>
      <c r="F22" s="12">
        <v>4834.68173266094</v>
      </c>
      <c r="G22" s="12">
        <v>684.977654009098</v>
      </c>
      <c r="H22" s="12">
        <v>84000.0</v>
      </c>
      <c r="I22" s="12">
        <v>335.133333333333</v>
      </c>
      <c r="J22" s="12">
        <v>3409.5561869846</v>
      </c>
      <c r="K22" s="13">
        <v>2624.42203603447</v>
      </c>
      <c r="L22" s="13">
        <v>696.7275</v>
      </c>
      <c r="M22" s="12">
        <v>7199.86742590042</v>
      </c>
      <c r="N22" s="12">
        <v>1889.27629525009</v>
      </c>
      <c r="O22" s="12">
        <v>3302.96206325715</v>
      </c>
      <c r="P22" s="12">
        <v>6916.0</v>
      </c>
      <c r="Q22" s="12">
        <v>3318.08077414464</v>
      </c>
      <c r="R22" s="12">
        <v>6373.55919068757</v>
      </c>
      <c r="S22" s="12">
        <v>2993.79877298598</v>
      </c>
      <c r="T22" s="12">
        <v>6595.44613169167</v>
      </c>
      <c r="U22" s="12">
        <v>5010.45997262182</v>
      </c>
      <c r="V22" s="12">
        <v>4002.0444222343</v>
      </c>
      <c r="W22" s="12">
        <v>2226.0</v>
      </c>
      <c r="X22" s="12">
        <v>1717.65120639011</v>
      </c>
    </row>
    <row r="23">
      <c r="A23" s="8">
        <v>40817.0</v>
      </c>
      <c r="B23" s="9">
        <f>IFERROR(__xludf.DUMMYFUNCTION("""COMPUTED_VALUE"""),10671.0)</f>
        <v>10671</v>
      </c>
      <c r="C23" s="12">
        <v>16905.5428124932</v>
      </c>
      <c r="D23" s="12">
        <v>4354.36216654847</v>
      </c>
      <c r="E23" s="12">
        <v>10165.9763956877</v>
      </c>
      <c r="F23" s="12">
        <v>7540.94878466223</v>
      </c>
      <c r="G23" s="12">
        <v>7811.84693256548</v>
      </c>
      <c r="H23" s="12">
        <v>76000.0</v>
      </c>
      <c r="I23" s="12">
        <v>10207.4666666667</v>
      </c>
      <c r="J23" s="12">
        <v>10442.41</v>
      </c>
      <c r="K23" s="13">
        <v>5906.74463885158</v>
      </c>
      <c r="L23" s="13">
        <v>275.123333333333</v>
      </c>
      <c r="M23" s="12">
        <v>10961.1302491279</v>
      </c>
      <c r="N23" s="12">
        <v>1100.29922697894</v>
      </c>
      <c r="O23" s="12">
        <v>5585.19366892977</v>
      </c>
      <c r="P23" s="12">
        <v>12348.0</v>
      </c>
      <c r="Q23" s="12">
        <v>8129.81566648313</v>
      </c>
      <c r="R23" s="12">
        <v>8932.94946524329</v>
      </c>
      <c r="S23" s="12">
        <v>10350.4093261434</v>
      </c>
      <c r="T23" s="12">
        <v>9989.04538609646</v>
      </c>
      <c r="U23" s="12">
        <v>9868.02676919393</v>
      </c>
      <c r="V23" s="12">
        <v>5494.37968314728</v>
      </c>
      <c r="W23" s="12">
        <v>1420.0</v>
      </c>
      <c r="X23" s="12">
        <v>1298.62798268781</v>
      </c>
    </row>
    <row r="24">
      <c r="A24" s="8">
        <v>40848.0</v>
      </c>
      <c r="B24" s="9">
        <f>IFERROR(__xludf.DUMMYFUNCTION("""COMPUTED_VALUE"""),1224.0)</f>
        <v>1224</v>
      </c>
      <c r="C24" s="12">
        <v>7612.85907441432</v>
      </c>
      <c r="D24" s="12">
        <v>1420.70714156986</v>
      </c>
      <c r="E24" s="12">
        <v>4162.29817422159</v>
      </c>
      <c r="F24" s="12">
        <v>6186.88598566177</v>
      </c>
      <c r="G24" s="12">
        <v>708.209936414577</v>
      </c>
      <c r="H24" s="12">
        <v>76000.0</v>
      </c>
      <c r="I24" s="12">
        <v>916.6875</v>
      </c>
      <c r="J24" s="12">
        <v>1690.66022159493</v>
      </c>
      <c r="K24" s="13">
        <v>1153.94766824262</v>
      </c>
      <c r="L24" s="13">
        <v>1315.65222222222</v>
      </c>
      <c r="M24" s="12">
        <v>426.829613362472</v>
      </c>
      <c r="N24" s="12">
        <v>1366.0205125167</v>
      </c>
      <c r="O24" s="12">
        <v>342.558958376185</v>
      </c>
      <c r="P24" s="12">
        <v>1764.0</v>
      </c>
      <c r="Q24" s="12">
        <v>3683.9841304916</v>
      </c>
      <c r="R24" s="12">
        <v>49.5530308881492</v>
      </c>
      <c r="S24" s="12">
        <v>310.494813328449</v>
      </c>
      <c r="T24" s="12">
        <v>1903.6443057421</v>
      </c>
      <c r="U24" s="12">
        <v>1192.49142554079</v>
      </c>
      <c r="V24" s="12">
        <v>1380.12150683046</v>
      </c>
      <c r="W24" s="12">
        <v>2008.0</v>
      </c>
      <c r="X24" s="12">
        <v>432.875994229271</v>
      </c>
    </row>
    <row r="25">
      <c r="A25" s="8">
        <v>40878.0</v>
      </c>
      <c r="B25" s="9">
        <f>IFERROR(__xludf.DUMMYFUNCTION("""COMPUTED_VALUE"""),1054.0)</f>
        <v>1054</v>
      </c>
      <c r="C25" s="12">
        <v>9452.44181791118</v>
      </c>
      <c r="D25" s="12">
        <v>-144.280911725978</v>
      </c>
      <c r="E25" s="12">
        <v>1180.6864887661</v>
      </c>
      <c r="F25" s="12">
        <v>594.0431655253</v>
      </c>
      <c r="G25" s="12">
        <v>1212.98000312145</v>
      </c>
      <c r="H25" s="12">
        <v>73150.0</v>
      </c>
      <c r="I25" s="12">
        <v>656.941176470588</v>
      </c>
      <c r="J25" s="12">
        <v>991.640075085932</v>
      </c>
      <c r="K25" s="13">
        <v>781.306834874032</v>
      </c>
      <c r="L25" s="13">
        <v>241.93</v>
      </c>
      <c r="M25" s="12">
        <v>603.352516035596</v>
      </c>
      <c r="N25" s="12">
        <v>327.125256258351</v>
      </c>
      <c r="O25" s="12">
        <v>0.0</v>
      </c>
      <c r="P25" s="12">
        <v>380.808438455502</v>
      </c>
      <c r="Q25" s="12">
        <v>334.185185185185</v>
      </c>
      <c r="R25" s="12">
        <v>0.0</v>
      </c>
      <c r="S25" s="12">
        <v>682.0</v>
      </c>
      <c r="T25" s="12">
        <v>811.8288434872</v>
      </c>
      <c r="U25" s="12">
        <v>70.8425925925926</v>
      </c>
      <c r="V25" s="12">
        <v>545.213926853447</v>
      </c>
      <c r="W25" s="12">
        <v>1004.0</v>
      </c>
      <c r="X25" s="12">
        <v>949.949406672886</v>
      </c>
    </row>
    <row r="26">
      <c r="A26" s="8">
        <v>40909.0</v>
      </c>
      <c r="B26" s="9">
        <f>IFERROR(__xludf.DUMMYFUNCTION("""COMPUTED_VALUE"""),701.0)</f>
        <v>701</v>
      </c>
      <c r="C26" s="12">
        <v>9362.47049212796</v>
      </c>
      <c r="D26" s="12">
        <v>979.38398833925</v>
      </c>
      <c r="E26" s="12">
        <v>272.779265571956</v>
      </c>
      <c r="F26" s="12">
        <v>1443.87385100154</v>
      </c>
      <c r="G26" s="12">
        <v>2185.01956450724</v>
      </c>
      <c r="H26" s="12">
        <v>94166.6666666667</v>
      </c>
      <c r="I26" s="12">
        <v>1169.73529411765</v>
      </c>
      <c r="J26" s="12">
        <v>1542.67286822079</v>
      </c>
      <c r="K26" s="13">
        <v>602.704721970955</v>
      </c>
      <c r="L26" s="13">
        <v>146.074444444444</v>
      </c>
      <c r="M26" s="12">
        <v>338.0</v>
      </c>
      <c r="N26" s="12">
        <v>555.955470514644</v>
      </c>
      <c r="O26" s="12">
        <v>865.187661810532</v>
      </c>
      <c r="P26" s="12">
        <v>182.927190416298</v>
      </c>
      <c r="Q26" s="12">
        <v>894.400220143945</v>
      </c>
      <c r="R26" s="12">
        <v>0.0</v>
      </c>
      <c r="S26" s="12">
        <v>0.0</v>
      </c>
      <c r="T26" s="12">
        <v>891.071101118421</v>
      </c>
      <c r="U26" s="12">
        <v>37.9409722222222</v>
      </c>
      <c r="V26" s="12">
        <v>598.432019315237</v>
      </c>
      <c r="W26" s="12">
        <v>1102.0</v>
      </c>
      <c r="X26" s="12">
        <v>381.949406672886</v>
      </c>
    </row>
    <row r="27">
      <c r="A27" s="8">
        <v>40940.0</v>
      </c>
      <c r="B27" s="9">
        <f>IFERROR(__xludf.DUMMYFUNCTION("""COMPUTED_VALUE"""),4486.0)</f>
        <v>4486</v>
      </c>
      <c r="C27" s="12">
        <v>996.263080068916</v>
      </c>
      <c r="D27" s="12">
        <v>223.601236675025</v>
      </c>
      <c r="E27" s="12">
        <v>6254.10518518519</v>
      </c>
      <c r="F27" s="12">
        <v>1110.57466448667</v>
      </c>
      <c r="G27" s="12">
        <v>1910.45609352162</v>
      </c>
      <c r="H27" s="12">
        <v>96750.0</v>
      </c>
      <c r="I27" s="12">
        <v>1544.85294117647</v>
      </c>
      <c r="J27" s="12">
        <v>4285.02591757488</v>
      </c>
      <c r="K27" s="13">
        <v>3946.01674078439</v>
      </c>
      <c r="L27" s="13">
        <v>244.75</v>
      </c>
      <c r="M27" s="12">
        <v>462.408331920831</v>
      </c>
      <c r="N27" s="12">
        <v>353.986375974409</v>
      </c>
      <c r="O27" s="12">
        <v>0.0</v>
      </c>
      <c r="P27" s="12">
        <v>-213.84</v>
      </c>
      <c r="Q27" s="12">
        <v>1561.65407407407</v>
      </c>
      <c r="R27" s="12">
        <v>0.0</v>
      </c>
      <c r="S27" s="12">
        <v>814.798852669631</v>
      </c>
      <c r="T27" s="12">
        <v>633.938061049766</v>
      </c>
      <c r="U27" s="12">
        <v>57.375</v>
      </c>
      <c r="V27" s="12">
        <v>166.163186967278</v>
      </c>
      <c r="W27" s="12">
        <v>3028.65118570516</v>
      </c>
      <c r="X27" s="12">
        <v>2257.94940667289</v>
      </c>
    </row>
    <row r="28">
      <c r="A28" s="8">
        <v>40969.0</v>
      </c>
      <c r="B28" s="9">
        <f>IFERROR(__xludf.DUMMYFUNCTION("""COMPUTED_VALUE"""),2440.0)</f>
        <v>2440</v>
      </c>
      <c r="C28" s="12">
        <v>1680.38038856871</v>
      </c>
      <c r="D28" s="12">
        <v>3611.8089125525</v>
      </c>
      <c r="E28" s="12">
        <v>918.86251280823</v>
      </c>
      <c r="F28" s="12">
        <v>3610.01793036129</v>
      </c>
      <c r="G28" s="12">
        <v>1737.35030586776</v>
      </c>
      <c r="H28" s="12">
        <v>72800.0</v>
      </c>
      <c r="I28" s="12">
        <v>2368.38546893811</v>
      </c>
      <c r="J28" s="12">
        <v>3688.86947989483</v>
      </c>
      <c r="K28" s="13">
        <v>2302.19860046556</v>
      </c>
      <c r="L28" s="13">
        <v>949.52</v>
      </c>
      <c r="M28" s="12">
        <v>1238.83801325692</v>
      </c>
      <c r="N28" s="12">
        <v>1082.93843562649</v>
      </c>
      <c r="O28" s="12">
        <v>5247.22926060109</v>
      </c>
      <c r="P28" s="12">
        <v>2731.70420334883</v>
      </c>
      <c r="Q28" s="12">
        <v>2525.37037037037</v>
      </c>
      <c r="R28" s="12">
        <v>0.0</v>
      </c>
      <c r="S28" s="12">
        <v>2068.18483009125</v>
      </c>
      <c r="T28" s="12">
        <v>1056.83296657148</v>
      </c>
      <c r="U28" s="12">
        <v>786.810441893569</v>
      </c>
      <c r="V28" s="12">
        <v>990.638642474429</v>
      </c>
      <c r="W28" s="12">
        <v>1582.41580704286</v>
      </c>
      <c r="X28" s="12">
        <v>894.412700451079</v>
      </c>
    </row>
    <row r="29">
      <c r="A29" s="8">
        <v>41000.0</v>
      </c>
      <c r="B29" s="9">
        <f>IFERROR(__xludf.DUMMYFUNCTION("""COMPUTED_VALUE"""),999.0)</f>
        <v>999</v>
      </c>
      <c r="C29" s="12">
        <v>2939.15135055949</v>
      </c>
      <c r="D29" s="12">
        <v>1483.11851715279</v>
      </c>
      <c r="E29" s="12">
        <v>1576.16313016277</v>
      </c>
      <c r="F29" s="12">
        <v>1449.98225175055</v>
      </c>
      <c r="G29" s="12">
        <v>736.400393991526</v>
      </c>
      <c r="H29" s="12">
        <v>57233.3333333333</v>
      </c>
      <c r="I29" s="12">
        <v>2234.5708790513</v>
      </c>
      <c r="J29" s="12">
        <v>1158.50185878889</v>
      </c>
      <c r="K29" s="13">
        <v>1692.18272222573</v>
      </c>
      <c r="L29" s="13">
        <v>2039.9594527477</v>
      </c>
      <c r="M29" s="12">
        <v>762.045912738157</v>
      </c>
      <c r="N29" s="12">
        <v>2051.43534993244</v>
      </c>
      <c r="O29" s="12">
        <v>1068.62618184064</v>
      </c>
      <c r="P29" s="12">
        <v>844.926991456745</v>
      </c>
      <c r="Q29" s="12">
        <v>968.0557756995</v>
      </c>
      <c r="R29" s="12">
        <v>0.0</v>
      </c>
      <c r="S29" s="12">
        <v>775.666666666667</v>
      </c>
      <c r="T29" s="12">
        <v>1363.29026904325</v>
      </c>
      <c r="U29" s="12">
        <v>17.9169773016308</v>
      </c>
      <c r="V29" s="12">
        <v>1651.41716576011</v>
      </c>
      <c r="W29" s="12">
        <v>2463.1049107862</v>
      </c>
      <c r="X29" s="12">
        <v>407.412700451079</v>
      </c>
    </row>
    <row r="30">
      <c r="A30" s="8">
        <v>41030.0</v>
      </c>
      <c r="B30" s="9">
        <f>IFERROR(__xludf.DUMMYFUNCTION("""COMPUTED_VALUE"""),3711.0)</f>
        <v>3711</v>
      </c>
      <c r="C30" s="12">
        <v>3347.75430518784</v>
      </c>
      <c r="D30" s="12">
        <v>13.5687791467954</v>
      </c>
      <c r="E30" s="12">
        <v>1710.15185185185</v>
      </c>
      <c r="F30" s="12">
        <v>2564.68069146108</v>
      </c>
      <c r="G30" s="12">
        <v>2858.46308100583</v>
      </c>
      <c r="H30" s="12">
        <v>53333.3333333333</v>
      </c>
      <c r="I30" s="12">
        <v>3857.58823529412</v>
      </c>
      <c r="J30" s="12">
        <v>2738.76825483322</v>
      </c>
      <c r="K30" s="13">
        <v>3061.16522504885</v>
      </c>
      <c r="L30" s="13">
        <v>1661.26481481481</v>
      </c>
      <c r="M30" s="12">
        <v>1990.40005877656</v>
      </c>
      <c r="N30" s="12">
        <v>1573.06504200206</v>
      </c>
      <c r="O30" s="12">
        <v>708.790529109192</v>
      </c>
      <c r="P30" s="12">
        <v>961.24</v>
      </c>
      <c r="Q30" s="12">
        <v>1415.83059051431</v>
      </c>
      <c r="R30" s="12">
        <v>1170.3945870985</v>
      </c>
      <c r="S30" s="12">
        <v>3275.19212651237</v>
      </c>
      <c r="T30" s="12">
        <v>1305.43960469663</v>
      </c>
      <c r="U30" s="12">
        <v>615.577911648618</v>
      </c>
      <c r="V30" s="12">
        <v>2935.65868576927</v>
      </c>
      <c r="W30" s="12">
        <v>1823.72827948615</v>
      </c>
      <c r="X30" s="12">
        <v>369.21775978379</v>
      </c>
    </row>
    <row r="31">
      <c r="A31" s="8">
        <v>41061.0</v>
      </c>
      <c r="B31" s="9">
        <f>IFERROR(__xludf.DUMMYFUNCTION("""COMPUTED_VALUE"""),2787.0)</f>
        <v>2787</v>
      </c>
      <c r="C31" s="12">
        <v>989.10363269689</v>
      </c>
      <c r="D31" s="12">
        <v>600.200742337251</v>
      </c>
      <c r="E31" s="12">
        <v>2494.30666666667</v>
      </c>
      <c r="F31" s="12">
        <v>2253.15991655196</v>
      </c>
      <c r="G31" s="12">
        <v>1829.38376842617</v>
      </c>
      <c r="H31" s="12">
        <v>84933.3333333333</v>
      </c>
      <c r="I31" s="12">
        <v>2286.94117647059</v>
      </c>
      <c r="J31" s="12">
        <v>1830.72061117378</v>
      </c>
      <c r="K31" s="13">
        <v>1621.58414655594</v>
      </c>
      <c r="L31" s="13">
        <v>1641.17814814815</v>
      </c>
      <c r="M31" s="12">
        <v>1751.78448217453</v>
      </c>
      <c r="N31" s="12">
        <v>1291.83619510111</v>
      </c>
      <c r="O31" s="12">
        <v>951.122090809715</v>
      </c>
      <c r="P31" s="12">
        <v>2192.92</v>
      </c>
      <c r="Q31" s="12">
        <v>2055.13154583872</v>
      </c>
      <c r="R31" s="12">
        <v>778.783151985471</v>
      </c>
      <c r="S31" s="12">
        <v>2511.72103834325</v>
      </c>
      <c r="T31" s="12">
        <v>1408.09236834504</v>
      </c>
      <c r="U31" s="12">
        <v>1039.83571094602</v>
      </c>
      <c r="V31" s="12">
        <v>1456.57445786676</v>
      </c>
      <c r="W31" s="12">
        <v>780.0</v>
      </c>
      <c r="X31" s="12">
        <v>369.21775978379</v>
      </c>
    </row>
    <row r="32">
      <c r="A32" s="8">
        <v>41091.0</v>
      </c>
      <c r="B32" s="9">
        <f>IFERROR(__xludf.DUMMYFUNCTION("""COMPUTED_VALUE"""),1649.0)</f>
        <v>1649</v>
      </c>
      <c r="C32" s="12">
        <v>4542.83913098042</v>
      </c>
      <c r="D32" s="12">
        <v>115.772179380173</v>
      </c>
      <c r="E32" s="12">
        <v>1491.2962962963</v>
      </c>
      <c r="F32" s="12">
        <v>691.496289409828</v>
      </c>
      <c r="G32" s="12">
        <v>240.995602742914</v>
      </c>
      <c r="H32" s="12">
        <v>94500.0</v>
      </c>
      <c r="I32" s="12">
        <v>2119.68204829531</v>
      </c>
      <c r="J32" s="12">
        <v>1991.71103982583</v>
      </c>
      <c r="K32" s="13">
        <v>1051.43470485257</v>
      </c>
      <c r="L32" s="13">
        <v>997.281234567901</v>
      </c>
      <c r="M32" s="12">
        <v>989.990803429823</v>
      </c>
      <c r="N32" s="12">
        <v>1184.49472869005</v>
      </c>
      <c r="O32" s="12">
        <v>613.952697701574</v>
      </c>
      <c r="P32" s="12">
        <v>323.14</v>
      </c>
      <c r="Q32" s="12">
        <v>1277.70017285456</v>
      </c>
      <c r="R32" s="12">
        <v>81.4786930222798</v>
      </c>
      <c r="S32" s="12">
        <v>326.84351909745</v>
      </c>
      <c r="T32" s="12">
        <v>865.763669171598</v>
      </c>
      <c r="U32" s="12">
        <v>409.968833523239</v>
      </c>
      <c r="V32" s="12">
        <v>719.901509733206</v>
      </c>
      <c r="W32" s="12">
        <v>576.0</v>
      </c>
      <c r="X32" s="12">
        <v>804.789010686452</v>
      </c>
    </row>
    <row r="33">
      <c r="A33" s="8">
        <v>41122.0</v>
      </c>
      <c r="B33" s="9">
        <f>IFERROR(__xludf.DUMMYFUNCTION("""COMPUTED_VALUE"""),1434.0)</f>
        <v>1434</v>
      </c>
      <c r="C33" s="12">
        <v>5685.64547456524</v>
      </c>
      <c r="D33" s="12">
        <v>-17.5578979016339</v>
      </c>
      <c r="E33" s="12">
        <v>965.305555555556</v>
      </c>
      <c r="F33" s="12">
        <v>1517.67714836309</v>
      </c>
      <c r="G33" s="12">
        <v>3182.1628684875</v>
      </c>
      <c r="H33" s="12">
        <v>92000.0</v>
      </c>
      <c r="I33" s="12">
        <v>1779.15796802777</v>
      </c>
      <c r="J33" s="12">
        <v>2763.57762186317</v>
      </c>
      <c r="K33" s="13">
        <v>1471.49132540555</v>
      </c>
      <c r="L33" s="13">
        <v>572.692081128748</v>
      </c>
      <c r="M33" s="12">
        <v>1131.85212596981</v>
      </c>
      <c r="N33" s="12">
        <v>882.255050915333</v>
      </c>
      <c r="O33" s="12">
        <v>288.323190260674</v>
      </c>
      <c r="P33" s="12">
        <v>550.83</v>
      </c>
      <c r="Q33" s="12">
        <v>583.666135923421</v>
      </c>
      <c r="R33" s="12">
        <v>362.776815503488</v>
      </c>
      <c r="S33" s="12">
        <v>321.057964435852</v>
      </c>
      <c r="T33" s="12">
        <v>799.247980968754</v>
      </c>
      <c r="U33" s="12">
        <v>1287.59240334597</v>
      </c>
      <c r="V33" s="12">
        <v>790.386606229117</v>
      </c>
      <c r="W33" s="12">
        <v>1147.3502487515</v>
      </c>
      <c r="X33" s="12">
        <v>886.096231560117</v>
      </c>
    </row>
    <row r="34">
      <c r="A34" s="8">
        <v>41153.0</v>
      </c>
      <c r="B34" s="9">
        <f>IFERROR(__xludf.DUMMYFUNCTION("""COMPUTED_VALUE"""),1797.0)</f>
        <v>1797</v>
      </c>
      <c r="C34" s="12">
        <v>3793.53184983708</v>
      </c>
      <c r="D34" s="12">
        <v>-69.0</v>
      </c>
      <c r="E34" s="12">
        <v>1654.32381662012</v>
      </c>
      <c r="F34" s="12">
        <v>1257.56896930867</v>
      </c>
      <c r="G34" s="12">
        <v>3571.6728180829</v>
      </c>
      <c r="H34" s="12">
        <v>79650.0</v>
      </c>
      <c r="I34" s="12">
        <v>1200.89766275859</v>
      </c>
      <c r="J34" s="12">
        <v>1967.23987813281</v>
      </c>
      <c r="K34" s="13">
        <v>896.751888172276</v>
      </c>
      <c r="L34" s="13">
        <v>1000.67407407407</v>
      </c>
      <c r="M34" s="12">
        <v>873.921609166057</v>
      </c>
      <c r="N34" s="12">
        <v>815.643970720592</v>
      </c>
      <c r="O34" s="12">
        <v>333.001517648194</v>
      </c>
      <c r="P34" s="12">
        <v>233.6</v>
      </c>
      <c r="Q34" s="12">
        <v>427.101701625426</v>
      </c>
      <c r="R34" s="12">
        <v>0.0</v>
      </c>
      <c r="S34" s="12">
        <v>23.645412870656</v>
      </c>
      <c r="T34" s="12">
        <v>336.375297699876</v>
      </c>
      <c r="U34" s="12">
        <v>672.349658359882</v>
      </c>
      <c r="V34" s="12">
        <v>542.396607618988</v>
      </c>
      <c r="W34" s="12">
        <v>2094.77689486931</v>
      </c>
      <c r="X34" s="12">
        <v>212.19411481827</v>
      </c>
    </row>
    <row r="35">
      <c r="A35" s="8">
        <v>41183.0</v>
      </c>
      <c r="B35" s="9">
        <f>IFERROR(__xludf.DUMMYFUNCTION("""COMPUTED_VALUE"""),530.0)</f>
        <v>530</v>
      </c>
      <c r="C35" s="12">
        <v>2671.05241382631</v>
      </c>
      <c r="D35" s="12">
        <v>69.6090108260976</v>
      </c>
      <c r="E35" s="12">
        <v>376.642962962963</v>
      </c>
      <c r="F35" s="12">
        <v>1416.07103048085</v>
      </c>
      <c r="G35" s="12">
        <v>2113.95227638382</v>
      </c>
      <c r="H35" s="12">
        <v>61666.6666666667</v>
      </c>
      <c r="I35" s="12">
        <v>775.823529411765</v>
      </c>
      <c r="J35" s="12">
        <v>2693.1</v>
      </c>
      <c r="K35" s="13">
        <v>492.406722534759</v>
      </c>
      <c r="L35" s="13">
        <v>995.407407407407</v>
      </c>
      <c r="M35" s="12">
        <v>929.425968495299</v>
      </c>
      <c r="N35" s="12">
        <v>921.638715555505</v>
      </c>
      <c r="O35" s="12">
        <v>527.913181626576</v>
      </c>
      <c r="P35" s="12">
        <v>425.700435490916</v>
      </c>
      <c r="Q35" s="12">
        <v>652.536527041147</v>
      </c>
      <c r="R35" s="12">
        <v>73.127339503649</v>
      </c>
      <c r="S35" s="12">
        <v>520.8</v>
      </c>
      <c r="T35" s="12">
        <v>557.525555237032</v>
      </c>
      <c r="U35" s="12">
        <v>695.912584581894</v>
      </c>
      <c r="V35" s="12">
        <v>773.534147305721</v>
      </c>
      <c r="W35" s="12">
        <v>626.0</v>
      </c>
      <c r="X35" s="12">
        <v>212.19411481827</v>
      </c>
    </row>
    <row r="36">
      <c r="A36" s="8">
        <v>41214.0</v>
      </c>
      <c r="B36" s="9">
        <f>IFERROR(__xludf.DUMMYFUNCTION("""COMPUTED_VALUE"""),65.0)</f>
        <v>65</v>
      </c>
      <c r="C36" s="12">
        <v>2622.28975513152</v>
      </c>
      <c r="D36" s="12">
        <v>629.956971018307</v>
      </c>
      <c r="E36" s="12">
        <v>-188.5</v>
      </c>
      <c r="F36" s="12">
        <v>1582.10439378658</v>
      </c>
      <c r="G36" s="12">
        <v>2189.03836607645</v>
      </c>
      <c r="H36" s="12">
        <v>38080.0</v>
      </c>
      <c r="I36" s="12">
        <v>779.117647058824</v>
      </c>
      <c r="J36" s="12">
        <v>86.8708239120576</v>
      </c>
      <c r="K36" s="13">
        <v>279.667100241474</v>
      </c>
      <c r="L36" s="13">
        <v>211.918148148148</v>
      </c>
      <c r="M36" s="12">
        <v>978.265625699935</v>
      </c>
      <c r="N36" s="12">
        <v>929.568337117409</v>
      </c>
      <c r="O36" s="12">
        <v>29.6998101428131</v>
      </c>
      <c r="P36" s="12">
        <v>593.26</v>
      </c>
      <c r="Q36" s="12">
        <v>1389.35166422521</v>
      </c>
      <c r="R36" s="12">
        <v>0.891672519503395</v>
      </c>
      <c r="S36" s="12">
        <v>189.454935476909</v>
      </c>
      <c r="T36" s="12">
        <v>430.781392969511</v>
      </c>
      <c r="U36" s="12">
        <v>2501.84673873423</v>
      </c>
      <c r="V36" s="12">
        <v>329.925319505703</v>
      </c>
      <c r="W36" s="12">
        <v>2391.63596750963</v>
      </c>
      <c r="X36" s="12">
        <v>152.779762669155</v>
      </c>
    </row>
    <row r="37">
      <c r="A37" s="8">
        <v>41244.0</v>
      </c>
      <c r="B37" s="9">
        <f>IFERROR(__xludf.DUMMYFUNCTION("""COMPUTED_VALUE"""),397.0)</f>
        <v>397</v>
      </c>
      <c r="C37" s="12">
        <v>2274.56401188067</v>
      </c>
      <c r="D37" s="12">
        <v>34.2958887407772</v>
      </c>
      <c r="E37" s="12">
        <v>-34.151948755552</v>
      </c>
      <c r="F37" s="12">
        <v>111.715323695234</v>
      </c>
      <c r="G37" s="12">
        <v>1020.80211983389</v>
      </c>
      <c r="H37" s="12">
        <v>28170.0</v>
      </c>
      <c r="I37" s="12">
        <v>758.823529411765</v>
      </c>
      <c r="J37" s="12">
        <v>3005.54008998298</v>
      </c>
      <c r="K37" s="13">
        <v>916.054929375378</v>
      </c>
      <c r="L37" s="13">
        <v>209.979482495238</v>
      </c>
      <c r="M37" s="12">
        <v>296.189796139673</v>
      </c>
      <c r="N37" s="12">
        <v>394.52826227899</v>
      </c>
      <c r="O37" s="12">
        <v>293.120517835997</v>
      </c>
      <c r="P37" s="12">
        <v>147.694242136899</v>
      </c>
      <c r="Q37" s="12">
        <v>611.441122587894</v>
      </c>
      <c r="R37" s="12">
        <v>0.0</v>
      </c>
      <c r="S37" s="12">
        <v>261.6</v>
      </c>
      <c r="T37" s="12">
        <v>371.144859721738</v>
      </c>
      <c r="U37" s="12">
        <v>2661.39542182483</v>
      </c>
      <c r="V37" s="12">
        <v>599.439471152747</v>
      </c>
      <c r="W37" s="12">
        <v>372.0</v>
      </c>
      <c r="X37" s="12">
        <v>88.7322552810131</v>
      </c>
    </row>
    <row r="38">
      <c r="A38" s="8">
        <v>41275.0</v>
      </c>
      <c r="B38" s="9">
        <f>IFERROR(__xludf.DUMMYFUNCTION("""COMPUTED_VALUE"""),163.0)</f>
        <v>163</v>
      </c>
      <c r="C38" s="12">
        <v>130.344848426471</v>
      </c>
      <c r="D38" s="12">
        <v>289.880742171133</v>
      </c>
      <c r="E38" s="12">
        <v>-680.651851851852</v>
      </c>
      <c r="F38" s="12">
        <v>662.863265539763</v>
      </c>
      <c r="G38" s="12">
        <v>983.248672325379</v>
      </c>
      <c r="H38" s="12">
        <v>43213.3333333333</v>
      </c>
      <c r="I38" s="12">
        <v>825.352941176471</v>
      </c>
      <c r="J38" s="12">
        <v>3831.68010797958</v>
      </c>
      <c r="K38" s="13">
        <v>234.681583641973</v>
      </c>
      <c r="L38" s="13">
        <v>331.83186307395</v>
      </c>
      <c r="M38" s="12">
        <v>326.097067816259</v>
      </c>
      <c r="N38" s="12">
        <v>751.073031877833</v>
      </c>
      <c r="O38" s="12">
        <v>189.28390359014</v>
      </c>
      <c r="P38" s="12">
        <v>1343.46</v>
      </c>
      <c r="Q38" s="12">
        <v>494.527499281966</v>
      </c>
      <c r="R38" s="12">
        <v>959.605397485799</v>
      </c>
      <c r="S38" s="12">
        <v>397.2</v>
      </c>
      <c r="T38" s="12">
        <v>201.340021940551</v>
      </c>
      <c r="U38" s="12">
        <v>1892.37235229974</v>
      </c>
      <c r="V38" s="12">
        <v>341.523471496504</v>
      </c>
      <c r="W38" s="12">
        <v>240.0</v>
      </c>
      <c r="X38" s="12">
        <v>212.19411481827</v>
      </c>
    </row>
    <row r="39">
      <c r="A39" s="8">
        <v>41306.0</v>
      </c>
      <c r="B39" s="9">
        <f>IFERROR(__xludf.DUMMYFUNCTION("""COMPUTED_VALUE"""),1130.0)</f>
        <v>1130</v>
      </c>
      <c r="C39" s="12">
        <v>1294.44693493597</v>
      </c>
      <c r="D39" s="12">
        <v>37.6487519984923</v>
      </c>
      <c r="E39" s="12">
        <v>-811.231111111111</v>
      </c>
      <c r="F39" s="12">
        <v>266.298569668589</v>
      </c>
      <c r="G39" s="12">
        <v>480.910790885183</v>
      </c>
      <c r="H39" s="12">
        <v>48426.6666666667</v>
      </c>
      <c r="I39" s="12">
        <v>878.058823529412</v>
      </c>
      <c r="J39" s="12">
        <v>941.308331704901</v>
      </c>
      <c r="K39" s="13">
        <v>192.650669331103</v>
      </c>
      <c r="L39" s="13">
        <v>283.135482662351</v>
      </c>
      <c r="M39" s="12">
        <v>208.503562304962</v>
      </c>
      <c r="N39" s="12">
        <v>389.118023258769</v>
      </c>
      <c r="O39" s="12">
        <v>180.647178094518</v>
      </c>
      <c r="P39" s="12">
        <v>108.888269627877</v>
      </c>
      <c r="Q39" s="12">
        <v>411.592208885602</v>
      </c>
      <c r="R39" s="12">
        <v>1066.62458679648</v>
      </c>
      <c r="S39" s="12">
        <v>1788.15519993159</v>
      </c>
      <c r="T39" s="12">
        <v>558.738775746668</v>
      </c>
      <c r="U39" s="12">
        <v>1058.43285045801</v>
      </c>
      <c r="V39" s="12">
        <v>1228.55573586825</v>
      </c>
      <c r="W39" s="12">
        <v>312.45524684882</v>
      </c>
      <c r="X39" s="12">
        <v>277.169644003732</v>
      </c>
    </row>
    <row r="40">
      <c r="A40" s="8">
        <v>41334.0</v>
      </c>
      <c r="B40" s="9">
        <f>IFERROR(__xludf.DUMMYFUNCTION("""COMPUTED_VALUE"""),293.0)</f>
        <v>293</v>
      </c>
      <c r="C40" s="12">
        <v>688.173544882443</v>
      </c>
      <c r="D40" s="12">
        <v>105.04049467001</v>
      </c>
      <c r="E40" s="12">
        <v>-1596.74926569705</v>
      </c>
      <c r="F40" s="12">
        <v>180.945719242904</v>
      </c>
      <c r="G40" s="12">
        <v>390.908677166867</v>
      </c>
      <c r="H40" s="12">
        <v>46000.0</v>
      </c>
      <c r="I40" s="12">
        <v>907.529411764706</v>
      </c>
      <c r="J40" s="12">
        <v>1482.69156854152</v>
      </c>
      <c r="K40" s="13">
        <v>271.128780405026</v>
      </c>
      <c r="L40" s="13">
        <v>488.537204237553</v>
      </c>
      <c r="M40" s="12">
        <v>110.620910555727</v>
      </c>
      <c r="N40" s="12">
        <v>666.908311806848</v>
      </c>
      <c r="O40" s="12">
        <v>389.283353809418</v>
      </c>
      <c r="P40" s="12">
        <v>350.458683233352</v>
      </c>
      <c r="Q40" s="12">
        <v>-44.7037037037037</v>
      </c>
      <c r="R40" s="12">
        <v>410.240225690955</v>
      </c>
      <c r="S40" s="12">
        <v>578.8</v>
      </c>
      <c r="T40" s="12">
        <v>469.793384527951</v>
      </c>
      <c r="U40" s="12">
        <v>900.526189882839</v>
      </c>
      <c r="V40" s="12">
        <v>547.267771789006</v>
      </c>
      <c r="W40" s="12">
        <v>488.0</v>
      </c>
      <c r="X40" s="12">
        <v>258.87682007829</v>
      </c>
    </row>
    <row r="41">
      <c r="A41" s="8">
        <v>41365.0</v>
      </c>
      <c r="B41" s="9">
        <f>IFERROR(__xludf.DUMMYFUNCTION("""COMPUTED_VALUE"""),1125.0)</f>
        <v>1125</v>
      </c>
      <c r="C41" s="12">
        <v>901.223710579489</v>
      </c>
      <c r="D41" s="12">
        <v>-201.842287475032</v>
      </c>
      <c r="E41" s="12">
        <v>115.240011412892</v>
      </c>
      <c r="F41" s="12">
        <v>391.351953874903</v>
      </c>
      <c r="G41" s="12">
        <v>1388.1320648516</v>
      </c>
      <c r="H41" s="12">
        <v>28650.0</v>
      </c>
      <c r="I41" s="12">
        <v>934.823529411765</v>
      </c>
      <c r="J41" s="12">
        <v>1248.09875755934</v>
      </c>
      <c r="K41" s="13">
        <v>305.407575106318</v>
      </c>
      <c r="L41" s="13">
        <v>476.972661553427</v>
      </c>
      <c r="M41" s="12">
        <v>527.392573807392</v>
      </c>
      <c r="N41" s="12">
        <v>1120.69493542054</v>
      </c>
      <c r="O41" s="12">
        <v>385.163245221256</v>
      </c>
      <c r="P41" s="12">
        <v>148.853442286383</v>
      </c>
      <c r="Q41" s="12">
        <v>392.969070396899</v>
      </c>
      <c r="R41" s="12">
        <v>33.3362577764332</v>
      </c>
      <c r="S41" s="12">
        <v>182.305692628724</v>
      </c>
      <c r="T41" s="12">
        <v>572.642704205578</v>
      </c>
      <c r="U41" s="12">
        <v>552.177148362943</v>
      </c>
      <c r="V41" s="12">
        <v>1116.58646994429</v>
      </c>
      <c r="W41" s="12">
        <v>462.0</v>
      </c>
      <c r="X41" s="12">
        <v>192.490025201314</v>
      </c>
    </row>
    <row r="42">
      <c r="A42" s="8">
        <v>41395.0</v>
      </c>
      <c r="B42" s="9">
        <f>IFERROR(__xludf.DUMMYFUNCTION("""COMPUTED_VALUE"""),493.0)</f>
        <v>493</v>
      </c>
      <c r="C42" s="12">
        <v>16.765624123496</v>
      </c>
      <c r="D42" s="12">
        <v>162.819289140273</v>
      </c>
      <c r="E42" s="12">
        <v>477.842477838211</v>
      </c>
      <c r="F42" s="12">
        <v>991.070204421616</v>
      </c>
      <c r="G42" s="12">
        <v>1413.32094167181</v>
      </c>
      <c r="H42" s="12">
        <v>123.333333333333</v>
      </c>
      <c r="I42" s="12">
        <v>577.058823529412</v>
      </c>
      <c r="J42" s="12">
        <v>304.686941166001</v>
      </c>
      <c r="K42" s="13">
        <v>624.316691741489</v>
      </c>
      <c r="L42" s="13">
        <v>210.984099241753</v>
      </c>
      <c r="M42" s="12">
        <v>737.488369920647</v>
      </c>
      <c r="N42" s="12">
        <v>322.740742371226</v>
      </c>
      <c r="O42" s="12">
        <v>1435.05636160714</v>
      </c>
      <c r="P42" s="12">
        <v>2532.07039728712</v>
      </c>
      <c r="Q42" s="12">
        <v>-47.2273331527196</v>
      </c>
      <c r="R42" s="12">
        <v>572.573297857187</v>
      </c>
      <c r="S42" s="12">
        <v>408.060293503528</v>
      </c>
      <c r="T42" s="12">
        <v>893.705940359075</v>
      </c>
      <c r="U42" s="12">
        <v>674.506424077525</v>
      </c>
      <c r="V42" s="12">
        <v>723.433384849683</v>
      </c>
      <c r="W42" s="12">
        <v>1319.95779409193</v>
      </c>
      <c r="X42" s="12">
        <v>229.169644003732</v>
      </c>
    </row>
    <row r="43">
      <c r="A43" s="8">
        <v>41426.0</v>
      </c>
      <c r="B43" s="9">
        <f>IFERROR(__xludf.DUMMYFUNCTION("""COMPUTED_VALUE"""),9.0)</f>
        <v>9</v>
      </c>
      <c r="C43" s="12">
        <v>2.49980304481936</v>
      </c>
      <c r="D43" s="12">
        <v>40.7885626248423</v>
      </c>
      <c r="E43" s="12">
        <v>1046.06490812633</v>
      </c>
      <c r="F43" s="12">
        <v>571.053744757868</v>
      </c>
      <c r="G43" s="12">
        <v>895.247054318194</v>
      </c>
      <c r="H43" s="12">
        <v>48.0</v>
      </c>
      <c r="I43" s="12">
        <v>486.235294117647</v>
      </c>
      <c r="J43" s="12">
        <v>910.543019774191</v>
      </c>
      <c r="K43" s="13">
        <v>426.564798805963</v>
      </c>
      <c r="L43" s="13">
        <v>-144.331614675858</v>
      </c>
      <c r="M43" s="12">
        <v>288.0</v>
      </c>
      <c r="N43" s="12">
        <v>115.931046517537</v>
      </c>
      <c r="O43" s="12">
        <v>691.924455585694</v>
      </c>
      <c r="P43" s="12">
        <v>194.20975276077</v>
      </c>
      <c r="Q43" s="12">
        <v>261.493342460203</v>
      </c>
      <c r="R43" s="12">
        <v>626.314544670886</v>
      </c>
      <c r="S43" s="12">
        <v>532.6185921898</v>
      </c>
      <c r="T43" s="12">
        <v>981.857779580953</v>
      </c>
      <c r="U43" s="12">
        <v>1468.55670238363</v>
      </c>
      <c r="V43" s="12">
        <v>671.342868070475</v>
      </c>
      <c r="W43" s="12">
        <v>432.0</v>
      </c>
      <c r="X43" s="12">
        <v>800.0</v>
      </c>
    </row>
    <row r="44">
      <c r="A44" s="8">
        <v>41456.0</v>
      </c>
      <c r="B44" s="9">
        <f>IFERROR(__xludf.DUMMYFUNCTION("""COMPUTED_VALUE"""),509.0)</f>
        <v>509</v>
      </c>
      <c r="C44" s="12">
        <v>3353.96654417037</v>
      </c>
      <c r="D44" s="12">
        <v>408.21090439648</v>
      </c>
      <c r="E44" s="12">
        <v>1949.26776405623</v>
      </c>
      <c r="F44" s="12">
        <v>499.959601030627</v>
      </c>
      <c r="G44" s="12">
        <v>205.193782227781</v>
      </c>
      <c r="H44" s="12">
        <v>198.0</v>
      </c>
      <c r="I44" s="12">
        <v>487.588235294118</v>
      </c>
      <c r="J44" s="12">
        <v>484.465671999449</v>
      </c>
      <c r="K44" s="13">
        <v>171.260172258142</v>
      </c>
      <c r="L44" s="13">
        <v>561.832831297437</v>
      </c>
      <c r="M44" s="12">
        <v>553.757928454453</v>
      </c>
      <c r="N44" s="12">
        <v>549.121301682623</v>
      </c>
      <c r="O44" s="12">
        <v>890.938318258184</v>
      </c>
      <c r="P44" s="12">
        <v>1767.29093366216</v>
      </c>
      <c r="Q44" s="12">
        <v>271.666666666667</v>
      </c>
      <c r="R44" s="12">
        <v>28.0800249280128</v>
      </c>
      <c r="S44" s="12">
        <v>567.973408561833</v>
      </c>
      <c r="T44" s="12">
        <v>382.740910275271</v>
      </c>
      <c r="U44" s="12">
        <v>164.000748176923</v>
      </c>
      <c r="V44" s="12">
        <v>910.514693423648</v>
      </c>
      <c r="W44" s="12">
        <v>222.0</v>
      </c>
      <c r="X44" s="12">
        <v>288.583996152848</v>
      </c>
    </row>
    <row r="45">
      <c r="A45" s="8">
        <v>41487.0</v>
      </c>
      <c r="B45" s="9">
        <f>IFERROR(__xludf.DUMMYFUNCTION("""COMPUTED_VALUE"""),730.0)</f>
        <v>730</v>
      </c>
      <c r="C45" s="12">
        <v>574.269341129802</v>
      </c>
      <c r="D45" s="12">
        <v>261.903740505892</v>
      </c>
      <c r="E45" s="12">
        <v>939.055581189126</v>
      </c>
      <c r="F45" s="12">
        <v>948.079711696814</v>
      </c>
      <c r="G45" s="12">
        <v>1413.03715277328</v>
      </c>
      <c r="H45" s="12">
        <v>445.234904770748</v>
      </c>
      <c r="I45" s="12">
        <v>487.235294117647</v>
      </c>
      <c r="J45" s="12">
        <v>657.264285714286</v>
      </c>
      <c r="K45" s="13">
        <v>419.9690696607</v>
      </c>
      <c r="L45" s="13">
        <v>304.597571585131</v>
      </c>
      <c r="M45" s="12">
        <v>282.793809998808</v>
      </c>
      <c r="N45" s="12">
        <v>656.423830756084</v>
      </c>
      <c r="O45" s="12">
        <v>692.374139228633</v>
      </c>
      <c r="P45" s="12">
        <v>307.727538100634</v>
      </c>
      <c r="Q45" s="12">
        <v>65.3602843302018</v>
      </c>
      <c r="R45" s="12">
        <v>710.989190661487</v>
      </c>
      <c r="S45" s="12">
        <v>763.645432562108</v>
      </c>
      <c r="T45" s="12">
        <v>600.112316861223</v>
      </c>
      <c r="U45" s="12">
        <v>308.641415123477</v>
      </c>
      <c r="V45" s="12">
        <v>893.135577364023</v>
      </c>
      <c r="W45" s="12">
        <v>124.0</v>
      </c>
      <c r="X45" s="12">
        <v>241.19411481827</v>
      </c>
    </row>
    <row r="46">
      <c r="A46" s="8">
        <v>41518.0</v>
      </c>
      <c r="B46" s="9">
        <f>IFERROR(__xludf.DUMMYFUNCTION("""COMPUTED_VALUE"""),810.0)</f>
        <v>810</v>
      </c>
      <c r="C46" s="12">
        <v>1210.60652131463</v>
      </c>
      <c r="D46" s="12">
        <v>598.531855095597</v>
      </c>
      <c r="E46" s="12">
        <v>127.627187589866</v>
      </c>
      <c r="F46" s="12">
        <v>1796.69005426812</v>
      </c>
      <c r="G46" s="12">
        <v>174.675</v>
      </c>
      <c r="H46" s="12">
        <v>162.232163954225</v>
      </c>
      <c r="I46" s="12">
        <v>611.411764705882</v>
      </c>
      <c r="J46" s="12">
        <v>1651.09804221477</v>
      </c>
      <c r="K46" s="13">
        <v>118.89630638425</v>
      </c>
      <c r="L46" s="13">
        <v>1311.3514292704</v>
      </c>
      <c r="M46" s="12">
        <v>-12.0180104138536</v>
      </c>
      <c r="N46" s="12">
        <v>480.140659460376</v>
      </c>
      <c r="O46" s="12">
        <v>1586.26359061596</v>
      </c>
      <c r="P46" s="12">
        <v>907.031539653294</v>
      </c>
      <c r="Q46" s="12">
        <v>1265.47047444039</v>
      </c>
      <c r="R46" s="12">
        <v>2053.42453708281</v>
      </c>
      <c r="S46" s="12">
        <v>1446.53243037778</v>
      </c>
      <c r="T46" s="12">
        <v>1324.39080412689</v>
      </c>
      <c r="U46" s="12">
        <v>147.544529276767</v>
      </c>
      <c r="V46" s="12">
        <v>1854.64291744888</v>
      </c>
      <c r="W46" s="12">
        <v>557.127286864516</v>
      </c>
      <c r="X46" s="12">
        <v>386.007094695918</v>
      </c>
    </row>
    <row r="47">
      <c r="A47" s="8">
        <v>41548.0</v>
      </c>
      <c r="B47" s="9">
        <f>IFERROR(__xludf.DUMMYFUNCTION("""COMPUTED_VALUE"""),146.0)</f>
        <v>146</v>
      </c>
      <c r="C47" s="12">
        <v>1961.6124098842</v>
      </c>
      <c r="D47" s="12">
        <v>412.03139906649</v>
      </c>
      <c r="E47" s="12">
        <v>538.467601251475</v>
      </c>
      <c r="F47" s="12">
        <v>1875.11740636504</v>
      </c>
      <c r="G47" s="12">
        <v>-224.9</v>
      </c>
      <c r="H47" s="12">
        <v>272.656235463983</v>
      </c>
      <c r="I47" s="12">
        <v>653.058823529412</v>
      </c>
      <c r="J47" s="12">
        <v>379.591319929884</v>
      </c>
      <c r="K47" s="13">
        <v>163.133219791413</v>
      </c>
      <c r="L47" s="13">
        <v>509.813973007818</v>
      </c>
      <c r="M47" s="12">
        <v>520.816267134995</v>
      </c>
      <c r="N47" s="12">
        <v>340.818212751133</v>
      </c>
      <c r="O47" s="12">
        <v>1268.68640448969</v>
      </c>
      <c r="P47" s="12">
        <v>-1428.0753957054</v>
      </c>
      <c r="Q47" s="12">
        <v>809.202242652061</v>
      </c>
      <c r="R47" s="12">
        <v>1445.41080589028</v>
      </c>
      <c r="S47" s="12">
        <v>1125.71369424546</v>
      </c>
      <c r="T47" s="12">
        <v>1074.42865694372</v>
      </c>
      <c r="U47" s="12">
        <v>602.606726009789</v>
      </c>
      <c r="V47" s="12">
        <v>-591.546503844131</v>
      </c>
      <c r="W47" s="12">
        <v>256.0</v>
      </c>
      <c r="X47" s="12">
        <v>578.360648862143</v>
      </c>
    </row>
    <row r="48">
      <c r="A48" s="8">
        <v>41579.0</v>
      </c>
      <c r="B48" s="9">
        <f>IFERROR(__xludf.DUMMYFUNCTION("""COMPUTED_VALUE"""),342.0)</f>
        <v>342</v>
      </c>
      <c r="C48" s="12">
        <v>121.502364989126</v>
      </c>
      <c r="D48" s="12">
        <v>101.8924885074</v>
      </c>
      <c r="E48" s="12">
        <v>265.077920680314</v>
      </c>
      <c r="F48" s="12">
        <v>835.85088150167</v>
      </c>
      <c r="G48" s="12">
        <v>778.325902772709</v>
      </c>
      <c r="H48" s="12">
        <v>207.0</v>
      </c>
      <c r="I48" s="12">
        <v>690.941176470588</v>
      </c>
      <c r="J48" s="12">
        <v>713.905264979805</v>
      </c>
      <c r="K48" s="13">
        <v>205.240267137458</v>
      </c>
      <c r="L48" s="13">
        <v>409.825098874425</v>
      </c>
      <c r="M48" s="12">
        <v>420.692348493015</v>
      </c>
      <c r="N48" s="12">
        <v>501.913336570776</v>
      </c>
      <c r="O48" s="12">
        <v>1970.95767306571</v>
      </c>
      <c r="P48" s="12">
        <v>-526.162453954284</v>
      </c>
      <c r="Q48" s="12">
        <v>334.996974340254</v>
      </c>
      <c r="R48" s="12">
        <v>208.581194959139</v>
      </c>
      <c r="S48" s="12">
        <v>341.742462299941</v>
      </c>
      <c r="T48" s="12">
        <v>525.746717542334</v>
      </c>
      <c r="U48" s="12">
        <v>878.179908376548</v>
      </c>
      <c r="V48" s="12">
        <v>564.191843852923</v>
      </c>
      <c r="W48" s="12">
        <v>228.0</v>
      </c>
      <c r="X48" s="12">
        <v>61.8080483014153</v>
      </c>
    </row>
    <row r="49">
      <c r="A49" s="8">
        <v>41609.0</v>
      </c>
      <c r="B49" s="9">
        <f>IFERROR(__xludf.DUMMYFUNCTION("""COMPUTED_VALUE"""),2870.0)</f>
        <v>2870</v>
      </c>
      <c r="C49" s="12">
        <v>676.470099855299</v>
      </c>
      <c r="D49" s="12">
        <v>396.169613757084</v>
      </c>
      <c r="E49" s="12">
        <v>2087.6895669654</v>
      </c>
      <c r="F49" s="12">
        <v>1892.2140236002</v>
      </c>
      <c r="G49" s="12">
        <v>3621.81169667315</v>
      </c>
      <c r="H49" s="12">
        <v>878.5</v>
      </c>
      <c r="I49" s="12">
        <v>665.588235294118</v>
      </c>
      <c r="J49" s="12">
        <v>2050.16515052054</v>
      </c>
      <c r="K49" s="13">
        <v>831.972262866227</v>
      </c>
      <c r="L49" s="13">
        <v>3444.68559635651</v>
      </c>
      <c r="M49" s="12">
        <v>1239.30461507377</v>
      </c>
      <c r="N49" s="12">
        <v>542.107124038296</v>
      </c>
      <c r="O49" s="12">
        <v>2329.68605012991</v>
      </c>
      <c r="P49" s="12">
        <v>2525.23817739896</v>
      </c>
      <c r="Q49" s="12">
        <v>211.943996682701</v>
      </c>
      <c r="R49" s="12">
        <v>1925.43109069105</v>
      </c>
      <c r="S49" s="12">
        <v>1233.4</v>
      </c>
      <c r="T49" s="12">
        <v>1016.4557610234</v>
      </c>
      <c r="U49" s="12">
        <v>126.806529966922</v>
      </c>
      <c r="V49" s="12">
        <v>1322.45865725582</v>
      </c>
      <c r="W49" s="12">
        <v>566.752992154442</v>
      </c>
      <c r="X49" s="12">
        <v>462.397802420041</v>
      </c>
    </row>
    <row r="50">
      <c r="A50" s="8">
        <v>41640.0</v>
      </c>
      <c r="B50" s="9">
        <f>IFERROR(__xludf.DUMMYFUNCTION("""COMPUTED_VALUE"""),1200.0)</f>
        <v>1200</v>
      </c>
      <c r="C50" s="12">
        <v>4517.48988985714</v>
      </c>
      <c r="D50" s="12">
        <v>549.966615588443</v>
      </c>
      <c r="E50" s="12">
        <v>1536.79453690689</v>
      </c>
      <c r="F50" s="12">
        <v>745.048119010817</v>
      </c>
      <c r="G50" s="12">
        <v>2765.33186724867</v>
      </c>
      <c r="H50" s="12">
        <v>288.0</v>
      </c>
      <c r="I50" s="12">
        <v>665.058823529412</v>
      </c>
      <c r="J50" s="12">
        <v>1499.78026686649</v>
      </c>
      <c r="K50" s="13">
        <v>437.198696466914</v>
      </c>
      <c r="L50" s="13">
        <v>1012.47414059829</v>
      </c>
      <c r="M50" s="12">
        <v>994.946839563246</v>
      </c>
      <c r="N50" s="12">
        <v>972.750428512586</v>
      </c>
      <c r="O50" s="12">
        <v>232.183842393383</v>
      </c>
      <c r="P50" s="12">
        <v>2348.84246913974</v>
      </c>
      <c r="Q50" s="12">
        <v>1027.21723691249</v>
      </c>
      <c r="R50" s="12">
        <v>5.28830704557123</v>
      </c>
      <c r="S50" s="12">
        <v>1088.66516874906</v>
      </c>
      <c r="T50" s="12">
        <v>868.05450081935</v>
      </c>
      <c r="U50" s="12">
        <v>2454.69441769635</v>
      </c>
      <c r="V50" s="12">
        <v>1523.53853383122</v>
      </c>
      <c r="W50" s="12">
        <v>1234.41029236524</v>
      </c>
      <c r="X50" s="12">
        <v>380.049944400649</v>
      </c>
    </row>
    <row r="51">
      <c r="A51" s="8">
        <v>41671.0</v>
      </c>
      <c r="B51" s="9">
        <f>IFERROR(__xludf.DUMMYFUNCTION("""COMPUTED_VALUE"""),1107.0)</f>
        <v>1107</v>
      </c>
      <c r="C51" s="12">
        <v>1510.18809075864</v>
      </c>
      <c r="D51" s="12">
        <v>269.200602930987</v>
      </c>
      <c r="E51" s="12">
        <v>586.031273687343</v>
      </c>
      <c r="F51" s="12">
        <v>204.460706267323</v>
      </c>
      <c r="G51" s="12">
        <v>2197.83859025473</v>
      </c>
      <c r="H51" s="12">
        <v>310.0</v>
      </c>
      <c r="I51" s="12">
        <v>363.117647058824</v>
      </c>
      <c r="J51" s="12">
        <v>1449.94559209156</v>
      </c>
      <c r="K51" s="13">
        <v>152.362001152321</v>
      </c>
      <c r="L51" s="13">
        <v>1197.14848903277</v>
      </c>
      <c r="M51" s="12">
        <v>104.0136466522</v>
      </c>
      <c r="N51" s="12">
        <v>1061.86745478167</v>
      </c>
      <c r="O51" s="12">
        <v>88.3310815446034</v>
      </c>
      <c r="P51" s="12">
        <v>42.7336753901675</v>
      </c>
      <c r="Q51" s="12">
        <v>837.555555555556</v>
      </c>
      <c r="R51" s="12">
        <v>85.0</v>
      </c>
      <c r="S51" s="12">
        <v>1313.6</v>
      </c>
      <c r="T51" s="12">
        <v>756.876305160763</v>
      </c>
      <c r="U51" s="12">
        <v>104.259318139982</v>
      </c>
      <c r="V51" s="12">
        <v>1432.9290324554</v>
      </c>
      <c r="W51" s="12">
        <v>1037.61890091654</v>
      </c>
      <c r="X51" s="12">
        <v>518.721629175996</v>
      </c>
    </row>
    <row r="52">
      <c r="A52" s="8">
        <v>41699.0</v>
      </c>
      <c r="B52" s="9">
        <f>IFERROR(__xludf.DUMMYFUNCTION("""COMPUTED_VALUE"""),5062.0)</f>
        <v>5062</v>
      </c>
      <c r="C52" s="12">
        <v>4586.29967481539</v>
      </c>
      <c r="D52" s="12">
        <v>359.696681045414</v>
      </c>
      <c r="E52" s="12">
        <v>2908.41488610616</v>
      </c>
      <c r="F52" s="12">
        <v>259.262926230914</v>
      </c>
      <c r="G52" s="12">
        <v>3391.76824127222</v>
      </c>
      <c r="H52" s="12">
        <v>75.024360405709</v>
      </c>
      <c r="I52" s="12">
        <v>381.882352941176</v>
      </c>
      <c r="J52" s="12">
        <v>2537.92300622158</v>
      </c>
      <c r="K52" s="13">
        <v>652.916637378961</v>
      </c>
      <c r="L52" s="13">
        <v>1439.8211905857</v>
      </c>
      <c r="M52" s="12">
        <v>1455.55574664399</v>
      </c>
      <c r="N52" s="12">
        <v>1052.50972007099</v>
      </c>
      <c r="O52" s="12">
        <v>0.0</v>
      </c>
      <c r="P52" s="12">
        <v>-165.724180632235</v>
      </c>
      <c r="Q52" s="12">
        <v>5676.58308089998</v>
      </c>
      <c r="R52" s="12">
        <v>482.262199396583</v>
      </c>
      <c r="S52" s="12">
        <v>1315.6</v>
      </c>
      <c r="T52" s="12">
        <v>5287.01874804477</v>
      </c>
      <c r="U52" s="12">
        <v>740.021597315769</v>
      </c>
      <c r="V52" s="12">
        <v>2026.75994464501</v>
      </c>
      <c r="W52" s="12">
        <v>1407.54257382996</v>
      </c>
      <c r="X52" s="12">
        <v>360.600818932233</v>
      </c>
    </row>
    <row r="53">
      <c r="A53" s="8">
        <v>41730.0</v>
      </c>
      <c r="B53" s="9">
        <f>IFERROR(__xludf.DUMMYFUNCTION("""COMPUTED_VALUE"""),16189.0)</f>
        <v>16189</v>
      </c>
      <c r="C53" s="12">
        <v>13554.9609869329</v>
      </c>
      <c r="D53" s="12">
        <v>16391.3801029046</v>
      </c>
      <c r="E53" s="12">
        <v>15692.296801928</v>
      </c>
      <c r="F53" s="12">
        <v>10033.6533610558</v>
      </c>
      <c r="G53" s="12">
        <v>16550.3066953788</v>
      </c>
      <c r="H53" s="12">
        <v>21600.0</v>
      </c>
      <c r="I53" s="12">
        <v>13856.8326670253</v>
      </c>
      <c r="J53" s="12">
        <v>15018.175</v>
      </c>
      <c r="K53" s="13">
        <v>16609.1587229753</v>
      </c>
      <c r="L53" s="13">
        <v>15879.671423315</v>
      </c>
      <c r="M53" s="12">
        <v>15816.6693562385</v>
      </c>
      <c r="N53" s="12">
        <v>5335.52594746182</v>
      </c>
      <c r="O53" s="12">
        <v>8418.62260438729</v>
      </c>
      <c r="P53" s="12">
        <v>3508.63507247276</v>
      </c>
      <c r="Q53" s="12">
        <v>36907.7260763245</v>
      </c>
      <c r="R53" s="12">
        <v>16035.2181299364</v>
      </c>
      <c r="S53" s="12">
        <v>15636.8319302792</v>
      </c>
      <c r="T53" s="12">
        <v>16206.0715712683</v>
      </c>
      <c r="U53" s="12">
        <v>16104.2789899101</v>
      </c>
      <c r="V53" s="12">
        <v>16184.9491237283</v>
      </c>
      <c r="W53" s="12">
        <v>15382.1840266005</v>
      </c>
      <c r="X53" s="12">
        <v>271.608466967386</v>
      </c>
    </row>
    <row r="54">
      <c r="A54" s="8">
        <v>41760.0</v>
      </c>
      <c r="B54" s="9">
        <f>IFERROR(__xludf.DUMMYFUNCTION("""COMPUTED_VALUE"""),815.0)</f>
        <v>815</v>
      </c>
      <c r="C54" s="12">
        <v>76.1424722001605</v>
      </c>
      <c r="D54" s="12">
        <v>156.823555295344</v>
      </c>
      <c r="E54" s="12">
        <v>912.466153513576</v>
      </c>
      <c r="F54" s="12">
        <v>1607.32349045118</v>
      </c>
      <c r="G54" s="12">
        <v>1176.87119171261</v>
      </c>
      <c r="H54" s="12">
        <v>209.528929716164</v>
      </c>
      <c r="I54" s="12">
        <v>422.294117647059</v>
      </c>
      <c r="J54" s="12">
        <v>137.718122235329</v>
      </c>
      <c r="K54" s="13">
        <v>116.569366796414</v>
      </c>
      <c r="L54" s="13">
        <v>5307.03497055483</v>
      </c>
      <c r="M54" s="12">
        <v>67.1574015012518</v>
      </c>
      <c r="N54" s="12">
        <v>5376.5374720198</v>
      </c>
      <c r="O54" s="12">
        <v>1307.03649796299</v>
      </c>
      <c r="P54" s="12">
        <v>957.680139185319</v>
      </c>
      <c r="Q54" s="12">
        <v>0.0</v>
      </c>
      <c r="R54" s="12">
        <v>1272.20141886274</v>
      </c>
      <c r="S54" s="12">
        <v>1666.97864700807</v>
      </c>
      <c r="T54" s="12">
        <v>7329.63239214917</v>
      </c>
      <c r="U54" s="12">
        <v>860.251118395433</v>
      </c>
      <c r="V54" s="12">
        <v>5748.50430895306</v>
      </c>
      <c r="W54" s="12">
        <v>1491.98061243789</v>
      </c>
      <c r="X54" s="12">
        <v>331.679945683731</v>
      </c>
    </row>
    <row r="55">
      <c r="A55" s="8">
        <v>41791.0</v>
      </c>
      <c r="B55" s="9">
        <f>IFERROR(__xludf.DUMMYFUNCTION("""COMPUTED_VALUE"""),8876.0)</f>
        <v>8876</v>
      </c>
      <c r="C55" s="12">
        <v>1839.12086097832</v>
      </c>
      <c r="D55" s="12">
        <v>-814.696190040153</v>
      </c>
      <c r="E55" s="12">
        <v>194.102222222222</v>
      </c>
      <c r="F55" s="12">
        <v>8261.20920145109</v>
      </c>
      <c r="G55" s="12">
        <v>2885.70190548622</v>
      </c>
      <c r="H55" s="12">
        <v>560.0</v>
      </c>
      <c r="I55" s="12">
        <v>424.529411764706</v>
      </c>
      <c r="J55" s="12">
        <v>7037.19323683662</v>
      </c>
      <c r="K55" s="13">
        <v>4021.54941850222</v>
      </c>
      <c r="L55" s="13">
        <v>4907.06997173819</v>
      </c>
      <c r="M55" s="12">
        <v>8607.6</v>
      </c>
      <c r="N55" s="12">
        <v>4863.19007612493</v>
      </c>
      <c r="O55" s="12">
        <v>9559.79953538464</v>
      </c>
      <c r="P55" s="12">
        <v>9994.43415702097</v>
      </c>
      <c r="Q55" s="12">
        <v>7974.490016213</v>
      </c>
      <c r="R55" s="12">
        <v>9163.0</v>
      </c>
      <c r="S55" s="12">
        <v>7533.4</v>
      </c>
      <c r="T55" s="12">
        <v>8842.97179896859</v>
      </c>
      <c r="U55" s="12">
        <v>6121.26751556926</v>
      </c>
      <c r="V55" s="12">
        <v>5424.73064466422</v>
      </c>
      <c r="W55" s="12">
        <v>3874.64954189785</v>
      </c>
      <c r="X55" s="12">
        <v>427.608466967386</v>
      </c>
    </row>
    <row r="56">
      <c r="A56" s="8">
        <v>41821.0</v>
      </c>
      <c r="B56" s="9">
        <f>IFERROR(__xludf.DUMMYFUNCTION("""COMPUTED_VALUE"""),295.0)</f>
        <v>295</v>
      </c>
      <c r="C56" s="12">
        <v>1676.47434678759</v>
      </c>
      <c r="D56" s="12">
        <v>37.4633694203255</v>
      </c>
      <c r="E56" s="12">
        <v>784.0</v>
      </c>
      <c r="F56" s="12">
        <v>1084.82887608159</v>
      </c>
      <c r="G56" s="12">
        <v>1477.04331035012</v>
      </c>
      <c r="H56" s="12">
        <v>784.0</v>
      </c>
      <c r="I56" s="12">
        <v>413.941176470588</v>
      </c>
      <c r="J56" s="12">
        <v>-121.546713015976</v>
      </c>
      <c r="K56" s="13">
        <v>798.764332916099</v>
      </c>
      <c r="L56" s="13">
        <v>4625.361011419</v>
      </c>
      <c r="M56" s="12">
        <v>51.575019174244</v>
      </c>
      <c r="N56" s="12">
        <v>4483.08892926517</v>
      </c>
      <c r="O56" s="12">
        <v>9759.75</v>
      </c>
      <c r="P56" s="12">
        <v>14.2378617123872</v>
      </c>
      <c r="Q56" s="12">
        <v>0.0</v>
      </c>
      <c r="R56" s="12">
        <v>2035.52227018038</v>
      </c>
      <c r="S56" s="12">
        <v>225.201149717835</v>
      </c>
      <c r="T56" s="12">
        <v>492.405162571631</v>
      </c>
      <c r="U56" s="12">
        <v>568.557528895634</v>
      </c>
      <c r="V56" s="12">
        <v>5598.21750192449</v>
      </c>
      <c r="W56" s="12">
        <v>149.207585405407</v>
      </c>
      <c r="X56" s="12">
        <v>866.739903423041</v>
      </c>
    </row>
    <row r="57">
      <c r="A57" s="8">
        <v>41852.0</v>
      </c>
      <c r="B57" s="9">
        <f>IFERROR(__xludf.DUMMYFUNCTION("""COMPUTED_VALUE"""),15063.0)</f>
        <v>15063</v>
      </c>
      <c r="C57" s="12">
        <v>3787.38329900359</v>
      </c>
      <c r="D57" s="12">
        <v>2.49755796135503</v>
      </c>
      <c r="E57" s="12">
        <v>14553.0</v>
      </c>
      <c r="F57" s="12">
        <v>1990.8</v>
      </c>
      <c r="G57" s="12">
        <v>1230.02457188373</v>
      </c>
      <c r="H57" s="12">
        <v>14553.0</v>
      </c>
      <c r="I57" s="12">
        <v>364.5625</v>
      </c>
      <c r="J57" s="12">
        <v>12006.2380870959</v>
      </c>
      <c r="K57" s="13">
        <v>562.37643109662</v>
      </c>
      <c r="L57" s="13">
        <v>5170.72370339182</v>
      </c>
      <c r="M57" s="12">
        <v>895.486093135004</v>
      </c>
      <c r="N57" s="12">
        <v>5025.625</v>
      </c>
      <c r="O57" s="12">
        <v>9316.60714285714</v>
      </c>
      <c r="P57" s="12">
        <v>7251.33996820235</v>
      </c>
      <c r="Q57" s="12">
        <v>108.145981873196</v>
      </c>
      <c r="R57" s="12">
        <v>79.855104445538</v>
      </c>
      <c r="S57" s="12">
        <v>136.163744212038</v>
      </c>
      <c r="T57" s="12">
        <v>14716.4192743696</v>
      </c>
      <c r="U57" s="12">
        <v>252.184427819367</v>
      </c>
      <c r="V57" s="12">
        <v>5458.24848833238</v>
      </c>
      <c r="W57" s="12">
        <v>15201.4877845134</v>
      </c>
      <c r="X57" s="12">
        <v>560.192463120233</v>
      </c>
    </row>
    <row r="58">
      <c r="A58" s="8">
        <v>41883.0</v>
      </c>
      <c r="B58" s="9">
        <f>IFERROR(__xludf.DUMMYFUNCTION("""COMPUTED_VALUE"""),9802.0)</f>
        <v>9802</v>
      </c>
      <c r="C58" s="12">
        <v>4576.48523729919</v>
      </c>
      <c r="D58" s="12">
        <v>414.17836192471</v>
      </c>
      <c r="E58" s="12">
        <v>9425.0</v>
      </c>
      <c r="F58" s="12">
        <v>4304.9886390851</v>
      </c>
      <c r="G58" s="12">
        <v>9016.11504823353</v>
      </c>
      <c r="H58" s="12">
        <v>9425.0</v>
      </c>
      <c r="I58" s="12">
        <v>375.5625</v>
      </c>
      <c r="J58" s="12">
        <v>8507.32674028148</v>
      </c>
      <c r="K58" s="13">
        <v>1360.49517546606</v>
      </c>
      <c r="L58" s="13">
        <v>6705.4870072493</v>
      </c>
      <c r="M58" s="12">
        <v>915.798250673318</v>
      </c>
      <c r="N58" s="12">
        <v>4979.0</v>
      </c>
      <c r="O58" s="12">
        <v>1086.78811274499</v>
      </c>
      <c r="P58" s="12">
        <v>6846.76803673165</v>
      </c>
      <c r="Q58" s="12">
        <v>507.896540145428</v>
      </c>
      <c r="R58" s="12">
        <v>1797.53157447112</v>
      </c>
      <c r="S58" s="12">
        <v>995.34880630387</v>
      </c>
      <c r="T58" s="12">
        <v>7409.15108851914</v>
      </c>
      <c r="U58" s="12">
        <v>140.66657992942</v>
      </c>
      <c r="V58" s="12">
        <v>10582.9607102619</v>
      </c>
      <c r="W58" s="12">
        <v>10204.4410264588</v>
      </c>
      <c r="X58" s="12">
        <v>560.192463120233</v>
      </c>
    </row>
    <row r="59">
      <c r="A59" s="8">
        <v>41913.0</v>
      </c>
      <c r="B59" s="9">
        <f>IFERROR(__xludf.DUMMYFUNCTION("""COMPUTED_VALUE"""),6006.0)</f>
        <v>6006</v>
      </c>
      <c r="C59" s="12">
        <v>3632.88197359792</v>
      </c>
      <c r="D59" s="12">
        <v>-4.18701698870805</v>
      </c>
      <c r="E59" s="12">
        <v>4770.0</v>
      </c>
      <c r="F59" s="12">
        <v>6790.08505594587</v>
      </c>
      <c r="G59" s="12">
        <v>9019.53293884818</v>
      </c>
      <c r="H59" s="12">
        <v>4770.0</v>
      </c>
      <c r="I59" s="12">
        <v>524.1875</v>
      </c>
      <c r="J59" s="12">
        <v>8158.25666666667</v>
      </c>
      <c r="K59" s="13">
        <v>4627.24573397449</v>
      </c>
      <c r="L59" s="13">
        <v>5083.85001480202</v>
      </c>
      <c r="M59" s="12">
        <v>4626.27542353616</v>
      </c>
      <c r="N59" s="12">
        <v>4907.23967054313</v>
      </c>
      <c r="O59" s="12">
        <v>3516.61830357143</v>
      </c>
      <c r="P59" s="12">
        <v>48.1045773013729</v>
      </c>
      <c r="Q59" s="12">
        <v>4329.56485718192</v>
      </c>
      <c r="R59" s="12">
        <v>4770.0</v>
      </c>
      <c r="S59" s="12">
        <v>640.2</v>
      </c>
      <c r="T59" s="12">
        <v>5518.65722788859</v>
      </c>
      <c r="U59" s="12">
        <v>4842.20115849801</v>
      </c>
      <c r="V59" s="12">
        <v>5233.27102807506</v>
      </c>
      <c r="W59" s="12">
        <v>6373.99051910397</v>
      </c>
      <c r="X59" s="12">
        <v>560.192463120233</v>
      </c>
    </row>
    <row r="60">
      <c r="A60" s="8">
        <v>41944.0</v>
      </c>
      <c r="B60" s="9">
        <f>IFERROR(__xludf.DUMMYFUNCTION("""COMPUTED_VALUE"""),2880.0)</f>
        <v>2880</v>
      </c>
      <c r="C60" s="12">
        <v>2743.12706556911</v>
      </c>
      <c r="D60" s="12">
        <v>403.503555129227</v>
      </c>
      <c r="E60" s="12">
        <v>5200.0</v>
      </c>
      <c r="F60" s="12">
        <v>1527.15890825781</v>
      </c>
      <c r="G60" s="12">
        <v>5175.8</v>
      </c>
      <c r="H60" s="12">
        <v>5200.0</v>
      </c>
      <c r="I60" s="12">
        <v>1308.12590738701</v>
      </c>
      <c r="J60" s="12">
        <v>6937.39557409496</v>
      </c>
      <c r="K60" s="13">
        <v>3136.10878805285</v>
      </c>
      <c r="L60" s="13">
        <v>5689.47184967944</v>
      </c>
      <c r="M60" s="12">
        <v>2780.60812461707</v>
      </c>
      <c r="N60" s="12">
        <v>5082.61651593892</v>
      </c>
      <c r="O60" s="12">
        <v>3341.30239331963</v>
      </c>
      <c r="P60" s="12">
        <v>410.905913945814</v>
      </c>
      <c r="Q60" s="12">
        <v>2239.10200777729</v>
      </c>
      <c r="R60" s="12">
        <v>81.8076995108452</v>
      </c>
      <c r="S60" s="12">
        <v>777.006501826834</v>
      </c>
      <c r="T60" s="12">
        <v>514.055963132016</v>
      </c>
      <c r="U60" s="12">
        <v>3217.13682561642</v>
      </c>
      <c r="V60" s="12">
        <v>4929.54256680861</v>
      </c>
      <c r="W60" s="12">
        <v>5021.69499478063</v>
      </c>
      <c r="X60" s="12">
        <v>831.002089338318</v>
      </c>
    </row>
    <row r="61">
      <c r="A61" s="8">
        <v>41974.0</v>
      </c>
      <c r="B61" s="9">
        <f>IFERROR(__xludf.DUMMYFUNCTION("""COMPUTED_VALUE"""),1710.0)</f>
        <v>1710</v>
      </c>
      <c r="C61" s="12">
        <v>2174.45576029917</v>
      </c>
      <c r="D61" s="12">
        <v>133.203091272268</v>
      </c>
      <c r="E61" s="12">
        <v>2015.10161831277</v>
      </c>
      <c r="F61" s="12">
        <v>761.362339446051</v>
      </c>
      <c r="G61" s="12">
        <v>1300.67288899426</v>
      </c>
      <c r="H61" s="12">
        <v>408.081221899087</v>
      </c>
      <c r="I61" s="12">
        <v>817.342494004766</v>
      </c>
      <c r="J61" s="12">
        <v>632.4699859716</v>
      </c>
      <c r="K61" s="13">
        <v>1951.82293574669</v>
      </c>
      <c r="L61" s="13">
        <v>1879.41917913212</v>
      </c>
      <c r="M61" s="12">
        <v>1902.21056685302</v>
      </c>
      <c r="N61" s="12">
        <v>1241.85631030169</v>
      </c>
      <c r="O61" s="12">
        <v>2651.62202380952</v>
      </c>
      <c r="P61" s="12">
        <v>529.129732313002</v>
      </c>
      <c r="Q61" s="12">
        <v>458.840100919207</v>
      </c>
      <c r="R61" s="12">
        <v>0.0</v>
      </c>
      <c r="S61" s="12">
        <v>583.0</v>
      </c>
      <c r="T61" s="12">
        <v>3679.10481859239</v>
      </c>
      <c r="U61" s="12">
        <v>27133.7257513145</v>
      </c>
      <c r="V61" s="12">
        <v>486.708185656494</v>
      </c>
      <c r="W61" s="12">
        <v>1486.18803328465</v>
      </c>
      <c r="X61" s="12">
        <v>396.057961168161</v>
      </c>
    </row>
    <row r="62">
      <c r="A62" s="8">
        <v>42005.0</v>
      </c>
      <c r="B62" s="9">
        <f>IFERROR(__xludf.DUMMYFUNCTION("""COMPUTED_VALUE"""),450.0)</f>
        <v>450</v>
      </c>
      <c r="C62" s="12">
        <v>-1285.39281567184</v>
      </c>
      <c r="D62" s="12">
        <v>273.798021818313</v>
      </c>
      <c r="E62" s="12">
        <v>861.0</v>
      </c>
      <c r="F62" s="12">
        <v>905.090944950272</v>
      </c>
      <c r="G62" s="12">
        <v>86.7247745892987</v>
      </c>
      <c r="H62" s="12">
        <v>861.0</v>
      </c>
      <c r="I62" s="12">
        <v>374.875</v>
      </c>
      <c r="J62" s="12">
        <v>2406.78231477146</v>
      </c>
      <c r="K62" s="13">
        <v>600.932821997796</v>
      </c>
      <c r="L62" s="13">
        <v>1354.32621955313</v>
      </c>
      <c r="M62" s="12">
        <v>575.479142424452</v>
      </c>
      <c r="N62" s="12">
        <v>970.445033382993</v>
      </c>
      <c r="O62" s="12">
        <v>458.625993295902</v>
      </c>
      <c r="P62" s="12">
        <v>738.268669730412</v>
      </c>
      <c r="Q62" s="12">
        <v>359.868160028059</v>
      </c>
      <c r="R62" s="12">
        <v>0.0862117032312891</v>
      </c>
      <c r="S62" s="12">
        <v>243.074256838298</v>
      </c>
      <c r="T62" s="12">
        <v>636.352276088295</v>
      </c>
      <c r="U62" s="12">
        <v>909.929683403507</v>
      </c>
      <c r="V62" s="12">
        <v>461.063638668594</v>
      </c>
      <c r="W62" s="12">
        <v>482.0</v>
      </c>
      <c r="X62" s="12">
        <v>953.877627878291</v>
      </c>
    </row>
    <row r="63">
      <c r="A63" s="8">
        <v>42036.0</v>
      </c>
      <c r="B63" s="9">
        <f>IFERROR(__xludf.DUMMYFUNCTION("""COMPUTED_VALUE"""),217.0)</f>
        <v>217</v>
      </c>
      <c r="C63" s="12">
        <v>-2282.77663810559</v>
      </c>
      <c r="D63" s="12">
        <v>105.455255162856</v>
      </c>
      <c r="E63" s="12">
        <v>616.743678493981</v>
      </c>
      <c r="F63" s="12">
        <v>433.55489107727</v>
      </c>
      <c r="G63" s="12">
        <v>445.0</v>
      </c>
      <c r="H63" s="12">
        <v>249.69646104259</v>
      </c>
      <c r="I63" s="12">
        <v>335.875</v>
      </c>
      <c r="J63" s="12">
        <v>1029.52609094327</v>
      </c>
      <c r="K63" s="13">
        <v>560.173952572091</v>
      </c>
      <c r="L63" s="13">
        <v>231.381283609891</v>
      </c>
      <c r="M63" s="12">
        <v>93.3838321183032</v>
      </c>
      <c r="N63" s="12">
        <v>293.027883294261</v>
      </c>
      <c r="O63" s="12">
        <v>264.169140212951</v>
      </c>
      <c r="P63" s="12">
        <v>387.11627602548</v>
      </c>
      <c r="Q63" s="12">
        <v>0.0</v>
      </c>
      <c r="R63" s="12">
        <v>24.9711441724929</v>
      </c>
      <c r="S63" s="12">
        <v>279.8</v>
      </c>
      <c r="T63" s="12">
        <v>270.879145984275</v>
      </c>
      <c r="U63" s="12">
        <v>-5.80268594922624</v>
      </c>
      <c r="V63" s="12">
        <v>483.850207994443</v>
      </c>
      <c r="W63" s="12">
        <v>292.0</v>
      </c>
      <c r="X63" s="12">
        <v>33.9510583709232</v>
      </c>
    </row>
    <row r="64">
      <c r="A64" s="8">
        <v>42064.0</v>
      </c>
      <c r="B64" s="9">
        <f>IFERROR(__xludf.DUMMYFUNCTION("""COMPUTED_VALUE"""),227.0)</f>
        <v>227</v>
      </c>
      <c r="C64" s="12">
        <v>-2462.80574250087</v>
      </c>
      <c r="D64" s="12">
        <v>292.231885742531</v>
      </c>
      <c r="E64" s="12">
        <v>238.0</v>
      </c>
      <c r="F64" s="12">
        <v>363.169869601945</v>
      </c>
      <c r="G64" s="12">
        <v>1646.1036826186</v>
      </c>
      <c r="H64" s="12">
        <v>311.57552753106</v>
      </c>
      <c r="I64" s="12">
        <v>324.75</v>
      </c>
      <c r="J64" s="12">
        <v>1030.33</v>
      </c>
      <c r="K64" s="13">
        <v>618.180056837205</v>
      </c>
      <c r="L64" s="13">
        <v>611.386775887851</v>
      </c>
      <c r="M64" s="12">
        <v>677.424148136142</v>
      </c>
      <c r="N64" s="12">
        <v>296.992010124224</v>
      </c>
      <c r="O64" s="12">
        <v>5.66868983647031</v>
      </c>
      <c r="P64" s="12">
        <v>218.465183893589</v>
      </c>
      <c r="Q64" s="12">
        <v>191.196064730705</v>
      </c>
      <c r="R64" s="12">
        <v>0.0</v>
      </c>
      <c r="S64" s="12">
        <v>461.254778146204</v>
      </c>
      <c r="T64" s="12">
        <v>230.44942270304</v>
      </c>
      <c r="U64" s="12">
        <v>-186.8605122801</v>
      </c>
      <c r="V64" s="12">
        <v>882.041008795796</v>
      </c>
      <c r="W64" s="12">
        <v>266.0</v>
      </c>
      <c r="X64" s="12">
        <v>356.442051071326</v>
      </c>
    </row>
    <row r="65">
      <c r="A65" s="8">
        <v>42095.0</v>
      </c>
      <c r="B65" s="9">
        <f>IFERROR(__xludf.DUMMYFUNCTION("""COMPUTED_VALUE"""),191.0)</f>
        <v>191</v>
      </c>
      <c r="C65" s="12">
        <v>-2139.70972404877</v>
      </c>
      <c r="D65" s="12">
        <v>382.922225848928</v>
      </c>
      <c r="E65" s="12">
        <v>298.325925925926</v>
      </c>
      <c r="F65" s="12">
        <v>588.517196167164</v>
      </c>
      <c r="G65" s="12">
        <v>1999.68027160329</v>
      </c>
      <c r="H65" s="12">
        <v>589.806894881805</v>
      </c>
      <c r="I65" s="12">
        <v>296.3125</v>
      </c>
      <c r="J65" s="12">
        <v>352.421991893133</v>
      </c>
      <c r="K65" s="13">
        <v>-648.0</v>
      </c>
      <c r="L65" s="13">
        <v>97.4239630549438</v>
      </c>
      <c r="M65" s="12">
        <v>12114.0621001694</v>
      </c>
      <c r="N65" s="12">
        <v>261.018377479569</v>
      </c>
      <c r="O65" s="12">
        <v>4786.26278634888</v>
      </c>
      <c r="P65" s="12">
        <v>524.586706829473</v>
      </c>
      <c r="Q65" s="12">
        <v>0.0</v>
      </c>
      <c r="R65" s="12">
        <v>60.2878416099628</v>
      </c>
      <c r="S65" s="12">
        <v>169.415491099133</v>
      </c>
      <c r="T65" s="12">
        <v>503.013470082662</v>
      </c>
      <c r="U65" s="12">
        <v>-115.411605090232</v>
      </c>
      <c r="V65" s="12">
        <v>390.71854618631</v>
      </c>
      <c r="W65" s="12">
        <v>238.0</v>
      </c>
      <c r="X65" s="12">
        <v>55.1704698527503</v>
      </c>
    </row>
    <row r="66">
      <c r="A66" s="8">
        <v>42125.0</v>
      </c>
      <c r="B66" s="9">
        <f>IFERROR(__xludf.DUMMYFUNCTION("""COMPUTED_VALUE"""),238.0)</f>
        <v>238</v>
      </c>
      <c r="C66" s="12">
        <v>-1756.10152740168</v>
      </c>
      <c r="D66" s="12">
        <v>312.078217576741</v>
      </c>
      <c r="E66" s="12">
        <v>473.181703821112</v>
      </c>
      <c r="F66" s="12">
        <v>440.652684355338</v>
      </c>
      <c r="G66" s="12">
        <v>5686.43372590679</v>
      </c>
      <c r="H66" s="12">
        <v>152.293039285093</v>
      </c>
      <c r="I66" s="12">
        <v>298.8125</v>
      </c>
      <c r="J66" s="12">
        <v>830.788182074689</v>
      </c>
      <c r="K66" s="13">
        <v>-1603.22067324763</v>
      </c>
      <c r="L66" s="13">
        <v>481.501070331022</v>
      </c>
      <c r="M66" s="12">
        <v>4123.90024881343</v>
      </c>
      <c r="N66" s="12">
        <v>641.17173019521</v>
      </c>
      <c r="O66" s="12">
        <v>4172.18172868642</v>
      </c>
      <c r="P66" s="12">
        <v>442.588494765656</v>
      </c>
      <c r="Q66" s="12">
        <v>0.0</v>
      </c>
      <c r="R66" s="12">
        <v>24.1906349750454</v>
      </c>
      <c r="S66" s="12">
        <v>113.369009385976</v>
      </c>
      <c r="T66" s="12">
        <v>420.312895436538</v>
      </c>
      <c r="U66" s="12">
        <v>119.516485619171</v>
      </c>
      <c r="V66" s="12">
        <v>319.107320663832</v>
      </c>
      <c r="W66" s="12">
        <v>418.0</v>
      </c>
      <c r="X66" s="12">
        <v>209.926587556385</v>
      </c>
    </row>
    <row r="67">
      <c r="A67" s="8">
        <v>42156.0</v>
      </c>
      <c r="B67" s="9">
        <f>IFERROR(__xludf.DUMMYFUNCTION("""COMPUTED_VALUE"""),99.0)</f>
        <v>99</v>
      </c>
      <c r="C67" s="12">
        <v>10.3595101296061</v>
      </c>
      <c r="D67" s="12">
        <v>222.711754330236</v>
      </c>
      <c r="E67" s="12">
        <v>467.845895931009</v>
      </c>
      <c r="F67" s="12">
        <v>469.919624687608</v>
      </c>
      <c r="G67" s="12">
        <v>256.262329821087</v>
      </c>
      <c r="H67" s="12">
        <v>908.151860357534</v>
      </c>
      <c r="I67" s="12">
        <v>326.9375</v>
      </c>
      <c r="J67" s="12">
        <v>-636.128221356654</v>
      </c>
      <c r="K67" s="13">
        <v>-3083.0857407773</v>
      </c>
      <c r="L67" s="13">
        <v>373.692754667914</v>
      </c>
      <c r="M67" s="12">
        <v>0.2674801341384</v>
      </c>
      <c r="N67" s="12">
        <v>359.260532024938</v>
      </c>
      <c r="O67" s="12">
        <v>122.693933274298</v>
      </c>
      <c r="P67" s="12">
        <v>157.0</v>
      </c>
      <c r="Q67" s="12">
        <v>0.0</v>
      </c>
      <c r="R67" s="12">
        <v>0.0</v>
      </c>
      <c r="S67" s="12">
        <v>174.75</v>
      </c>
      <c r="T67" s="12">
        <v>189.21110495618</v>
      </c>
      <c r="U67" s="12">
        <v>-16.6727875503349</v>
      </c>
      <c r="V67" s="12">
        <v>230.715170526772</v>
      </c>
      <c r="W67" s="12">
        <v>150.0</v>
      </c>
      <c r="X67" s="12">
        <v>42.4388229636541</v>
      </c>
    </row>
    <row r="68">
      <c r="A68" s="8">
        <v>42186.0</v>
      </c>
      <c r="B68" s="9">
        <f>IFERROR(__xludf.DUMMYFUNCTION("""COMPUTED_VALUE"""),562.0)</f>
        <v>562</v>
      </c>
      <c r="C68" s="12">
        <v>2.67847246863682</v>
      </c>
      <c r="D68" s="12">
        <v>207.072272151564</v>
      </c>
      <c r="E68" s="12">
        <v>553.0</v>
      </c>
      <c r="F68" s="12">
        <v>473.325515977707</v>
      </c>
      <c r="G68" s="12">
        <v>393.470558003999</v>
      </c>
      <c r="H68" s="12">
        <v>401.5</v>
      </c>
      <c r="I68" s="12">
        <v>563.25</v>
      </c>
      <c r="J68" s="12">
        <v>291.415873775119</v>
      </c>
      <c r="K68" s="13">
        <v>498.17279625949</v>
      </c>
      <c r="L68" s="13">
        <v>412.303110870851</v>
      </c>
      <c r="M68" s="12">
        <v>1.1278695461348</v>
      </c>
      <c r="N68" s="12">
        <v>332.523944569187</v>
      </c>
      <c r="O68" s="12">
        <v>103.725477353166</v>
      </c>
      <c r="P68" s="12">
        <v>281.0</v>
      </c>
      <c r="Q68" s="12">
        <v>63.0925731299448</v>
      </c>
      <c r="R68" s="12">
        <v>0.0</v>
      </c>
      <c r="S68" s="12">
        <v>145.25</v>
      </c>
      <c r="T68" s="12">
        <v>420.658588058968</v>
      </c>
      <c r="U68" s="12">
        <v>69.2959321999537</v>
      </c>
      <c r="V68" s="12">
        <v>229.318777430107</v>
      </c>
      <c r="W68" s="12">
        <v>124.0</v>
      </c>
      <c r="X68" s="12">
        <v>140.860308741508</v>
      </c>
    </row>
    <row r="69">
      <c r="A69" s="8">
        <v>42217.0</v>
      </c>
      <c r="B69" s="9">
        <f>IFERROR(__xludf.DUMMYFUNCTION("""COMPUTED_VALUE"""),1501.0)</f>
        <v>1501</v>
      </c>
      <c r="C69" s="12">
        <v>0.72683875649203</v>
      </c>
      <c r="D69" s="12">
        <v>589.839938540014</v>
      </c>
      <c r="E69" s="12">
        <v>-113.0</v>
      </c>
      <c r="F69" s="12">
        <v>168.24785235002</v>
      </c>
      <c r="G69" s="12">
        <v>1195.78771871815</v>
      </c>
      <c r="H69" s="12">
        <v>289.0</v>
      </c>
      <c r="I69" s="12">
        <v>563.1875</v>
      </c>
      <c r="J69" s="12">
        <v>-368.60820152552</v>
      </c>
      <c r="K69" s="13">
        <v>1587.17572739817</v>
      </c>
      <c r="L69" s="13">
        <v>292.574307676483</v>
      </c>
      <c r="M69" s="12">
        <v>1.97377170573591</v>
      </c>
      <c r="N69" s="12">
        <v>152.794963547845</v>
      </c>
      <c r="O69" s="12">
        <v>37.9274872498581</v>
      </c>
      <c r="P69" s="12">
        <v>2322.0</v>
      </c>
      <c r="Q69" s="12">
        <v>541.307246394744</v>
      </c>
      <c r="R69" s="12">
        <v>1070.99787138722</v>
      </c>
      <c r="S69" s="12">
        <v>142.75</v>
      </c>
      <c r="T69" s="12">
        <v>65.6624951155589</v>
      </c>
      <c r="U69" s="12">
        <v>106.149004307143</v>
      </c>
      <c r="V69" s="12">
        <v>-35.8585260330469</v>
      </c>
      <c r="W69" s="12">
        <v>30.0</v>
      </c>
      <c r="X69" s="12">
        <v>166.682705260019</v>
      </c>
    </row>
    <row r="70">
      <c r="A70" s="8">
        <v>42248.0</v>
      </c>
      <c r="B70" s="9">
        <f>IFERROR(__xludf.DUMMYFUNCTION("""COMPUTED_VALUE"""),290.0)</f>
        <v>290</v>
      </c>
      <c r="C70" s="12">
        <v>-2191.10130557261</v>
      </c>
      <c r="D70" s="12">
        <v>419.838516488323</v>
      </c>
      <c r="E70" s="12">
        <v>171.0</v>
      </c>
      <c r="F70" s="12">
        <v>259.562085286718</v>
      </c>
      <c r="G70" s="12">
        <v>476.149004778863</v>
      </c>
      <c r="H70" s="12">
        <v>171.0</v>
      </c>
      <c r="I70" s="12">
        <v>554.75</v>
      </c>
      <c r="J70" s="12">
        <v>-338.488571428571</v>
      </c>
      <c r="K70" s="13">
        <v>165.0</v>
      </c>
      <c r="L70" s="13">
        <v>776.091488984425</v>
      </c>
      <c r="M70" s="12">
        <v>-486.147997217693</v>
      </c>
      <c r="N70" s="12">
        <v>457.88745616915</v>
      </c>
      <c r="O70" s="12">
        <v>262.253632537789</v>
      </c>
      <c r="P70" s="12">
        <v>272.0</v>
      </c>
      <c r="Q70" s="12">
        <v>0.0</v>
      </c>
      <c r="R70" s="12">
        <v>107.256365774889</v>
      </c>
      <c r="S70" s="12">
        <v>127.0</v>
      </c>
      <c r="T70" s="12">
        <v>390.551126896731</v>
      </c>
      <c r="U70" s="12">
        <v>194.271742658556</v>
      </c>
      <c r="V70" s="12">
        <v>201.05743215996</v>
      </c>
      <c r="W70" s="12">
        <v>330.0</v>
      </c>
      <c r="X70" s="12">
        <v>69.3200728864017</v>
      </c>
    </row>
    <row r="71">
      <c r="A71" s="8">
        <v>42278.0</v>
      </c>
      <c r="B71" s="9">
        <f>IFERROR(__xludf.DUMMYFUNCTION("""COMPUTED_VALUE"""),121.0)</f>
        <v>121</v>
      </c>
      <c r="C71" s="12">
        <v>-2033.18924913884</v>
      </c>
      <c r="D71" s="12">
        <v>156.228933710409</v>
      </c>
      <c r="E71" s="12">
        <v>-469.8306292678</v>
      </c>
      <c r="F71" s="12">
        <v>-380.981895863525</v>
      </c>
      <c r="G71" s="12">
        <v>365.312234552928</v>
      </c>
      <c r="H71" s="12">
        <v>315.0</v>
      </c>
      <c r="I71" s="12">
        <v>479.1875</v>
      </c>
      <c r="J71" s="12">
        <v>-818.489152806448</v>
      </c>
      <c r="K71" s="13">
        <v>75.4061803249143</v>
      </c>
      <c r="L71" s="13">
        <v>352.021353858742</v>
      </c>
      <c r="M71" s="12">
        <v>90.6243137907301</v>
      </c>
      <c r="N71" s="12">
        <v>260.335043683744</v>
      </c>
      <c r="O71" s="12">
        <v>153.558117741921</v>
      </c>
      <c r="P71" s="12">
        <v>725.0</v>
      </c>
      <c r="Q71" s="12">
        <v>0.0</v>
      </c>
      <c r="R71" s="12">
        <v>18.0</v>
      </c>
      <c r="S71" s="12">
        <v>67.25</v>
      </c>
      <c r="T71" s="12">
        <v>394.990268214947</v>
      </c>
      <c r="U71" s="12">
        <v>196.272726567686</v>
      </c>
      <c r="V71" s="12">
        <v>5.54521886697188</v>
      </c>
      <c r="W71" s="12">
        <v>160.0</v>
      </c>
      <c r="X71" s="12">
        <v>-524.126286398195</v>
      </c>
    </row>
    <row r="72">
      <c r="A72" s="8">
        <v>42309.0</v>
      </c>
      <c r="B72" s="9">
        <f>IFERROR(__xludf.DUMMYFUNCTION("""COMPUTED_VALUE"""),280.0)</f>
        <v>280</v>
      </c>
      <c r="C72" s="12">
        <v>-1178.95989964837</v>
      </c>
      <c r="D72" s="12">
        <v>-3707.25013757897</v>
      </c>
      <c r="E72" s="12">
        <v>-941.523333333333</v>
      </c>
      <c r="F72" s="12">
        <v>-1902.66042366919</v>
      </c>
      <c r="G72" s="12">
        <v>460.01464106106</v>
      </c>
      <c r="H72" s="12">
        <v>859.5</v>
      </c>
      <c r="I72" s="12">
        <v>308.0625</v>
      </c>
      <c r="J72" s="12">
        <v>-857.835239687007</v>
      </c>
      <c r="K72" s="13">
        <v>133.134206521894</v>
      </c>
      <c r="L72" s="13">
        <v>227.097695720156</v>
      </c>
      <c r="M72" s="12">
        <v>5.07541295760662</v>
      </c>
      <c r="N72" s="12">
        <v>272.033193831318</v>
      </c>
      <c r="O72" s="12">
        <v>374.145588076921</v>
      </c>
      <c r="P72" s="12">
        <v>697.0</v>
      </c>
      <c r="Q72" s="12">
        <v>291.0</v>
      </c>
      <c r="R72" s="12">
        <v>507.314781183418</v>
      </c>
      <c r="S72" s="12">
        <v>86.2</v>
      </c>
      <c r="T72" s="12">
        <v>120.874842287823</v>
      </c>
      <c r="U72" s="12">
        <v>-322.003679625478</v>
      </c>
      <c r="V72" s="12">
        <v>562.580402332305</v>
      </c>
      <c r="W72" s="12">
        <v>154.0</v>
      </c>
      <c r="X72" s="12">
        <v>48.0</v>
      </c>
    </row>
    <row r="73">
      <c r="A73" s="8">
        <v>42339.0</v>
      </c>
      <c r="B73" s="9">
        <f>IFERROR(__xludf.DUMMYFUNCTION("""COMPUTED_VALUE"""),47.0)</f>
        <v>47</v>
      </c>
      <c r="C73" s="12">
        <v>-978.657107423175</v>
      </c>
      <c r="D73" s="12">
        <v>162.651808460724</v>
      </c>
      <c r="E73" s="12">
        <v>135.0</v>
      </c>
      <c r="F73" s="12">
        <v>74.1963202072353</v>
      </c>
      <c r="G73" s="12">
        <v>188.82310997735</v>
      </c>
      <c r="H73" s="12">
        <v>370.0</v>
      </c>
      <c r="I73" s="12">
        <v>312.8125</v>
      </c>
      <c r="J73" s="12">
        <v>-562.211902031266</v>
      </c>
      <c r="K73" s="13">
        <v>428.158825757709</v>
      </c>
      <c r="L73" s="13">
        <v>-248.109576719577</v>
      </c>
      <c r="M73" s="12">
        <v>118.071514902308</v>
      </c>
      <c r="N73" s="12">
        <v>154.245836717882</v>
      </c>
      <c r="O73" s="12">
        <v>-4.95543005447167</v>
      </c>
      <c r="P73" s="12">
        <v>256.0</v>
      </c>
      <c r="Q73" s="12">
        <v>266.0</v>
      </c>
      <c r="R73" s="12">
        <v>28.538450482849</v>
      </c>
      <c r="S73" s="12">
        <v>61.8</v>
      </c>
      <c r="T73" s="12">
        <v>171.804407555903</v>
      </c>
      <c r="U73" s="12">
        <v>100.371239088929</v>
      </c>
      <c r="V73" s="12">
        <v>107.987732808765</v>
      </c>
      <c r="W73" s="12">
        <v>56.0</v>
      </c>
      <c r="X73" s="12">
        <v>424.858714324407</v>
      </c>
    </row>
    <row r="74">
      <c r="A74" s="8">
        <v>42370.0</v>
      </c>
      <c r="B74" s="9">
        <f>IFERROR(__xludf.DUMMYFUNCTION("""COMPUTED_VALUE"""),212.0)</f>
        <v>212</v>
      </c>
      <c r="C74" s="12">
        <v>-877.288780837919</v>
      </c>
      <c r="D74" s="12">
        <v>189.139598267499</v>
      </c>
      <c r="E74" s="12">
        <v>40.0</v>
      </c>
      <c r="F74" s="12">
        <v>39.4360648528164</v>
      </c>
      <c r="G74" s="12">
        <v>943.860956914742</v>
      </c>
      <c r="H74" s="12">
        <v>222.828762743452</v>
      </c>
      <c r="I74" s="12">
        <v>362.058823529412</v>
      </c>
      <c r="J74" s="12">
        <v>638.391785603958</v>
      </c>
      <c r="K74" s="13">
        <v>274.303096880789</v>
      </c>
      <c r="L74" s="13">
        <v>59.0166666666667</v>
      </c>
      <c r="M74" s="12">
        <v>906.709718192984</v>
      </c>
      <c r="N74" s="12">
        <v>72.1666666666667</v>
      </c>
      <c r="O74" s="12">
        <v>85.2277986798979</v>
      </c>
      <c r="P74" s="12">
        <v>618.0</v>
      </c>
      <c r="Q74" s="12">
        <v>572.0</v>
      </c>
      <c r="R74" s="12">
        <v>201.986440656361</v>
      </c>
      <c r="S74" s="12">
        <v>133.906576081282</v>
      </c>
      <c r="T74" s="12">
        <v>151.207165071819</v>
      </c>
      <c r="U74" s="12">
        <v>183.795832205082</v>
      </c>
      <c r="V74" s="12">
        <v>78.3790273331814</v>
      </c>
      <c r="W74" s="12">
        <v>-184.257612202563</v>
      </c>
      <c r="X74" s="12">
        <v>156.0</v>
      </c>
    </row>
    <row r="75">
      <c r="A75" s="8">
        <v>42401.0</v>
      </c>
      <c r="B75" s="9">
        <f>IFERROR(__xludf.DUMMYFUNCTION("""COMPUTED_VALUE"""),884.0)</f>
        <v>884</v>
      </c>
      <c r="C75" s="12">
        <v>-2068.23209704439</v>
      </c>
      <c r="D75" s="12">
        <v>714.755054462724</v>
      </c>
      <c r="E75" s="12">
        <v>1558.57244201175</v>
      </c>
      <c r="F75" s="12">
        <v>958.360178025229</v>
      </c>
      <c r="G75" s="12">
        <v>948.408998581441</v>
      </c>
      <c r="H75" s="12">
        <v>354.86753118177</v>
      </c>
      <c r="I75" s="12">
        <v>359.352941176471</v>
      </c>
      <c r="J75" s="12">
        <v>-852.238095238095</v>
      </c>
      <c r="K75" s="13">
        <v>1012.24015140491</v>
      </c>
      <c r="L75" s="13">
        <v>445.586799502731</v>
      </c>
      <c r="M75" s="12">
        <v>135.287044149343</v>
      </c>
      <c r="N75" s="12">
        <v>448.102462013264</v>
      </c>
      <c r="O75" s="12">
        <v>289.603502309343</v>
      </c>
      <c r="P75" s="12">
        <v>218.085949599874</v>
      </c>
      <c r="Q75" s="12">
        <v>0.0</v>
      </c>
      <c r="R75" s="12">
        <v>2120.3</v>
      </c>
      <c r="S75" s="12">
        <v>233.0</v>
      </c>
      <c r="T75" s="12">
        <v>381.8344924419</v>
      </c>
      <c r="U75" s="12">
        <v>80.7679097056389</v>
      </c>
      <c r="V75" s="12">
        <v>434.364316707589</v>
      </c>
      <c r="W75" s="12">
        <v>286.0</v>
      </c>
      <c r="X75" s="12">
        <v>125.438822963654</v>
      </c>
    </row>
    <row r="76">
      <c r="A76" s="8">
        <v>42430.0</v>
      </c>
      <c r="B76" s="9">
        <f>IFERROR(__xludf.DUMMYFUNCTION("""COMPUTED_VALUE"""),2174.0)</f>
        <v>2174</v>
      </c>
      <c r="C76" s="12">
        <v>-2105.78649596205</v>
      </c>
      <c r="D76" s="12">
        <v>603.384992670502</v>
      </c>
      <c r="E76" s="12">
        <v>432.0</v>
      </c>
      <c r="F76" s="12">
        <v>1430.75690191702</v>
      </c>
      <c r="G76" s="12">
        <v>956.951458802549</v>
      </c>
      <c r="H76" s="12">
        <v>535.240146637555</v>
      </c>
      <c r="I76" s="12">
        <v>584.882352941176</v>
      </c>
      <c r="J76" s="12">
        <v>-823.157142857143</v>
      </c>
      <c r="K76" s="13">
        <v>2004.44140077369</v>
      </c>
      <c r="L76" s="13">
        <v>906.479069087931</v>
      </c>
      <c r="M76" s="12">
        <v>212.952134169975</v>
      </c>
      <c r="N76" s="12">
        <v>1539.4142240266</v>
      </c>
      <c r="O76" s="12">
        <v>202.685711348629</v>
      </c>
      <c r="P76" s="12">
        <v>199.42</v>
      </c>
      <c r="Q76" s="12">
        <v>1936.0</v>
      </c>
      <c r="R76" s="12">
        <v>2074.1825</v>
      </c>
      <c r="S76" s="12">
        <v>312.5</v>
      </c>
      <c r="T76" s="12">
        <v>182.742349231182</v>
      </c>
      <c r="U76" s="12">
        <v>151.740940294884</v>
      </c>
      <c r="V76" s="12">
        <v>189.612677881049</v>
      </c>
      <c r="W76" s="12">
        <v>399.198319229771</v>
      </c>
      <c r="X76" s="12">
        <v>350.0</v>
      </c>
    </row>
    <row r="77">
      <c r="A77" s="8">
        <v>42461.0</v>
      </c>
      <c r="B77" s="9">
        <f>IFERROR(__xludf.DUMMYFUNCTION("""COMPUTED_VALUE"""),1798.0)</f>
        <v>1798</v>
      </c>
      <c r="C77" s="12">
        <v>-712.419593179132</v>
      </c>
      <c r="D77" s="12">
        <v>767.293378001844</v>
      </c>
      <c r="E77" s="12">
        <v>34.0</v>
      </c>
      <c r="F77" s="12">
        <v>1203.97368121659</v>
      </c>
      <c r="G77" s="12">
        <v>646.8</v>
      </c>
      <c r="H77" s="12">
        <v>1152.0</v>
      </c>
      <c r="I77" s="12">
        <v>704.027242234354</v>
      </c>
      <c r="J77" s="12">
        <v>-555.020216366667</v>
      </c>
      <c r="K77" s="13">
        <v>83.344497509239</v>
      </c>
      <c r="L77" s="13">
        <v>813.520342182003</v>
      </c>
      <c r="M77" s="12">
        <v>90.0328606763726</v>
      </c>
      <c r="N77" s="12">
        <v>359.783553896232</v>
      </c>
      <c r="O77" s="12">
        <v>106.158165594834</v>
      </c>
      <c r="P77" s="12">
        <v>415.0</v>
      </c>
      <c r="Q77" s="12">
        <v>0.0</v>
      </c>
      <c r="R77" s="12">
        <v>202.49</v>
      </c>
      <c r="S77" s="12">
        <v>286.993049916472</v>
      </c>
      <c r="T77" s="12">
        <v>1227.06770340113</v>
      </c>
      <c r="U77" s="12">
        <v>280.914840847506</v>
      </c>
      <c r="V77" s="12">
        <v>250.419828668601</v>
      </c>
      <c r="W77" s="12">
        <v>304.327941619995</v>
      </c>
      <c r="X77" s="12">
        <v>1824.0</v>
      </c>
    </row>
    <row r="78">
      <c r="A78" s="8">
        <v>42491.0</v>
      </c>
      <c r="B78" s="9">
        <f>IFERROR(__xludf.DUMMYFUNCTION("""COMPUTED_VALUE"""),1282.0)</f>
        <v>1282</v>
      </c>
      <c r="C78" s="12">
        <v>-2323.96117524409</v>
      </c>
      <c r="D78" s="12">
        <v>459.434312457709</v>
      </c>
      <c r="E78" s="12">
        <v>136.621085841111</v>
      </c>
      <c r="F78" s="12">
        <v>1475.07768554731</v>
      </c>
      <c r="G78" s="12">
        <v>906.325</v>
      </c>
      <c r="H78" s="12">
        <v>2622.34967807865</v>
      </c>
      <c r="I78" s="12">
        <v>752.470588235294</v>
      </c>
      <c r="J78" s="12">
        <v>-423.376803939402</v>
      </c>
      <c r="K78" s="13">
        <v>682.916795439248</v>
      </c>
      <c r="L78" s="13">
        <v>694.442552098746</v>
      </c>
      <c r="M78" s="12">
        <v>939.997325591048</v>
      </c>
      <c r="N78" s="12">
        <v>671.299374469249</v>
      </c>
      <c r="O78" s="12">
        <v>1758.37772386494</v>
      </c>
      <c r="P78" s="12">
        <v>1285.01020479211</v>
      </c>
      <c r="Q78" s="12">
        <v>972.0</v>
      </c>
      <c r="R78" s="12">
        <v>1339.15166666667</v>
      </c>
      <c r="S78" s="12">
        <v>1412.09758412759</v>
      </c>
      <c r="T78" s="12">
        <v>2337.92636341478</v>
      </c>
      <c r="U78" s="12">
        <v>374.924563447181</v>
      </c>
      <c r="V78" s="12">
        <v>1588.20738618407</v>
      </c>
      <c r="W78" s="12">
        <v>569.200252545265</v>
      </c>
      <c r="X78" s="12">
        <v>257.660573860255</v>
      </c>
    </row>
    <row r="79">
      <c r="A79" s="8">
        <v>42522.0</v>
      </c>
      <c r="B79" s="9">
        <f>IFERROR(__xludf.DUMMYFUNCTION("""COMPUTED_VALUE"""),1015.0)</f>
        <v>1015</v>
      </c>
      <c r="C79" s="12">
        <v>226.978073492721</v>
      </c>
      <c r="D79" s="12">
        <v>156.8</v>
      </c>
      <c r="E79" s="12">
        <v>813.90487435928</v>
      </c>
      <c r="F79" s="12">
        <v>709.458308344241</v>
      </c>
      <c r="G79" s="12">
        <v>545.275</v>
      </c>
      <c r="H79" s="12">
        <v>1210.00827423567</v>
      </c>
      <c r="I79" s="12">
        <v>2101.0411371227</v>
      </c>
      <c r="J79" s="12">
        <v>509.002275234391</v>
      </c>
      <c r="K79" s="13">
        <v>2793.91690176895</v>
      </c>
      <c r="L79" s="13">
        <v>392.528692314701</v>
      </c>
      <c r="M79" s="12">
        <v>2813.75059805586</v>
      </c>
      <c r="N79" s="12">
        <v>460.126204014384</v>
      </c>
      <c r="O79" s="12">
        <v>1602.16223953718</v>
      </c>
      <c r="P79" s="12">
        <v>309.807558130319</v>
      </c>
      <c r="Q79" s="12">
        <v>665.193553477278</v>
      </c>
      <c r="R79" s="12">
        <v>1093.46666666667</v>
      </c>
      <c r="S79" s="12">
        <v>1813.16099486994</v>
      </c>
      <c r="T79" s="12">
        <v>914.068485137751</v>
      </c>
      <c r="U79" s="12">
        <v>2945.00074288682</v>
      </c>
      <c r="V79" s="12">
        <v>995.511913936097</v>
      </c>
      <c r="W79" s="12">
        <v>224.0</v>
      </c>
      <c r="X79" s="12">
        <v>417.494834574882</v>
      </c>
    </row>
    <row r="80">
      <c r="A80" s="8">
        <v>42552.0</v>
      </c>
      <c r="B80" s="9">
        <f>IFERROR(__xludf.DUMMYFUNCTION("""COMPUTED_VALUE"""),1136.0)</f>
        <v>1136</v>
      </c>
      <c r="C80" s="12">
        <v>9.0625801312445</v>
      </c>
      <c r="D80" s="12">
        <v>913.997527314421</v>
      </c>
      <c r="E80" s="12">
        <v>112.0</v>
      </c>
      <c r="F80" s="12">
        <v>1062.3758566619</v>
      </c>
      <c r="G80" s="12">
        <v>1030.80883318758</v>
      </c>
      <c r="H80" s="12">
        <v>948.000123280343</v>
      </c>
      <c r="I80" s="12">
        <v>761.352941176471</v>
      </c>
      <c r="J80" s="12">
        <v>2474.20582065083</v>
      </c>
      <c r="K80" s="13">
        <v>1169.04092181609</v>
      </c>
      <c r="L80" s="13">
        <v>1329.91376531852</v>
      </c>
      <c r="M80" s="12">
        <v>1226.61957911477</v>
      </c>
      <c r="N80" s="12">
        <v>838.928256434877</v>
      </c>
      <c r="O80" s="12">
        <v>50.8712444885385</v>
      </c>
      <c r="P80" s="12">
        <v>689.0</v>
      </c>
      <c r="Q80" s="12">
        <v>916.193553477278</v>
      </c>
      <c r="R80" s="12">
        <v>1513.01</v>
      </c>
      <c r="S80" s="12">
        <v>97.9233711475429</v>
      </c>
      <c r="T80" s="12">
        <v>1258.27014604553</v>
      </c>
      <c r="U80" s="12">
        <v>1431.53490991167</v>
      </c>
      <c r="V80" s="12">
        <v>468.877770902423</v>
      </c>
      <c r="W80" s="12">
        <v>416.0</v>
      </c>
      <c r="X80" s="12">
        <v>412.377988291888</v>
      </c>
    </row>
    <row r="81">
      <c r="A81" s="8">
        <v>42583.0</v>
      </c>
      <c r="B81" s="9">
        <f>IFERROR(__xludf.DUMMYFUNCTION("""COMPUTED_VALUE"""),299.0)</f>
        <v>299</v>
      </c>
      <c r="C81" s="12">
        <v>59.7945962681624</v>
      </c>
      <c r="D81" s="12">
        <v>509.154992504384</v>
      </c>
      <c r="E81" s="12">
        <v>3154.4837043607</v>
      </c>
      <c r="F81" s="12">
        <v>908.735041461447</v>
      </c>
      <c r="G81" s="12">
        <v>992.864615359322</v>
      </c>
      <c r="H81" s="12">
        <v>632.666666666667</v>
      </c>
      <c r="I81" s="12">
        <v>335.35294117647</v>
      </c>
      <c r="J81" s="12">
        <v>137.851777777932</v>
      </c>
      <c r="K81" s="13">
        <v>368.693150383634</v>
      </c>
      <c r="L81" s="13">
        <v>2074.02754784951</v>
      </c>
      <c r="M81" s="12">
        <v>422.319211433549</v>
      </c>
      <c r="N81" s="12">
        <v>753.543365791343</v>
      </c>
      <c r="O81" s="12">
        <v>1107.81561488373</v>
      </c>
      <c r="P81" s="12">
        <v>556.793312536895</v>
      </c>
      <c r="Q81" s="12">
        <v>534.414277122854</v>
      </c>
      <c r="R81" s="12">
        <v>737.75884691852</v>
      </c>
      <c r="S81" s="12">
        <v>455.846201069846</v>
      </c>
      <c r="T81" s="12">
        <v>1402.00990244016</v>
      </c>
      <c r="U81" s="12">
        <v>300.693878690595</v>
      </c>
      <c r="V81" s="12">
        <v>594.481030701607</v>
      </c>
      <c r="W81" s="12">
        <v>435.666440561686</v>
      </c>
      <c r="X81" s="12">
        <v>577.450253724123</v>
      </c>
    </row>
    <row r="82">
      <c r="A82" s="8">
        <v>42614.0</v>
      </c>
      <c r="B82" s="9">
        <f>IFERROR(__xludf.DUMMYFUNCTION("""COMPUTED_VALUE"""),2946.0)</f>
        <v>2946</v>
      </c>
      <c r="C82" s="12">
        <v>167.732574673198</v>
      </c>
      <c r="D82" s="12">
        <v>827.374872916925</v>
      </c>
      <c r="E82" s="12">
        <v>2813.71568794831</v>
      </c>
      <c r="F82" s="12">
        <v>2713.61101519692</v>
      </c>
      <c r="G82" s="12">
        <v>1461.30282573465</v>
      </c>
      <c r="H82" s="12">
        <v>1395.33333333333</v>
      </c>
      <c r="I82" s="12">
        <v>337.705882352941</v>
      </c>
      <c r="J82" s="12">
        <v>795.585571230335</v>
      </c>
      <c r="K82" s="13">
        <v>328.305473476769</v>
      </c>
      <c r="L82" s="13">
        <v>3053.10559557129</v>
      </c>
      <c r="M82" s="12">
        <v>1002.2533937461</v>
      </c>
      <c r="N82" s="12">
        <v>3344.67003321432</v>
      </c>
      <c r="O82" s="12">
        <v>1808.58565360034</v>
      </c>
      <c r="P82" s="12">
        <v>1203.18451009229</v>
      </c>
      <c r="Q82" s="12">
        <v>2481.95199863919</v>
      </c>
      <c r="R82" s="12">
        <v>2879.28274080066</v>
      </c>
      <c r="S82" s="12">
        <v>1535.9069038362</v>
      </c>
      <c r="T82" s="12">
        <v>2854.18016467863</v>
      </c>
      <c r="U82" s="12">
        <v>99.6365140332112</v>
      </c>
      <c r="V82" s="12">
        <v>1514.62038651287</v>
      </c>
      <c r="W82" s="12">
        <v>1699.47704419083</v>
      </c>
      <c r="X82" s="12">
        <v>429.621130886581</v>
      </c>
    </row>
    <row r="83">
      <c r="A83" s="8">
        <v>42644.0</v>
      </c>
      <c r="B83" s="9">
        <f>IFERROR(__xludf.DUMMYFUNCTION("""COMPUTED_VALUE"""),76765.0)</f>
        <v>76765</v>
      </c>
      <c r="C83" s="12">
        <v>67948.8511479692</v>
      </c>
      <c r="D83" s="12">
        <v>75534.5640306215</v>
      </c>
      <c r="E83" s="12">
        <v>76678.8746272593</v>
      </c>
      <c r="F83" s="12">
        <v>76469.4460077628</v>
      </c>
      <c r="G83" s="12">
        <v>73463.2544496427</v>
      </c>
      <c r="H83" s="12">
        <v>73333.3333333333</v>
      </c>
      <c r="I83" s="12">
        <v>382.705882352941</v>
      </c>
      <c r="J83" s="12">
        <v>69128.6714793543</v>
      </c>
      <c r="K83" s="13">
        <v>76416.7837988244</v>
      </c>
      <c r="L83" s="13">
        <v>76332.1363143545</v>
      </c>
      <c r="M83" s="12">
        <v>55409.5380411603</v>
      </c>
      <c r="N83" s="12">
        <v>76389.8274681805</v>
      </c>
      <c r="O83" s="12">
        <v>65677.3663891265</v>
      </c>
      <c r="P83" s="12">
        <v>451.971499156617</v>
      </c>
      <c r="Q83" s="12">
        <v>76729.0</v>
      </c>
      <c r="R83" s="12">
        <v>76826.6330148979</v>
      </c>
      <c r="S83" s="12">
        <v>339.2</v>
      </c>
      <c r="T83" s="12">
        <v>121.289169843705</v>
      </c>
      <c r="U83" s="12">
        <v>63848.1340977884</v>
      </c>
      <c r="V83" s="12">
        <v>81840.0738203705</v>
      </c>
      <c r="W83" s="12">
        <v>97199.8211599037</v>
      </c>
      <c r="X83" s="12">
        <v>450.467080927266</v>
      </c>
    </row>
    <row r="84">
      <c r="A84" s="8">
        <v>42675.0</v>
      </c>
      <c r="B84" s="9">
        <f>IFERROR(__xludf.DUMMYFUNCTION("""COMPUTED_VALUE"""),704.0)</f>
        <v>704</v>
      </c>
      <c r="C84" s="12">
        <v>241.124299548089</v>
      </c>
      <c r="D84" s="12">
        <v>486.93794070564</v>
      </c>
      <c r="E84" s="12">
        <v>987.471642525073</v>
      </c>
      <c r="F84" s="12">
        <v>1019.27602794685</v>
      </c>
      <c r="G84" s="12">
        <v>817.878170262638</v>
      </c>
      <c r="H84" s="12">
        <v>396.987876300636</v>
      </c>
      <c r="I84" s="12">
        <v>368.588235294118</v>
      </c>
      <c r="J84" s="12">
        <v>102.161975292358</v>
      </c>
      <c r="K84" s="13">
        <v>588.708578829584</v>
      </c>
      <c r="L84" s="13">
        <v>-97.2898947254978</v>
      </c>
      <c r="M84" s="12">
        <v>747.108373187759</v>
      </c>
      <c r="N84" s="12">
        <v>418.610428512586</v>
      </c>
      <c r="O84" s="12">
        <v>871.359353802794</v>
      </c>
      <c r="P84" s="12">
        <v>649.597151980125</v>
      </c>
      <c r="Q84" s="12">
        <v>199.693553477278</v>
      </c>
      <c r="R84" s="12">
        <v>759.856685381254</v>
      </c>
      <c r="S84" s="12">
        <v>614.834884943931</v>
      </c>
      <c r="T84" s="12">
        <v>1091.4703491007</v>
      </c>
      <c r="U84" s="12">
        <v>690.20476021098</v>
      </c>
      <c r="V84" s="12">
        <v>658.118825219935</v>
      </c>
      <c r="W84" s="12">
        <v>116.0</v>
      </c>
      <c r="X84" s="12">
        <v>412.938070054683</v>
      </c>
    </row>
    <row r="85">
      <c r="A85" s="8">
        <v>42705.0</v>
      </c>
      <c r="B85" s="9">
        <f>IFERROR(__xludf.DUMMYFUNCTION("""COMPUTED_VALUE"""),16955.0)</f>
        <v>16955</v>
      </c>
      <c r="C85" s="12">
        <v>12525.5814532074</v>
      </c>
      <c r="D85" s="12">
        <v>16152.0881606566</v>
      </c>
      <c r="E85" s="12">
        <v>14836.718949855</v>
      </c>
      <c r="F85" s="12">
        <v>16957.3828550167</v>
      </c>
      <c r="G85" s="12">
        <v>18327.804128492</v>
      </c>
      <c r="H85" s="12">
        <v>15487.7211699067</v>
      </c>
      <c r="I85" s="12">
        <v>9719.56295553117</v>
      </c>
      <c r="J85" s="12">
        <v>16841.8460522184</v>
      </c>
      <c r="K85" s="13">
        <v>2341.47476287946</v>
      </c>
      <c r="L85" s="13">
        <v>17027.4720853704</v>
      </c>
      <c r="M85" s="12">
        <v>1830.53227337679</v>
      </c>
      <c r="N85" s="12">
        <v>17171.9858052724</v>
      </c>
      <c r="O85" s="12">
        <v>16758.0359513874</v>
      </c>
      <c r="P85" s="12">
        <v>758.675528771619</v>
      </c>
      <c r="Q85" s="12">
        <v>2153.05355347728</v>
      </c>
      <c r="R85" s="12">
        <v>2330.02</v>
      </c>
      <c r="S85" s="12">
        <v>16752.833312222</v>
      </c>
      <c r="T85" s="12">
        <v>17364.5661492905</v>
      </c>
      <c r="U85" s="12">
        <v>395.525539958468</v>
      </c>
      <c r="V85" s="12">
        <v>9896.19773207024</v>
      </c>
      <c r="W85" s="12">
        <v>16243.9530791658</v>
      </c>
      <c r="X85" s="12">
        <v>280.096231560117</v>
      </c>
    </row>
    <row r="86">
      <c r="A86" s="8">
        <v>42736.0</v>
      </c>
      <c r="B86" s="9">
        <f>IFERROR(__xludf.DUMMYFUNCTION("""COMPUTED_VALUE"""),696.0)</f>
        <v>696</v>
      </c>
      <c r="C86" s="12">
        <v>496.047867837152</v>
      </c>
      <c r="D86" s="12">
        <v>1325.8724195518</v>
      </c>
      <c r="E86" s="12">
        <v>347.279189994547</v>
      </c>
      <c r="F86" s="12">
        <v>1153.58450700548</v>
      </c>
      <c r="G86" s="12">
        <v>855.824658034979</v>
      </c>
      <c r="H86" s="12">
        <v>1168.64869093508</v>
      </c>
      <c r="I86" s="12">
        <v>448.411764705882</v>
      </c>
      <c r="J86" s="12">
        <v>1847.83395824604</v>
      </c>
      <c r="K86" s="13">
        <v>1402.13629120409</v>
      </c>
      <c r="L86" s="13">
        <v>603.931132054797</v>
      </c>
      <c r="M86" s="12">
        <v>166.07879066835</v>
      </c>
      <c r="N86" s="12">
        <v>1009.6899924742</v>
      </c>
      <c r="O86" s="12">
        <v>1145.53195664383</v>
      </c>
      <c r="P86" s="12">
        <v>2227.0</v>
      </c>
      <c r="Q86" s="12">
        <v>0.0</v>
      </c>
      <c r="R86" s="12">
        <v>7174.90666666667</v>
      </c>
      <c r="S86" s="12">
        <v>127.547003359471</v>
      </c>
      <c r="T86" s="12">
        <v>977.590708940264</v>
      </c>
      <c r="U86" s="12">
        <v>182.552755480909</v>
      </c>
      <c r="V86" s="12">
        <v>2353.72961481051</v>
      </c>
      <c r="W86" s="12">
        <v>790.0</v>
      </c>
      <c r="X86" s="12">
        <v>280.096231560117</v>
      </c>
    </row>
    <row r="87">
      <c r="A87" s="8">
        <v>42767.0</v>
      </c>
      <c r="B87" s="9">
        <f>IFERROR(__xludf.DUMMYFUNCTION("""COMPUTED_VALUE"""),11278.0)</f>
        <v>11278</v>
      </c>
      <c r="C87" s="12">
        <v>9237.97768115642</v>
      </c>
      <c r="D87" s="12">
        <v>11140.64</v>
      </c>
      <c r="E87" s="12">
        <v>5454.36036579652</v>
      </c>
      <c r="F87" s="12">
        <v>11275.5617709716</v>
      </c>
      <c r="G87" s="12">
        <v>1712.51451442147</v>
      </c>
      <c r="H87" s="12">
        <v>5824.0</v>
      </c>
      <c r="I87" s="12">
        <v>10389.3050268513</v>
      </c>
      <c r="J87" s="12">
        <v>6144.64479957948</v>
      </c>
      <c r="K87" s="13">
        <v>8657.24120330787</v>
      </c>
      <c r="L87" s="13">
        <v>11193.167234992</v>
      </c>
      <c r="M87" s="12">
        <v>610.632332625174</v>
      </c>
      <c r="N87" s="12">
        <v>10967.8089967048</v>
      </c>
      <c r="O87" s="12">
        <v>8602.22634485119</v>
      </c>
      <c r="P87" s="12">
        <v>16135.0</v>
      </c>
      <c r="Q87" s="12">
        <v>359.0</v>
      </c>
      <c r="R87" s="12">
        <v>26375.04</v>
      </c>
      <c r="S87" s="12">
        <v>8948.2526397916</v>
      </c>
      <c r="T87" s="12">
        <v>8897.77349973421</v>
      </c>
      <c r="U87" s="12">
        <v>1686.02436550006</v>
      </c>
      <c r="V87" s="12">
        <v>5962.46950755846</v>
      </c>
      <c r="W87" s="12">
        <v>10976.0</v>
      </c>
      <c r="X87" s="12">
        <v>557.096231560117</v>
      </c>
    </row>
    <row r="88">
      <c r="A88" s="8">
        <v>42795.0</v>
      </c>
      <c r="B88" s="9">
        <f>IFERROR(__xludf.DUMMYFUNCTION("""COMPUTED_VALUE"""),8960.0)</f>
        <v>8960</v>
      </c>
      <c r="C88" s="12">
        <v>7830.16500097224</v>
      </c>
      <c r="D88" s="12">
        <v>6481.89751846955</v>
      </c>
      <c r="E88" s="12">
        <v>11277.9332088539</v>
      </c>
      <c r="F88" s="12">
        <v>9293.29515942748</v>
      </c>
      <c r="G88" s="12">
        <v>3481.75347987334</v>
      </c>
      <c r="H88" s="12">
        <v>8247.25</v>
      </c>
      <c r="I88" s="12">
        <v>6357.20916742471</v>
      </c>
      <c r="J88" s="12">
        <v>10446.3822157563</v>
      </c>
      <c r="K88" s="13">
        <v>1546.68945676968</v>
      </c>
      <c r="L88" s="13">
        <v>9248.50920887844</v>
      </c>
      <c r="M88" s="12">
        <v>2711.31562351763</v>
      </c>
      <c r="N88" s="12">
        <v>5031.0180263197</v>
      </c>
      <c r="O88" s="12">
        <v>2172.58113615981</v>
      </c>
      <c r="P88" s="12">
        <v>32644.0</v>
      </c>
      <c r="Q88" s="12">
        <v>-193.592592592593</v>
      </c>
      <c r="R88" s="12">
        <v>63092.16</v>
      </c>
      <c r="S88" s="12">
        <v>80.4964517840138</v>
      </c>
      <c r="T88" s="12">
        <v>2573.75618408342</v>
      </c>
      <c r="U88" s="12">
        <v>1560.58190134466</v>
      </c>
      <c r="V88" s="12">
        <v>1514.73711717569</v>
      </c>
      <c r="W88" s="12">
        <v>5226.71213321159</v>
      </c>
      <c r="X88" s="12">
        <v>717.216108085753</v>
      </c>
    </row>
    <row r="89">
      <c r="A89" s="8">
        <v>42826.0</v>
      </c>
      <c r="B89" s="9"/>
      <c r="C89" s="12">
        <v>341.09848592948</v>
      </c>
      <c r="D89" s="12">
        <v>2257.36</v>
      </c>
      <c r="E89" s="12">
        <v>3557.91658910333</v>
      </c>
      <c r="F89" s="12">
        <v>2286.58151900316</v>
      </c>
      <c r="G89" s="12">
        <v>734.285592469863</v>
      </c>
      <c r="H89" s="12">
        <v>11969.75</v>
      </c>
      <c r="I89" s="12">
        <v>2399.58823529412</v>
      </c>
      <c r="J89" s="12">
        <v>4846.0075612778</v>
      </c>
      <c r="K89" s="13">
        <v>1124.55759005022</v>
      </c>
      <c r="L89" s="13">
        <v>2646.17588919379</v>
      </c>
      <c r="M89" s="12">
        <v>-1260.31536976213</v>
      </c>
      <c r="N89" s="12">
        <v>3621.31954105901</v>
      </c>
      <c r="O89" s="12">
        <v>1748.46374753629</v>
      </c>
      <c r="P89" s="12">
        <v>70931.6</v>
      </c>
      <c r="Q89" s="12">
        <v>-5154.81481481481</v>
      </c>
      <c r="R89" s="12">
        <v>4023.72987820267</v>
      </c>
      <c r="S89" s="12">
        <v>6458.60839855564</v>
      </c>
      <c r="T89" s="12">
        <v>8091.01084985659</v>
      </c>
      <c r="U89" s="12">
        <v>-6237.53313990767</v>
      </c>
      <c r="V89" s="12">
        <v>2030.94654091794</v>
      </c>
      <c r="W89" s="12">
        <v>2224.0</v>
      </c>
      <c r="X89" s="12">
        <v>717.216108085753</v>
      </c>
    </row>
    <row r="90">
      <c r="A90" s="8">
        <v>42856.0</v>
      </c>
      <c r="B90" s="9">
        <f>IFERROR(__xludf.DUMMYFUNCTION("""COMPUTED_VALUE"""),29297.0)</f>
        <v>29297</v>
      </c>
      <c r="C90" s="12">
        <v>25276.8493381042</v>
      </c>
      <c r="D90" s="12">
        <v>17062.4446668502</v>
      </c>
      <c r="E90" s="12">
        <v>33094.8040041446</v>
      </c>
      <c r="F90" s="12">
        <v>29299.8247792526</v>
      </c>
      <c r="G90" s="12">
        <v>20181.9685709284</v>
      </c>
      <c r="H90" s="12">
        <v>29370.7198660978</v>
      </c>
      <c r="I90" s="12">
        <v>3832.345317044</v>
      </c>
      <c r="J90" s="12">
        <v>29382.0634679576</v>
      </c>
      <c r="K90" s="13">
        <v>28836.4154205464</v>
      </c>
      <c r="L90" s="13">
        <v>27398.6649564568</v>
      </c>
      <c r="M90" s="12">
        <v>23701.2319002127</v>
      </c>
      <c r="N90" s="12">
        <v>3543.39806744735</v>
      </c>
      <c r="O90" s="12">
        <v>28413.4312101524</v>
      </c>
      <c r="P90" s="12">
        <v>52667.19</v>
      </c>
      <c r="Q90" s="12">
        <v>-7749.96296296296</v>
      </c>
      <c r="R90" s="12">
        <v>29354.4709017286</v>
      </c>
      <c r="S90" s="12">
        <v>29281.4708920393</v>
      </c>
      <c r="T90" s="12">
        <v>29296.070831271</v>
      </c>
      <c r="U90" s="12">
        <v>838.937966418601</v>
      </c>
      <c r="V90" s="12">
        <v>29216.180989271</v>
      </c>
      <c r="W90" s="12">
        <v>3550.0</v>
      </c>
      <c r="X90" s="12">
        <v>26577.6328580402</v>
      </c>
    </row>
    <row r="91">
      <c r="A91" s="8">
        <v>42887.0</v>
      </c>
      <c r="B91" s="9">
        <f>IFERROR(__xludf.DUMMYFUNCTION("""COMPUTED_VALUE"""),2953.0)</f>
        <v>2953</v>
      </c>
      <c r="C91" s="12">
        <v>3.74836146527561</v>
      </c>
      <c r="D91" s="12">
        <v>2321.52</v>
      </c>
      <c r="E91" s="12">
        <v>3695.36008128812</v>
      </c>
      <c r="F91" s="12">
        <v>7529.60596921972</v>
      </c>
      <c r="G91" s="12">
        <v>7161.48300373117</v>
      </c>
      <c r="H91" s="12">
        <v>2784.75036213601</v>
      </c>
      <c r="I91" s="12">
        <v>1023.17650136447</v>
      </c>
      <c r="J91" s="12">
        <v>3157.66812118578</v>
      </c>
      <c r="K91" s="13">
        <v>2317.77422483573</v>
      </c>
      <c r="L91" s="13">
        <v>4315.33729188787</v>
      </c>
      <c r="M91" s="12">
        <v>-3300.25270079252</v>
      </c>
      <c r="N91" s="12">
        <v>2368.18028211554</v>
      </c>
      <c r="O91" s="12">
        <v>1787.57220673921</v>
      </c>
      <c r="P91" s="12">
        <v>11854.7</v>
      </c>
      <c r="Q91" s="12">
        <v>-6856.44444444444</v>
      </c>
      <c r="R91" s="12">
        <v>13594.3783333333</v>
      </c>
      <c r="S91" s="12">
        <v>185.4</v>
      </c>
      <c r="T91" s="12">
        <v>1847.63835395244</v>
      </c>
      <c r="U91" s="12">
        <v>855.802060876215</v>
      </c>
      <c r="V91" s="12">
        <v>1127.83952735819</v>
      </c>
      <c r="W91" s="12">
        <v>4611.40168636464</v>
      </c>
      <c r="X91" s="12">
        <v>18.4686638115058</v>
      </c>
    </row>
    <row r="92">
      <c r="A92" s="33">
        <v>42917.0</v>
      </c>
      <c r="B92" s="9">
        <f>IFERROR(__xludf.DUMMYFUNCTION("""COMPUTED_VALUE"""),22570.0)</f>
        <v>22570</v>
      </c>
      <c r="C92" s="12">
        <v>22074.7893622629</v>
      </c>
      <c r="D92" s="12">
        <v>10433.133795945</v>
      </c>
      <c r="E92" s="12">
        <v>20813.0543092513</v>
      </c>
      <c r="F92" s="12">
        <v>17537.0507153043</v>
      </c>
      <c r="G92" s="12">
        <v>11769.8953799767</v>
      </c>
      <c r="H92" s="12">
        <v>21121.6018170201</v>
      </c>
      <c r="I92" s="12">
        <v>7869.6862950273</v>
      </c>
      <c r="J92" s="12">
        <v>24275.6779500051</v>
      </c>
      <c r="K92" s="13">
        <v>22373.7014989453</v>
      </c>
      <c r="L92" s="13">
        <v>36364.4756831407</v>
      </c>
      <c r="M92" s="12">
        <v>1722.75838881597</v>
      </c>
      <c r="N92" s="12">
        <v>1370.14499524915</v>
      </c>
      <c r="O92" s="12">
        <v>994.401405702972</v>
      </c>
      <c r="P92" s="12">
        <v>2899.0</v>
      </c>
      <c r="Q92" s="12">
        <v>-10789.7777777778</v>
      </c>
      <c r="R92" s="12">
        <v>37157.6666666667</v>
      </c>
      <c r="S92" s="12">
        <v>220.0</v>
      </c>
      <c r="T92" s="12">
        <v>1017.21183775587</v>
      </c>
      <c r="U92" s="12">
        <v>2333.01474724326</v>
      </c>
      <c r="V92" s="12">
        <v>683.146533846251</v>
      </c>
      <c r="W92" s="12">
        <v>19508.0937854583</v>
      </c>
      <c r="X92" s="12">
        <v>20214.6601225463</v>
      </c>
    </row>
    <row r="93">
      <c r="A93" s="8">
        <v>42948.0</v>
      </c>
      <c r="B93" s="9">
        <f>IFERROR(__xludf.DUMMYFUNCTION("""COMPUTED_VALUE"""),13195.0)</f>
        <v>13195</v>
      </c>
      <c r="C93" s="12">
        <v>11241.8368741122</v>
      </c>
      <c r="D93" s="12">
        <v>10536.4705720976</v>
      </c>
      <c r="E93" s="12">
        <v>13926.1352664733</v>
      </c>
      <c r="F93" s="12">
        <v>15180.3348716998</v>
      </c>
      <c r="G93" s="12">
        <v>-8639.67140775616</v>
      </c>
      <c r="H93" s="12">
        <v>11251.8586060774</v>
      </c>
      <c r="I93" s="12">
        <v>11790.1143927633</v>
      </c>
      <c r="J93" s="12">
        <v>11284.4161731221</v>
      </c>
      <c r="K93" s="13">
        <v>12448.2241832221</v>
      </c>
      <c r="L93" s="13">
        <v>11279.8</v>
      </c>
      <c r="M93" s="12">
        <v>854.615141516121</v>
      </c>
      <c r="N93" s="12">
        <v>4444.5354899393</v>
      </c>
      <c r="O93" s="12">
        <v>3373.14803911441</v>
      </c>
      <c r="P93" s="12">
        <v>1011.23261310576</v>
      </c>
      <c r="Q93" s="12">
        <v>-5335.8037037037</v>
      </c>
      <c r="R93" s="12">
        <v>38764.4</v>
      </c>
      <c r="S93" s="12">
        <v>287.333333333333</v>
      </c>
      <c r="T93" s="12">
        <v>3541.64375943619</v>
      </c>
      <c r="U93" s="12">
        <v>1154.25295324165</v>
      </c>
      <c r="V93" s="12">
        <v>1773.80115217072</v>
      </c>
      <c r="W93" s="12">
        <v>11468.4342430688</v>
      </c>
      <c r="X93" s="12">
        <v>10173.7973220355</v>
      </c>
    </row>
    <row r="94">
      <c r="A94" s="14">
        <v>42979.0</v>
      </c>
      <c r="B94" s="9">
        <f>IFERROR(__xludf.DUMMYFUNCTION("""COMPUTED_VALUE"""),31147.0)</f>
        <v>31147</v>
      </c>
      <c r="C94" s="12">
        <v>27773.0111952117</v>
      </c>
      <c r="D94" s="12">
        <v>9995.8005314633</v>
      </c>
      <c r="E94" s="12">
        <v>26548.6309369539</v>
      </c>
      <c r="F94" s="12">
        <v>31144.4290553701</v>
      </c>
      <c r="G94" s="12">
        <v>20401.5434774646</v>
      </c>
      <c r="H94" s="12">
        <v>33478.3851745861</v>
      </c>
      <c r="I94" s="12">
        <v>16958.1078841722</v>
      </c>
      <c r="J94" s="12">
        <v>30524.9489005439</v>
      </c>
      <c r="K94" s="13">
        <v>30934.5673890331</v>
      </c>
      <c r="L94" s="13">
        <v>9793.37034546573</v>
      </c>
      <c r="M94" s="12">
        <v>1611.37825959355</v>
      </c>
      <c r="N94" s="12">
        <v>72889.6812836272</v>
      </c>
      <c r="O94" s="12">
        <v>2243.35408191394</v>
      </c>
      <c r="P94" s="12">
        <v>19322.0</v>
      </c>
      <c r="Q94" s="12">
        <v>7008.96614606987</v>
      </c>
      <c r="R94" s="12">
        <v>34485.2666666667</v>
      </c>
      <c r="S94" s="12">
        <v>290.333333333333</v>
      </c>
      <c r="T94" s="12">
        <v>2319.04892741164</v>
      </c>
      <c r="U94" s="12">
        <v>-1707094.5466355</v>
      </c>
      <c r="V94" s="12">
        <v>370775.06138161</v>
      </c>
      <c r="W94" s="12">
        <v>27614.2051005158</v>
      </c>
      <c r="X94" s="12">
        <v>17379.5612613054</v>
      </c>
    </row>
    <row r="95">
      <c r="A95" s="14">
        <v>43009.0</v>
      </c>
      <c r="B95" s="9">
        <f>IFERROR(__xludf.DUMMYFUNCTION("""COMPUTED_VALUE"""),370.0)</f>
        <v>370</v>
      </c>
      <c r="C95" s="12">
        <v>14204.2438328059</v>
      </c>
      <c r="D95" s="12">
        <v>3468.94967054546</v>
      </c>
      <c r="E95" s="12">
        <v>-1576.66666666667</v>
      </c>
      <c r="F95" s="12">
        <v>87380.7388305273</v>
      </c>
      <c r="G95" s="12">
        <v>82431.3949384832</v>
      </c>
      <c r="H95" s="12">
        <v>6318.0</v>
      </c>
      <c r="I95" s="12">
        <v>34528.7179378748</v>
      </c>
      <c r="J95" s="12">
        <v>30893.876411062</v>
      </c>
      <c r="K95" s="13">
        <v>-248.338813424511</v>
      </c>
      <c r="L95" s="13">
        <v>24473.6364930432</v>
      </c>
      <c r="M95" s="12">
        <v>90.945097528895</v>
      </c>
      <c r="N95" s="12">
        <v>927.195157202636</v>
      </c>
      <c r="O95" s="12">
        <v>594.015385279583</v>
      </c>
      <c r="P95" s="12">
        <v>11325.0</v>
      </c>
      <c r="Q95" s="12">
        <v>7084.55651644024</v>
      </c>
      <c r="R95" s="12">
        <v>379319.4609375</v>
      </c>
      <c r="S95" s="12">
        <v>243.666666666667</v>
      </c>
      <c r="T95" s="12">
        <v>624.234927462269</v>
      </c>
      <c r="U95" s="12">
        <v>20034.7920940151</v>
      </c>
      <c r="V95" s="12">
        <v>3789.25230711031</v>
      </c>
      <c r="W95" s="12">
        <v>8301.69033926148</v>
      </c>
      <c r="X95" s="12">
        <v>27429.0456046335</v>
      </c>
    </row>
    <row r="96">
      <c r="A96" s="14">
        <v>43040.0</v>
      </c>
      <c r="B96" s="9">
        <f>IFERROR(__xludf.DUMMYFUNCTION("""COMPUTED_VALUE"""),4026.0)</f>
        <v>4026</v>
      </c>
      <c r="C96" s="12">
        <v>32005.2468291206</v>
      </c>
      <c r="D96" s="12">
        <v>4243.46538123907</v>
      </c>
      <c r="E96" s="12">
        <v>708.475555555555</v>
      </c>
      <c r="F96" s="12">
        <v>10695.8099684339</v>
      </c>
      <c r="G96" s="12">
        <v>22377.2504849369</v>
      </c>
      <c r="H96" s="12">
        <v>10075.0</v>
      </c>
      <c r="I96" s="12">
        <v>17154.4608253487</v>
      </c>
      <c r="J96" s="12">
        <v>13701.7962671927</v>
      </c>
      <c r="K96" s="13">
        <v>3258.82681196265</v>
      </c>
      <c r="L96" s="13">
        <v>4845.10708948648</v>
      </c>
      <c r="M96" s="12">
        <v>353.882418907054</v>
      </c>
      <c r="N96" s="12">
        <v>1094.72913868647</v>
      </c>
      <c r="O96" s="12">
        <v>-2056.40284863034</v>
      </c>
      <c r="P96" s="12">
        <v>8850.0</v>
      </c>
      <c r="Q96" s="12">
        <v>-4352.62237244865</v>
      </c>
      <c r="R96" s="12">
        <v>146481.43125</v>
      </c>
      <c r="S96" s="12">
        <v>171.941839103232</v>
      </c>
      <c r="T96" s="12">
        <v>70483.5623795739</v>
      </c>
      <c r="U96" s="12">
        <v>2842.63252298896</v>
      </c>
      <c r="V96" s="12">
        <v>512.913984816647</v>
      </c>
      <c r="W96" s="12">
        <v>139669.661022837</v>
      </c>
      <c r="X96" s="12">
        <v>33172.3418001472</v>
      </c>
    </row>
    <row r="97">
      <c r="A97" s="14">
        <v>43070.0</v>
      </c>
      <c r="B97" s="43">
        <f>IFERROR(__xludf.DUMMYFUNCTION("""COMPUTED_VALUE"""),416.0)</f>
        <v>416</v>
      </c>
      <c r="C97" s="12">
        <v>0.420242972413231</v>
      </c>
      <c r="D97" s="12">
        <v>10364.5404347051</v>
      </c>
      <c r="E97" s="12">
        <v>-3267.92444444444</v>
      </c>
      <c r="F97" s="12">
        <v>8323.83223019852</v>
      </c>
      <c r="G97" s="12">
        <v>19399.2563265668</v>
      </c>
      <c r="H97" s="12">
        <v>30369.0</v>
      </c>
      <c r="I97" s="12">
        <v>17612.8464633617</v>
      </c>
      <c r="J97" s="12">
        <v>26246.21096012</v>
      </c>
      <c r="K97" s="12">
        <v>54491.0558222474</v>
      </c>
      <c r="L97" s="12">
        <v>11393.1351988021</v>
      </c>
      <c r="M97" s="12">
        <v>9384.71218270309</v>
      </c>
      <c r="N97" s="12">
        <v>975.106085282152</v>
      </c>
      <c r="O97" s="12">
        <v>618.25158754207</v>
      </c>
      <c r="P97" s="12">
        <v>5917.0</v>
      </c>
      <c r="Q97" s="12">
        <v>1514.03799792172</v>
      </c>
      <c r="R97" s="12">
        <v>110288.984375</v>
      </c>
      <c r="S97" s="12">
        <v>85.0</v>
      </c>
      <c r="T97" s="12">
        <v>21086.1195057372</v>
      </c>
      <c r="U97" s="12">
        <v>-2877.55208044044</v>
      </c>
      <c r="V97" s="12">
        <v>433.681667506061</v>
      </c>
      <c r="W97" s="12">
        <v>70733.0867272355</v>
      </c>
      <c r="X97" s="12">
        <v>35292.2845059069</v>
      </c>
    </row>
    <row r="98">
      <c r="A98" s="19">
        <v>43101.0</v>
      </c>
      <c r="B98" s="43">
        <f>IFERROR(__xludf.DUMMYFUNCTION("""COMPUTED_VALUE"""),317.0)</f>
        <v>317</v>
      </c>
      <c r="C98" s="12">
        <v>56241.7697076816</v>
      </c>
      <c r="D98" s="12">
        <v>4021.09646301824</v>
      </c>
      <c r="E98" s="12">
        <v>321.748148148148</v>
      </c>
      <c r="F98" s="12">
        <v>14307.1227773135</v>
      </c>
      <c r="G98" s="12">
        <v>228064.139731284</v>
      </c>
      <c r="H98" s="12">
        <v>2772.0</v>
      </c>
      <c r="I98" s="12">
        <v>17616.6525442019</v>
      </c>
      <c r="J98" s="12">
        <v>69514.0806374449</v>
      </c>
      <c r="K98" s="12">
        <v>51618.5483311508</v>
      </c>
      <c r="L98" s="12">
        <v>4222.14362295665</v>
      </c>
      <c r="M98" s="12">
        <v>187253.353222928</v>
      </c>
      <c r="N98" s="12">
        <v>747.076694668038</v>
      </c>
      <c r="O98" s="12">
        <v>474.534204254603</v>
      </c>
      <c r="P98" s="12">
        <v>8999.0</v>
      </c>
      <c r="Q98" s="12">
        <v>8686.28244236617</v>
      </c>
      <c r="R98" s="12">
        <v>20324.575874872</v>
      </c>
      <c r="S98" s="12">
        <v>70.6</v>
      </c>
      <c r="T98" s="12">
        <v>262.466863862016</v>
      </c>
      <c r="U98" s="12">
        <v>5093.0163942319</v>
      </c>
      <c r="V98" s="12">
        <v>328.199054036379</v>
      </c>
      <c r="W98" s="12">
        <v>308267.727087007</v>
      </c>
      <c r="X98" s="12">
        <v>28657.8318780036</v>
      </c>
    </row>
    <row r="99">
      <c r="A99" s="19">
        <v>43132.0</v>
      </c>
      <c r="B99" s="43">
        <f>IFERROR(__xludf.DUMMYFUNCTION("""COMPUTED_VALUE"""),6515.0)</f>
        <v>6515</v>
      </c>
      <c r="C99" s="12">
        <v>12901.2843113508</v>
      </c>
      <c r="D99" s="12">
        <v>18334.6767364744</v>
      </c>
      <c r="E99" s="12">
        <v>301489.078581402</v>
      </c>
      <c r="F99" s="12">
        <v>16242.3207145829</v>
      </c>
      <c r="G99" s="12">
        <v>66079.9491269683</v>
      </c>
      <c r="H99" s="12">
        <v>167472.042515112</v>
      </c>
      <c r="I99" s="12">
        <v>26054.6557984974</v>
      </c>
      <c r="J99" s="12">
        <v>182609.451354061</v>
      </c>
      <c r="K99" s="12">
        <v>135713.088523944</v>
      </c>
      <c r="L99" s="12">
        <v>175423.4699133</v>
      </c>
      <c r="M99" s="12">
        <v>63394.731431237</v>
      </c>
      <c r="N99" s="12">
        <v>814.03078597083</v>
      </c>
      <c r="O99" s="12">
        <v>599.962408645541</v>
      </c>
      <c r="P99" s="12">
        <v>61637.7741927466</v>
      </c>
      <c r="Q99" s="12">
        <v>5890.75133125505</v>
      </c>
      <c r="R99" s="12">
        <v>303.343397712579</v>
      </c>
      <c r="S99" s="12">
        <v>77.0</v>
      </c>
      <c r="T99" s="12">
        <v>48829.7376198666</v>
      </c>
      <c r="U99" s="12">
        <v>26.4452948375783</v>
      </c>
      <c r="V99" s="12">
        <v>417.069890658965</v>
      </c>
      <c r="W99" s="12">
        <v>147251.22555817</v>
      </c>
      <c r="X99" s="12">
        <v>7947.3888043259</v>
      </c>
    </row>
    <row r="100">
      <c r="A100" s="15">
        <v>43160.0</v>
      </c>
      <c r="B100" s="43">
        <f>IFERROR(__xludf.DUMMYFUNCTION("""COMPUTED_VALUE"""),1101.0)</f>
        <v>1101</v>
      </c>
      <c r="C100" s="12">
        <v>57293.161840604</v>
      </c>
      <c r="D100" s="12">
        <v>8313.94682389374</v>
      </c>
      <c r="E100" s="12">
        <v>132.0</v>
      </c>
      <c r="F100" s="12">
        <v>32333.7351271405</v>
      </c>
      <c r="G100" s="12">
        <v>1044264.7381256</v>
      </c>
      <c r="H100" s="12">
        <v>22893.0</v>
      </c>
      <c r="I100" s="12">
        <v>41426.5686479685</v>
      </c>
      <c r="J100" s="12">
        <v>181322.406430491</v>
      </c>
      <c r="K100" s="12">
        <v>199934.393377334</v>
      </c>
      <c r="L100" s="12">
        <v>8385.28469631369</v>
      </c>
      <c r="M100" s="12">
        <v>955863.379936196</v>
      </c>
      <c r="N100" s="12">
        <v>3634.86880065288</v>
      </c>
      <c r="O100" s="12">
        <v>2862.52348461097</v>
      </c>
      <c r="P100" s="12">
        <v>15911.0</v>
      </c>
      <c r="Q100" s="12">
        <v>13630.7794794032</v>
      </c>
      <c r="R100" s="12">
        <v>3223.66666666667</v>
      </c>
      <c r="S100" s="12">
        <v>2071.03525820486</v>
      </c>
      <c r="T100" s="12">
        <v>18113.3517636636</v>
      </c>
      <c r="U100" s="12">
        <v>-671.335086934994</v>
      </c>
      <c r="V100" s="12">
        <v>2126.32208972964</v>
      </c>
      <c r="W100" s="12">
        <v>1133970.15304147</v>
      </c>
      <c r="X100" s="12">
        <v>8794.2954857567</v>
      </c>
    </row>
    <row r="101">
      <c r="A101" s="15">
        <v>43191.0</v>
      </c>
      <c r="B101" s="43">
        <f>IFERROR(__xludf.DUMMYFUNCTION("""COMPUTED_VALUE"""),3369.0)</f>
        <v>3369</v>
      </c>
      <c r="C101" s="12">
        <v>79516.7646063669</v>
      </c>
      <c r="D101" s="12">
        <v>10853.3556147605</v>
      </c>
      <c r="E101" s="12">
        <v>119927.716469513</v>
      </c>
      <c r="F101" s="12">
        <v>12245.8229614982</v>
      </c>
      <c r="G101" s="12">
        <v>111150.091170819</v>
      </c>
      <c r="H101" s="12">
        <v>353958.718497342</v>
      </c>
      <c r="I101" s="12">
        <v>20448.2897785864</v>
      </c>
      <c r="J101" s="12">
        <v>68943.5661173644</v>
      </c>
      <c r="K101" s="12">
        <v>699002.837217026</v>
      </c>
      <c r="L101" s="12">
        <v>65100.1255292174</v>
      </c>
      <c r="M101" s="12">
        <v>124227.636101802</v>
      </c>
      <c r="N101" s="12">
        <v>3316.96004418859</v>
      </c>
      <c r="O101" s="12">
        <v>7551.25521492141</v>
      </c>
      <c r="P101" s="12">
        <v>21066.0</v>
      </c>
      <c r="Q101" s="12">
        <v>3357.9994794032</v>
      </c>
      <c r="R101" s="12">
        <v>3225.7629116374</v>
      </c>
      <c r="S101" s="12">
        <v>6045.05959599881</v>
      </c>
      <c r="T101" s="12">
        <v>7649.19308822505</v>
      </c>
      <c r="U101" s="12">
        <v>-5260.09798011824</v>
      </c>
      <c r="V101" s="12">
        <v>6529.43620491324</v>
      </c>
      <c r="W101" s="12">
        <v>165765.593904702</v>
      </c>
      <c r="X101" s="12">
        <v>6852.98704842308</v>
      </c>
    </row>
    <row r="102">
      <c r="A102" s="48">
        <v>43221.0</v>
      </c>
      <c r="B102" s="43">
        <f>IFERROR(__xludf.DUMMYFUNCTION("""COMPUTED_VALUE"""),5140.0)</f>
        <v>5140</v>
      </c>
      <c r="C102" s="12">
        <v>7274.93866497552</v>
      </c>
      <c r="D102" s="12">
        <v>75714.9972133114</v>
      </c>
      <c r="E102" s="12">
        <v>60535.3573365439</v>
      </c>
      <c r="F102" s="12">
        <v>8699732.1235456</v>
      </c>
      <c r="G102" s="12">
        <v>46589.7641300746</v>
      </c>
      <c r="H102" s="12">
        <v>29858.6854053822</v>
      </c>
      <c r="I102" s="64">
        <v>45489.709322266</v>
      </c>
      <c r="J102" s="12">
        <v>124843.796536644</v>
      </c>
      <c r="K102" s="12">
        <v>194902.693901534</v>
      </c>
      <c r="L102" s="12">
        <v>195579.468569863</v>
      </c>
      <c r="M102" s="12">
        <v>514944.820952354</v>
      </c>
      <c r="N102" s="12">
        <v>2319.69193965886</v>
      </c>
      <c r="O102" s="12">
        <v>992430.256841689</v>
      </c>
      <c r="P102" s="12">
        <v>259302.603554254</v>
      </c>
      <c r="Q102" s="12">
        <v>173566.21651644</v>
      </c>
      <c r="R102" s="12">
        <v>194185.333333333</v>
      </c>
      <c r="S102" s="12">
        <v>388831.380312891</v>
      </c>
      <c r="T102" s="12">
        <v>333534.248236399</v>
      </c>
      <c r="U102" s="12">
        <v>372220.367951244</v>
      </c>
      <c r="V102" s="12">
        <v>344024.47001776</v>
      </c>
      <c r="W102" s="12">
        <v>119516.37147648</v>
      </c>
      <c r="X102" s="12">
        <v>534580.207812756</v>
      </c>
    </row>
    <row r="103">
      <c r="A103" s="15">
        <v>43252.0</v>
      </c>
      <c r="B103" s="43">
        <f>IFERROR(__xludf.DUMMYFUNCTION("""COMPUTED_VALUE"""),2437.0)</f>
        <v>2437</v>
      </c>
      <c r="C103" s="7">
        <v>16311.3867186394</v>
      </c>
      <c r="D103" s="7">
        <v>4772.04</v>
      </c>
      <c r="E103" s="7">
        <v>153150.174069307</v>
      </c>
      <c r="F103" s="65">
        <v>132072.971125161</v>
      </c>
      <c r="G103" s="7">
        <v>29208.7733044738</v>
      </c>
      <c r="H103" s="7">
        <v>369282.151463849</v>
      </c>
      <c r="I103" s="7">
        <v>1378708.49560814</v>
      </c>
      <c r="J103" s="7">
        <v>169458.097516465</v>
      </c>
      <c r="K103" s="7">
        <v>411717.412538413</v>
      </c>
      <c r="L103" s="7">
        <v>104832.86793169</v>
      </c>
      <c r="M103" s="7">
        <v>107157.216806428</v>
      </c>
      <c r="N103" s="7">
        <v>6804.68226322983</v>
      </c>
      <c r="O103" s="7">
        <v>15501.799122915</v>
      </c>
      <c r="P103" s="7">
        <v>11066.0722920099</v>
      </c>
      <c r="Q103" s="7">
        <v>16097.4223517183</v>
      </c>
      <c r="R103" s="7">
        <v>19056.1066666667</v>
      </c>
      <c r="S103" s="7">
        <v>9961.79746632678</v>
      </c>
      <c r="T103" s="7">
        <v>23525.7914066191</v>
      </c>
      <c r="U103" s="7">
        <v>-485336.290478314</v>
      </c>
      <c r="V103" s="7">
        <v>12987.3048551351</v>
      </c>
      <c r="W103" s="7">
        <v>127317.157706722</v>
      </c>
      <c r="X103" s="7">
        <v>3312.24846232254</v>
      </c>
    </row>
    <row r="104">
      <c r="A104" s="15">
        <v>43282.0</v>
      </c>
      <c r="B104" s="43">
        <f>IFERROR(__xludf.DUMMYFUNCTION("""COMPUTED_VALUE"""),1780.0)</f>
        <v>1780</v>
      </c>
      <c r="C104" s="7">
        <v>43868.8530667023</v>
      </c>
      <c r="D104" s="7">
        <v>11107.944542825</v>
      </c>
      <c r="E104" s="7">
        <v>148128.022552838</v>
      </c>
      <c r="F104" s="65">
        <v>2477158.261374</v>
      </c>
      <c r="G104" s="7">
        <v>83761.300585466</v>
      </c>
      <c r="H104" s="7">
        <v>28164.9143769227</v>
      </c>
      <c r="I104" s="7">
        <v>552667.401115777</v>
      </c>
      <c r="J104" s="7">
        <v>53211.6215183646</v>
      </c>
      <c r="K104" s="7">
        <v>2212160.67761242</v>
      </c>
      <c r="L104" s="7">
        <v>45642.8072254851</v>
      </c>
      <c r="M104" s="7">
        <v>158461.673192235</v>
      </c>
      <c r="N104" s="7">
        <v>1239.10483636483</v>
      </c>
      <c r="O104" s="7">
        <v>4984.73446881924</v>
      </c>
      <c r="P104" s="7">
        <v>11920.0</v>
      </c>
      <c r="Q104" s="7">
        <v>33433.1420905924</v>
      </c>
      <c r="R104" s="7">
        <v>7115.18169443994</v>
      </c>
      <c r="S104" s="7">
        <v>4465.68723030149</v>
      </c>
      <c r="T104" s="7">
        <v>11764.9911672127</v>
      </c>
      <c r="U104" s="7">
        <v>-137819.049002204</v>
      </c>
      <c r="V104" s="7">
        <v>4602.18679658773</v>
      </c>
      <c r="W104" s="7">
        <v>208649.308656544</v>
      </c>
      <c r="X104" s="7">
        <v>13529.5869374317</v>
      </c>
    </row>
    <row r="105">
      <c r="A105" s="17">
        <v>43313.0</v>
      </c>
      <c r="B105" s="36"/>
      <c r="C105" s="7">
        <v>52004.1278611761</v>
      </c>
      <c r="D105" s="7">
        <v>20017.9268828809</v>
      </c>
      <c r="E105" s="7">
        <v>44736.9176199518</v>
      </c>
      <c r="F105" s="65">
        <v>7254.9750802465</v>
      </c>
      <c r="G105" s="7">
        <v>-11240.9</v>
      </c>
      <c r="H105" s="7">
        <v>385201.470021164</v>
      </c>
      <c r="I105" s="7">
        <v>1072900.79342037</v>
      </c>
      <c r="J105" s="7">
        <v>90270.8321284837</v>
      </c>
      <c r="K105" s="7">
        <v>14789.5452360773</v>
      </c>
      <c r="L105" s="7">
        <v>93587.0078043082</v>
      </c>
      <c r="M105" s="7">
        <v>11227.9461535389</v>
      </c>
      <c r="N105" s="7">
        <v>6355.93293828844</v>
      </c>
      <c r="O105" s="7">
        <v>6865.90648852871</v>
      </c>
      <c r="P105" s="7">
        <v>5810.69966553762</v>
      </c>
      <c r="Q105" s="7">
        <v>14622.9038003085</v>
      </c>
      <c r="R105" s="7">
        <v>22787.0781420169</v>
      </c>
      <c r="S105" s="7">
        <v>4225.59453656179</v>
      </c>
      <c r="T105" s="7">
        <v>13191.7843268727</v>
      </c>
      <c r="U105" s="7">
        <v>-175429.594878995</v>
      </c>
      <c r="V105" s="7">
        <v>5883.81616200725</v>
      </c>
      <c r="W105" s="7">
        <v>8539.71670168236</v>
      </c>
      <c r="X105" s="7">
        <v>34860.0</v>
      </c>
    </row>
    <row r="106">
      <c r="A106" s="15">
        <v>43344.0</v>
      </c>
      <c r="B106" s="36"/>
      <c r="F106" s="66"/>
    </row>
    <row r="107">
      <c r="A107" s="15">
        <v>43374.0</v>
      </c>
      <c r="B107" s="36"/>
      <c r="F107" s="66"/>
    </row>
    <row r="108">
      <c r="A108" s="15">
        <v>43405.0</v>
      </c>
      <c r="B108" s="36"/>
      <c r="F108" s="66"/>
    </row>
    <row r="109">
      <c r="B109" s="36"/>
      <c r="F109" s="66"/>
    </row>
    <row r="110">
      <c r="B110" s="36"/>
      <c r="F110" s="66"/>
    </row>
    <row r="111">
      <c r="B111" s="36"/>
      <c r="F111" s="66"/>
    </row>
    <row r="112">
      <c r="B112" s="36"/>
      <c r="F112" s="66"/>
    </row>
    <row r="113">
      <c r="B113" s="36"/>
      <c r="F113" s="66"/>
    </row>
    <row r="114">
      <c r="B114" s="36"/>
      <c r="F114" s="66"/>
    </row>
    <row r="115">
      <c r="B115" s="36"/>
      <c r="F115" s="66"/>
    </row>
    <row r="116">
      <c r="B116" s="36"/>
      <c r="F116" s="66"/>
    </row>
    <row r="117">
      <c r="B117" s="36"/>
      <c r="F117" s="66"/>
    </row>
    <row r="118">
      <c r="B118" s="36"/>
      <c r="F118" s="66"/>
    </row>
    <row r="119">
      <c r="B119" s="36"/>
      <c r="F119" s="66"/>
    </row>
    <row r="120">
      <c r="B120" s="36"/>
      <c r="F120" s="66"/>
    </row>
    <row r="121">
      <c r="B121" s="36"/>
      <c r="F121" s="66"/>
    </row>
    <row r="122">
      <c r="B122" s="36"/>
      <c r="F122" s="66"/>
    </row>
    <row r="123">
      <c r="B123" s="36"/>
      <c r="F123" s="66"/>
    </row>
    <row r="124">
      <c r="B124" s="36"/>
      <c r="F124" s="66"/>
    </row>
    <row r="125">
      <c r="B125" s="36"/>
      <c r="F125" s="66"/>
    </row>
    <row r="126">
      <c r="B126" s="36"/>
      <c r="F126" s="66"/>
    </row>
    <row r="127">
      <c r="B127" s="36"/>
      <c r="F127" s="66"/>
    </row>
    <row r="128">
      <c r="B128" s="36"/>
      <c r="F128" s="66"/>
    </row>
    <row r="129">
      <c r="B129" s="36"/>
      <c r="F129" s="66"/>
    </row>
    <row r="130">
      <c r="B130" s="36"/>
      <c r="F130" s="66"/>
    </row>
    <row r="131">
      <c r="B131" s="36"/>
      <c r="F131" s="66"/>
    </row>
    <row r="132">
      <c r="B132" s="36"/>
      <c r="F132" s="66"/>
    </row>
    <row r="133">
      <c r="B133" s="36"/>
      <c r="F133" s="66"/>
    </row>
    <row r="134">
      <c r="B134" s="36"/>
      <c r="F134" s="66"/>
    </row>
    <row r="135">
      <c r="B135" s="36"/>
      <c r="F135" s="66"/>
    </row>
    <row r="136">
      <c r="B136" s="36"/>
      <c r="F136" s="66"/>
    </row>
    <row r="137">
      <c r="B137" s="36"/>
      <c r="F137" s="66"/>
    </row>
    <row r="138">
      <c r="B138" s="36"/>
      <c r="F138" s="66"/>
    </row>
    <row r="139">
      <c r="B139" s="36"/>
      <c r="F139" s="66"/>
    </row>
    <row r="140">
      <c r="B140" s="36"/>
      <c r="F140" s="66"/>
    </row>
    <row r="141">
      <c r="B141" s="36"/>
      <c r="F141" s="66"/>
    </row>
    <row r="142">
      <c r="B142" s="36"/>
      <c r="F142" s="66"/>
    </row>
    <row r="143">
      <c r="B143" s="36"/>
      <c r="F143" s="66"/>
    </row>
    <row r="144">
      <c r="B144" s="36"/>
      <c r="F144" s="66"/>
    </row>
    <row r="145">
      <c r="B145" s="36"/>
      <c r="F145" s="66"/>
    </row>
    <row r="146">
      <c r="B146" s="36"/>
      <c r="F146" s="66"/>
    </row>
    <row r="147">
      <c r="B147" s="36"/>
      <c r="F147" s="66"/>
    </row>
    <row r="148">
      <c r="B148" s="36"/>
      <c r="F148" s="66"/>
    </row>
    <row r="149">
      <c r="B149" s="36"/>
      <c r="F149" s="66"/>
    </row>
    <row r="150">
      <c r="B150" s="36"/>
      <c r="F150" s="66"/>
    </row>
    <row r="151">
      <c r="B151" s="36"/>
      <c r="F151" s="66"/>
    </row>
    <row r="152">
      <c r="B152" s="36"/>
      <c r="F152" s="66"/>
    </row>
    <row r="153">
      <c r="B153" s="36"/>
      <c r="F153" s="66"/>
    </row>
    <row r="154">
      <c r="B154" s="36"/>
      <c r="F154" s="66"/>
    </row>
    <row r="155">
      <c r="B155" s="36"/>
      <c r="F155" s="66"/>
    </row>
    <row r="156">
      <c r="B156" s="36"/>
      <c r="F156" s="66"/>
    </row>
    <row r="157">
      <c r="B157" s="36"/>
      <c r="F157" s="66"/>
    </row>
    <row r="158">
      <c r="B158" s="36"/>
      <c r="F158" s="66"/>
    </row>
    <row r="159">
      <c r="B159" s="36"/>
      <c r="F159" s="66"/>
    </row>
    <row r="160">
      <c r="B160" s="36"/>
      <c r="F160" s="66"/>
    </row>
    <row r="161">
      <c r="B161" s="36"/>
      <c r="F161" s="66"/>
    </row>
    <row r="162">
      <c r="B162" s="36"/>
      <c r="F162" s="66"/>
    </row>
    <row r="163">
      <c r="B163" s="36"/>
      <c r="F163" s="66"/>
    </row>
    <row r="164">
      <c r="B164" s="36"/>
      <c r="F164" s="66"/>
    </row>
    <row r="165">
      <c r="B165" s="36"/>
      <c r="F165" s="66"/>
    </row>
    <row r="166">
      <c r="B166" s="36"/>
      <c r="F166" s="66"/>
    </row>
    <row r="167">
      <c r="B167" s="36"/>
      <c r="F167" s="66"/>
    </row>
    <row r="168">
      <c r="B168" s="36"/>
      <c r="F168" s="66"/>
    </row>
    <row r="169">
      <c r="B169" s="36"/>
      <c r="F169" s="66"/>
    </row>
    <row r="170">
      <c r="B170" s="36"/>
      <c r="F170" s="66"/>
    </row>
    <row r="171">
      <c r="B171" s="36"/>
      <c r="F171" s="66"/>
    </row>
    <row r="172">
      <c r="B172" s="36"/>
      <c r="F172" s="66"/>
    </row>
    <row r="173">
      <c r="B173" s="36"/>
      <c r="F173" s="66"/>
    </row>
    <row r="174">
      <c r="B174" s="36"/>
      <c r="F174" s="66"/>
    </row>
    <row r="175">
      <c r="B175" s="36"/>
      <c r="F175" s="66"/>
    </row>
    <row r="176">
      <c r="B176" s="36"/>
      <c r="F176" s="66"/>
    </row>
    <row r="177">
      <c r="B177" s="36"/>
      <c r="F177" s="66"/>
    </row>
    <row r="178">
      <c r="B178" s="36"/>
      <c r="F178" s="66"/>
    </row>
    <row r="179">
      <c r="B179" s="36"/>
      <c r="F179" s="66"/>
    </row>
    <row r="180">
      <c r="B180" s="36"/>
      <c r="F180" s="66"/>
    </row>
    <row r="181">
      <c r="B181" s="36"/>
      <c r="F181" s="66"/>
    </row>
    <row r="182">
      <c r="B182" s="36"/>
      <c r="F182" s="66"/>
    </row>
    <row r="183">
      <c r="B183" s="36"/>
      <c r="F183" s="66"/>
    </row>
    <row r="184">
      <c r="B184" s="36"/>
      <c r="F184" s="66"/>
    </row>
    <row r="185">
      <c r="B185" s="36"/>
      <c r="F185" s="66"/>
    </row>
    <row r="186">
      <c r="B186" s="36"/>
      <c r="F186" s="66"/>
    </row>
    <row r="187">
      <c r="B187" s="36"/>
      <c r="F187" s="66"/>
    </row>
    <row r="188">
      <c r="B188" s="36"/>
      <c r="F188" s="66"/>
    </row>
    <row r="189">
      <c r="B189" s="36"/>
      <c r="F189" s="66"/>
    </row>
    <row r="190">
      <c r="B190" s="36"/>
      <c r="F190" s="66"/>
    </row>
    <row r="191">
      <c r="B191" s="36"/>
      <c r="F191" s="66"/>
    </row>
    <row r="192">
      <c r="B192" s="36"/>
      <c r="F192" s="66"/>
    </row>
    <row r="193">
      <c r="B193" s="36"/>
      <c r="F193" s="66"/>
    </row>
    <row r="194">
      <c r="B194" s="36"/>
      <c r="F194" s="66"/>
    </row>
    <row r="195">
      <c r="B195" s="36"/>
      <c r="F195" s="66"/>
    </row>
    <row r="196">
      <c r="B196" s="36"/>
      <c r="F196" s="66"/>
    </row>
    <row r="197">
      <c r="B197" s="36"/>
      <c r="F197" s="66"/>
    </row>
    <row r="198">
      <c r="B198" s="36"/>
      <c r="F198" s="66"/>
    </row>
    <row r="199">
      <c r="B199" s="36"/>
      <c r="F199" s="66"/>
    </row>
    <row r="200">
      <c r="B200" s="36"/>
      <c r="F200" s="66"/>
    </row>
    <row r="201">
      <c r="B201" s="36"/>
      <c r="F201" s="66"/>
    </row>
    <row r="202">
      <c r="B202" s="36"/>
      <c r="F202" s="66"/>
    </row>
    <row r="203">
      <c r="B203" s="36"/>
      <c r="F203" s="66"/>
    </row>
    <row r="204">
      <c r="B204" s="36"/>
      <c r="F204" s="66"/>
    </row>
    <row r="205">
      <c r="B205" s="36"/>
      <c r="F205" s="66"/>
    </row>
    <row r="206">
      <c r="B206" s="36"/>
      <c r="F206" s="66"/>
    </row>
    <row r="207">
      <c r="B207" s="36"/>
      <c r="F207" s="66"/>
    </row>
    <row r="208">
      <c r="B208" s="36"/>
      <c r="F208" s="66"/>
    </row>
    <row r="209">
      <c r="B209" s="36"/>
      <c r="F209" s="66"/>
    </row>
    <row r="210">
      <c r="B210" s="36"/>
      <c r="F210" s="66"/>
    </row>
    <row r="211">
      <c r="B211" s="36"/>
      <c r="F211" s="66"/>
    </row>
    <row r="212">
      <c r="B212" s="36"/>
      <c r="F212" s="66"/>
    </row>
    <row r="213">
      <c r="B213" s="36"/>
      <c r="F213" s="66"/>
    </row>
    <row r="214">
      <c r="B214" s="36"/>
      <c r="F214" s="66"/>
    </row>
    <row r="215">
      <c r="B215" s="36"/>
      <c r="F215" s="66"/>
    </row>
    <row r="216">
      <c r="B216" s="36"/>
      <c r="F216" s="66"/>
    </row>
    <row r="217">
      <c r="B217" s="36"/>
      <c r="F217" s="66"/>
    </row>
    <row r="218">
      <c r="B218" s="36"/>
      <c r="F218" s="66"/>
    </row>
    <row r="219">
      <c r="B219" s="36"/>
      <c r="F219" s="66"/>
    </row>
    <row r="220">
      <c r="B220" s="36"/>
      <c r="F220" s="66"/>
    </row>
    <row r="221">
      <c r="B221" s="36"/>
      <c r="F221" s="66"/>
    </row>
    <row r="222">
      <c r="B222" s="36"/>
      <c r="F222" s="66"/>
    </row>
    <row r="223">
      <c r="B223" s="36"/>
      <c r="F223" s="66"/>
    </row>
    <row r="224">
      <c r="B224" s="36"/>
      <c r="F224" s="66"/>
    </row>
    <row r="225">
      <c r="B225" s="36"/>
      <c r="F225" s="66"/>
    </row>
    <row r="226">
      <c r="B226" s="36"/>
      <c r="F226" s="66"/>
    </row>
    <row r="227">
      <c r="B227" s="36"/>
      <c r="F227" s="66"/>
    </row>
    <row r="228">
      <c r="B228" s="36"/>
      <c r="F228" s="66"/>
    </row>
    <row r="229">
      <c r="B229" s="36"/>
      <c r="F229" s="66"/>
    </row>
    <row r="230">
      <c r="B230" s="36"/>
      <c r="F230" s="66"/>
    </row>
    <row r="231">
      <c r="B231" s="36"/>
      <c r="F231" s="66"/>
    </row>
    <row r="232">
      <c r="B232" s="36"/>
      <c r="F232" s="66"/>
    </row>
    <row r="233">
      <c r="B233" s="36"/>
      <c r="F233" s="66"/>
    </row>
    <row r="234">
      <c r="B234" s="36"/>
      <c r="F234" s="66"/>
    </row>
    <row r="235">
      <c r="B235" s="36"/>
      <c r="F235" s="66"/>
    </row>
    <row r="236">
      <c r="B236" s="36"/>
      <c r="F236" s="66"/>
    </row>
    <row r="237">
      <c r="B237" s="36"/>
      <c r="F237" s="66"/>
    </row>
    <row r="238">
      <c r="B238" s="36"/>
      <c r="F238" s="66"/>
    </row>
    <row r="239">
      <c r="B239" s="36"/>
      <c r="F239" s="66"/>
    </row>
    <row r="240">
      <c r="B240" s="36"/>
      <c r="F240" s="66"/>
    </row>
    <row r="241">
      <c r="B241" s="36"/>
      <c r="F241" s="66"/>
    </row>
    <row r="242">
      <c r="B242" s="36"/>
      <c r="F242" s="66"/>
    </row>
    <row r="243">
      <c r="B243" s="36"/>
      <c r="F243" s="66"/>
    </row>
    <row r="244">
      <c r="B244" s="36"/>
      <c r="F244" s="66"/>
    </row>
    <row r="245">
      <c r="B245" s="36"/>
      <c r="F245" s="66"/>
    </row>
    <row r="246">
      <c r="B246" s="36"/>
      <c r="F246" s="66"/>
    </row>
    <row r="247">
      <c r="B247" s="36"/>
      <c r="F247" s="66"/>
    </row>
    <row r="248">
      <c r="B248" s="36"/>
      <c r="F248" s="66"/>
    </row>
    <row r="249">
      <c r="B249" s="36"/>
      <c r="F249" s="66"/>
    </row>
    <row r="250">
      <c r="B250" s="36"/>
      <c r="F250" s="66"/>
    </row>
    <row r="251">
      <c r="B251" s="36"/>
      <c r="F251" s="66"/>
    </row>
    <row r="252">
      <c r="B252" s="36"/>
      <c r="F252" s="66"/>
    </row>
    <row r="253">
      <c r="B253" s="36"/>
      <c r="F253" s="66"/>
    </row>
    <row r="254">
      <c r="B254" s="36"/>
      <c r="F254" s="66"/>
    </row>
    <row r="255">
      <c r="B255" s="36"/>
      <c r="F255" s="66"/>
    </row>
    <row r="256">
      <c r="B256" s="36"/>
      <c r="F256" s="66"/>
    </row>
    <row r="257">
      <c r="B257" s="36"/>
      <c r="F257" s="66"/>
    </row>
    <row r="258">
      <c r="B258" s="36"/>
      <c r="F258" s="66"/>
    </row>
    <row r="259">
      <c r="B259" s="36"/>
      <c r="F259" s="66"/>
    </row>
    <row r="260">
      <c r="B260" s="36"/>
      <c r="F260" s="66"/>
    </row>
    <row r="261">
      <c r="B261" s="36"/>
      <c r="F261" s="66"/>
    </row>
    <row r="262">
      <c r="B262" s="36"/>
      <c r="F262" s="66"/>
    </row>
    <row r="263">
      <c r="B263" s="36"/>
      <c r="F263" s="66"/>
    </row>
    <row r="264">
      <c r="B264" s="36"/>
      <c r="F264" s="66"/>
    </row>
    <row r="265">
      <c r="B265" s="36"/>
      <c r="F265" s="66"/>
    </row>
    <row r="266">
      <c r="B266" s="36"/>
      <c r="F266" s="66"/>
    </row>
    <row r="267">
      <c r="B267" s="36"/>
      <c r="F267" s="66"/>
    </row>
    <row r="268">
      <c r="B268" s="36"/>
      <c r="F268" s="66"/>
    </row>
    <row r="269">
      <c r="B269" s="36"/>
      <c r="F269" s="66"/>
    </row>
    <row r="270">
      <c r="B270" s="36"/>
      <c r="F270" s="66"/>
    </row>
    <row r="271">
      <c r="B271" s="36"/>
      <c r="F271" s="66"/>
    </row>
    <row r="272">
      <c r="B272" s="36"/>
      <c r="F272" s="66"/>
    </row>
    <row r="273">
      <c r="B273" s="36"/>
      <c r="F273" s="66"/>
    </row>
    <row r="274">
      <c r="B274" s="36"/>
      <c r="F274" s="66"/>
    </row>
    <row r="275">
      <c r="B275" s="36"/>
      <c r="F275" s="66"/>
    </row>
    <row r="276">
      <c r="B276" s="36"/>
      <c r="F276" s="66"/>
    </row>
    <row r="277">
      <c r="B277" s="36"/>
      <c r="F277" s="66"/>
    </row>
    <row r="278">
      <c r="B278" s="36"/>
      <c r="F278" s="66"/>
    </row>
    <row r="279">
      <c r="B279" s="36"/>
      <c r="F279" s="66"/>
    </row>
    <row r="280">
      <c r="B280" s="36"/>
      <c r="F280" s="66"/>
    </row>
    <row r="281">
      <c r="B281" s="36"/>
      <c r="F281" s="66"/>
    </row>
    <row r="282">
      <c r="B282" s="36"/>
      <c r="F282" s="66"/>
    </row>
    <row r="283">
      <c r="B283" s="36"/>
      <c r="F283" s="66"/>
    </row>
    <row r="284">
      <c r="B284" s="36"/>
      <c r="F284" s="66"/>
    </row>
    <row r="285">
      <c r="B285" s="36"/>
      <c r="F285" s="66"/>
    </row>
    <row r="286">
      <c r="B286" s="36"/>
      <c r="F286" s="66"/>
    </row>
    <row r="287">
      <c r="B287" s="36"/>
      <c r="F287" s="66"/>
    </row>
    <row r="288">
      <c r="B288" s="36"/>
      <c r="F288" s="66"/>
    </row>
    <row r="289">
      <c r="B289" s="36"/>
      <c r="F289" s="66"/>
    </row>
    <row r="290">
      <c r="B290" s="36"/>
      <c r="F290" s="66"/>
    </row>
    <row r="291">
      <c r="B291" s="36"/>
      <c r="F291" s="66"/>
    </row>
    <row r="292">
      <c r="B292" s="36"/>
      <c r="F292" s="66"/>
    </row>
    <row r="293">
      <c r="B293" s="36"/>
      <c r="F293" s="66"/>
    </row>
    <row r="294">
      <c r="B294" s="36"/>
      <c r="F294" s="66"/>
    </row>
    <row r="295">
      <c r="B295" s="36"/>
      <c r="F295" s="66"/>
    </row>
    <row r="296">
      <c r="B296" s="36"/>
      <c r="F296" s="66"/>
    </row>
    <row r="297">
      <c r="B297" s="36"/>
      <c r="F297" s="66"/>
    </row>
    <row r="298">
      <c r="B298" s="36"/>
      <c r="F298" s="66"/>
    </row>
    <row r="299">
      <c r="B299" s="36"/>
      <c r="F299" s="66"/>
    </row>
    <row r="300">
      <c r="B300" s="36"/>
      <c r="F300" s="66"/>
    </row>
    <row r="301">
      <c r="B301" s="36"/>
      <c r="F301" s="66"/>
    </row>
    <row r="302">
      <c r="B302" s="36"/>
      <c r="F302" s="66"/>
    </row>
    <row r="303">
      <c r="B303" s="36"/>
      <c r="F303" s="66"/>
    </row>
    <row r="304">
      <c r="B304" s="36"/>
      <c r="F304" s="66"/>
    </row>
    <row r="305">
      <c r="B305" s="36"/>
      <c r="F305" s="66"/>
    </row>
    <row r="306">
      <c r="B306" s="36"/>
      <c r="F306" s="66"/>
    </row>
    <row r="307">
      <c r="B307" s="36"/>
      <c r="F307" s="66"/>
    </row>
    <row r="308">
      <c r="B308" s="36"/>
      <c r="F308" s="66"/>
    </row>
    <row r="309">
      <c r="B309" s="36"/>
      <c r="F309" s="66"/>
    </row>
    <row r="310">
      <c r="B310" s="36"/>
      <c r="F310" s="66"/>
    </row>
    <row r="311">
      <c r="B311" s="36"/>
      <c r="F311" s="66"/>
    </row>
    <row r="312">
      <c r="B312" s="36"/>
      <c r="F312" s="66"/>
    </row>
    <row r="313">
      <c r="B313" s="36"/>
      <c r="F313" s="66"/>
    </row>
    <row r="314">
      <c r="B314" s="36"/>
      <c r="F314" s="66"/>
    </row>
    <row r="315">
      <c r="B315" s="36"/>
      <c r="F315" s="66"/>
    </row>
    <row r="316">
      <c r="B316" s="36"/>
      <c r="F316" s="66"/>
    </row>
    <row r="317">
      <c r="B317" s="36"/>
      <c r="F317" s="66"/>
    </row>
    <row r="318">
      <c r="B318" s="36"/>
      <c r="F318" s="66"/>
    </row>
    <row r="319">
      <c r="B319" s="36"/>
      <c r="F319" s="66"/>
    </row>
    <row r="320">
      <c r="B320" s="36"/>
      <c r="F320" s="66"/>
    </row>
    <row r="321">
      <c r="B321" s="36"/>
      <c r="F321" s="66"/>
    </row>
    <row r="322">
      <c r="B322" s="36"/>
      <c r="F322" s="66"/>
    </row>
    <row r="323">
      <c r="B323" s="36"/>
      <c r="F323" s="66"/>
    </row>
    <row r="324">
      <c r="B324" s="36"/>
      <c r="F324" s="66"/>
    </row>
    <row r="325">
      <c r="B325" s="36"/>
      <c r="F325" s="66"/>
    </row>
    <row r="326">
      <c r="B326" s="36"/>
      <c r="F326" s="66"/>
    </row>
    <row r="327">
      <c r="B327" s="36"/>
      <c r="F327" s="66"/>
    </row>
    <row r="328">
      <c r="B328" s="36"/>
      <c r="F328" s="66"/>
    </row>
    <row r="329">
      <c r="B329" s="36"/>
      <c r="F329" s="66"/>
    </row>
    <row r="330">
      <c r="B330" s="36"/>
      <c r="F330" s="66"/>
    </row>
    <row r="331">
      <c r="B331" s="36"/>
      <c r="F331" s="66"/>
    </row>
    <row r="332">
      <c r="B332" s="36"/>
      <c r="F332" s="66"/>
    </row>
    <row r="333">
      <c r="B333" s="36"/>
      <c r="F333" s="66"/>
    </row>
    <row r="334">
      <c r="B334" s="36"/>
      <c r="F334" s="66"/>
    </row>
    <row r="335">
      <c r="B335" s="36"/>
      <c r="F335" s="66"/>
    </row>
    <row r="336">
      <c r="B336" s="36"/>
      <c r="F336" s="66"/>
    </row>
    <row r="337">
      <c r="B337" s="36"/>
      <c r="F337" s="66"/>
    </row>
    <row r="338">
      <c r="B338" s="36"/>
      <c r="F338" s="66"/>
    </row>
    <row r="339">
      <c r="B339" s="36"/>
      <c r="F339" s="66"/>
    </row>
    <row r="340">
      <c r="B340" s="36"/>
      <c r="F340" s="66"/>
    </row>
    <row r="341">
      <c r="B341" s="36"/>
      <c r="F341" s="66"/>
    </row>
    <row r="342">
      <c r="B342" s="36"/>
      <c r="F342" s="66"/>
    </row>
    <row r="343">
      <c r="B343" s="36"/>
      <c r="F343" s="66"/>
    </row>
    <row r="344">
      <c r="B344" s="36"/>
      <c r="F344" s="66"/>
    </row>
    <row r="345">
      <c r="B345" s="36"/>
      <c r="F345" s="66"/>
    </row>
    <row r="346">
      <c r="B346" s="36"/>
      <c r="F346" s="66"/>
    </row>
    <row r="347">
      <c r="B347" s="36"/>
      <c r="F347" s="66"/>
    </row>
    <row r="348">
      <c r="B348" s="36"/>
      <c r="F348" s="66"/>
    </row>
    <row r="349">
      <c r="B349" s="36"/>
      <c r="F349" s="66"/>
    </row>
    <row r="350">
      <c r="B350" s="36"/>
      <c r="F350" s="66"/>
    </row>
    <row r="351">
      <c r="B351" s="36"/>
      <c r="F351" s="66"/>
    </row>
    <row r="352">
      <c r="B352" s="36"/>
      <c r="F352" s="66"/>
    </row>
    <row r="353">
      <c r="B353" s="36"/>
      <c r="F353" s="66"/>
    </row>
    <row r="354">
      <c r="B354" s="36"/>
      <c r="F354" s="66"/>
    </row>
    <row r="355">
      <c r="B355" s="36"/>
      <c r="F355" s="66"/>
    </row>
    <row r="356">
      <c r="B356" s="36"/>
      <c r="F356" s="66"/>
    </row>
    <row r="357">
      <c r="B357" s="36"/>
      <c r="F357" s="66"/>
    </row>
    <row r="358">
      <c r="B358" s="36"/>
      <c r="F358" s="66"/>
    </row>
    <row r="359">
      <c r="B359" s="36"/>
      <c r="F359" s="66"/>
    </row>
    <row r="360">
      <c r="B360" s="36"/>
      <c r="F360" s="66"/>
    </row>
    <row r="361">
      <c r="B361" s="36"/>
      <c r="F361" s="66"/>
    </row>
    <row r="362">
      <c r="B362" s="36"/>
      <c r="F362" s="66"/>
    </row>
    <row r="363">
      <c r="B363" s="36"/>
      <c r="F363" s="66"/>
    </row>
    <row r="364">
      <c r="B364" s="36"/>
      <c r="F364" s="66"/>
    </row>
    <row r="365">
      <c r="B365" s="36"/>
      <c r="F365" s="66"/>
    </row>
    <row r="366">
      <c r="B366" s="36"/>
      <c r="F366" s="66"/>
    </row>
    <row r="367">
      <c r="B367" s="36"/>
      <c r="F367" s="66"/>
    </row>
    <row r="368">
      <c r="B368" s="36"/>
      <c r="F368" s="66"/>
    </row>
    <row r="369">
      <c r="B369" s="36"/>
      <c r="F369" s="66"/>
    </row>
    <row r="370">
      <c r="B370" s="36"/>
      <c r="F370" s="66"/>
    </row>
    <row r="371">
      <c r="B371" s="36"/>
      <c r="F371" s="66"/>
    </row>
    <row r="372">
      <c r="B372" s="36"/>
      <c r="F372" s="66"/>
    </row>
    <row r="373">
      <c r="B373" s="36"/>
      <c r="F373" s="66"/>
    </row>
    <row r="374">
      <c r="B374" s="36"/>
      <c r="F374" s="66"/>
    </row>
    <row r="375">
      <c r="B375" s="36"/>
      <c r="F375" s="66"/>
    </row>
    <row r="376">
      <c r="B376" s="36"/>
      <c r="F376" s="66"/>
    </row>
    <row r="377">
      <c r="B377" s="36"/>
      <c r="F377" s="66"/>
    </row>
    <row r="378">
      <c r="B378" s="36"/>
      <c r="F378" s="66"/>
    </row>
    <row r="379">
      <c r="B379" s="36"/>
      <c r="F379" s="66"/>
    </row>
    <row r="380">
      <c r="B380" s="36"/>
      <c r="F380" s="66"/>
    </row>
    <row r="381">
      <c r="B381" s="36"/>
      <c r="F381" s="66"/>
    </row>
    <row r="382">
      <c r="B382" s="36"/>
      <c r="F382" s="66"/>
    </row>
    <row r="383">
      <c r="B383" s="36"/>
      <c r="F383" s="66"/>
    </row>
    <row r="384">
      <c r="B384" s="36"/>
      <c r="F384" s="66"/>
    </row>
    <row r="385">
      <c r="B385" s="36"/>
      <c r="F385" s="66"/>
    </row>
    <row r="386">
      <c r="B386" s="36"/>
      <c r="F386" s="66"/>
    </row>
    <row r="387">
      <c r="B387" s="36"/>
      <c r="F387" s="66"/>
    </row>
    <row r="388">
      <c r="B388" s="36"/>
      <c r="F388" s="66"/>
    </row>
    <row r="389">
      <c r="B389" s="36"/>
      <c r="F389" s="66"/>
    </row>
    <row r="390">
      <c r="B390" s="36"/>
      <c r="F390" s="66"/>
    </row>
    <row r="391">
      <c r="B391" s="36"/>
      <c r="F391" s="66"/>
    </row>
    <row r="392">
      <c r="B392" s="36"/>
      <c r="F392" s="66"/>
    </row>
    <row r="393">
      <c r="B393" s="36"/>
      <c r="F393" s="66"/>
    </row>
    <row r="394">
      <c r="B394" s="36"/>
      <c r="F394" s="66"/>
    </row>
    <row r="395">
      <c r="B395" s="36"/>
      <c r="F395" s="66"/>
    </row>
    <row r="396">
      <c r="B396" s="36"/>
      <c r="F396" s="66"/>
    </row>
    <row r="397">
      <c r="B397" s="36"/>
      <c r="F397" s="66"/>
    </row>
    <row r="398">
      <c r="B398" s="36"/>
      <c r="F398" s="66"/>
    </row>
    <row r="399">
      <c r="B399" s="36"/>
      <c r="F399" s="66"/>
    </row>
    <row r="400">
      <c r="B400" s="36"/>
      <c r="F400" s="66"/>
    </row>
    <row r="401">
      <c r="B401" s="36"/>
      <c r="F401" s="66"/>
    </row>
    <row r="402">
      <c r="B402" s="36"/>
      <c r="F402" s="66"/>
    </row>
    <row r="403">
      <c r="B403" s="36"/>
      <c r="F403" s="66"/>
    </row>
    <row r="404">
      <c r="B404" s="36"/>
      <c r="F404" s="66"/>
    </row>
    <row r="405">
      <c r="B405" s="36"/>
      <c r="F405" s="66"/>
    </row>
    <row r="406">
      <c r="B406" s="36"/>
      <c r="F406" s="66"/>
    </row>
    <row r="407">
      <c r="B407" s="36"/>
      <c r="F407" s="66"/>
    </row>
    <row r="408">
      <c r="B408" s="36"/>
      <c r="F408" s="66"/>
    </row>
    <row r="409">
      <c r="B409" s="36"/>
      <c r="F409" s="66"/>
    </row>
    <row r="410">
      <c r="B410" s="36"/>
      <c r="F410" s="66"/>
    </row>
    <row r="411">
      <c r="B411" s="36"/>
      <c r="F411" s="66"/>
    </row>
    <row r="412">
      <c r="B412" s="36"/>
      <c r="F412" s="66"/>
    </row>
    <row r="413">
      <c r="B413" s="36"/>
      <c r="F413" s="66"/>
    </row>
    <row r="414">
      <c r="B414" s="36"/>
      <c r="F414" s="66"/>
    </row>
    <row r="415">
      <c r="B415" s="36"/>
      <c r="F415" s="66"/>
    </row>
    <row r="416">
      <c r="B416" s="36"/>
      <c r="F416" s="66"/>
    </row>
    <row r="417">
      <c r="B417" s="36"/>
      <c r="F417" s="66"/>
    </row>
    <row r="418">
      <c r="B418" s="36"/>
      <c r="F418" s="66"/>
    </row>
    <row r="419">
      <c r="B419" s="36"/>
      <c r="F419" s="66"/>
    </row>
    <row r="420">
      <c r="B420" s="36"/>
      <c r="F420" s="66"/>
    </row>
    <row r="421">
      <c r="B421" s="36"/>
      <c r="F421" s="66"/>
    </row>
    <row r="422">
      <c r="B422" s="36"/>
      <c r="F422" s="66"/>
    </row>
    <row r="423">
      <c r="B423" s="36"/>
      <c r="F423" s="66"/>
    </row>
    <row r="424">
      <c r="B424" s="36"/>
      <c r="F424" s="66"/>
    </row>
    <row r="425">
      <c r="B425" s="36"/>
      <c r="F425" s="66"/>
    </row>
    <row r="426">
      <c r="B426" s="36"/>
      <c r="F426" s="66"/>
    </row>
    <row r="427">
      <c r="B427" s="36"/>
      <c r="F427" s="66"/>
    </row>
    <row r="428">
      <c r="B428" s="36"/>
      <c r="F428" s="66"/>
    </row>
    <row r="429">
      <c r="B429" s="36"/>
      <c r="F429" s="66"/>
    </row>
    <row r="430">
      <c r="B430" s="36"/>
      <c r="F430" s="66"/>
    </row>
    <row r="431">
      <c r="B431" s="36"/>
      <c r="F431" s="66"/>
    </row>
    <row r="432">
      <c r="B432" s="36"/>
      <c r="F432" s="66"/>
    </row>
    <row r="433">
      <c r="B433" s="36"/>
      <c r="F433" s="66"/>
    </row>
    <row r="434">
      <c r="B434" s="36"/>
      <c r="F434" s="66"/>
    </row>
    <row r="435">
      <c r="B435" s="36"/>
      <c r="F435" s="66"/>
    </row>
    <row r="436">
      <c r="B436" s="36"/>
      <c r="F436" s="66"/>
    </row>
    <row r="437">
      <c r="B437" s="36"/>
      <c r="F437" s="66"/>
    </row>
    <row r="438">
      <c r="B438" s="36"/>
      <c r="F438" s="66"/>
    </row>
    <row r="439">
      <c r="B439" s="36"/>
      <c r="F439" s="66"/>
    </row>
    <row r="440">
      <c r="B440" s="36"/>
      <c r="F440" s="66"/>
    </row>
    <row r="441">
      <c r="B441" s="36"/>
      <c r="F441" s="66"/>
    </row>
    <row r="442">
      <c r="B442" s="36"/>
      <c r="F442" s="66"/>
    </row>
    <row r="443">
      <c r="B443" s="36"/>
      <c r="F443" s="66"/>
    </row>
    <row r="444">
      <c r="B444" s="36"/>
      <c r="F444" s="66"/>
    </row>
    <row r="445">
      <c r="B445" s="36"/>
      <c r="F445" s="66"/>
    </row>
    <row r="446">
      <c r="B446" s="36"/>
      <c r="F446" s="66"/>
    </row>
    <row r="447">
      <c r="B447" s="36"/>
      <c r="F447" s="66"/>
    </row>
    <row r="448">
      <c r="B448" s="36"/>
      <c r="F448" s="66"/>
    </row>
    <row r="449">
      <c r="B449" s="36"/>
      <c r="F449" s="66"/>
    </row>
    <row r="450">
      <c r="B450" s="36"/>
      <c r="F450" s="66"/>
    </row>
    <row r="451">
      <c r="B451" s="36"/>
      <c r="F451" s="66"/>
    </row>
    <row r="452">
      <c r="B452" s="36"/>
      <c r="F452" s="66"/>
    </row>
    <row r="453">
      <c r="B453" s="36"/>
      <c r="F453" s="66"/>
    </row>
    <row r="454">
      <c r="B454" s="36"/>
      <c r="F454" s="66"/>
    </row>
    <row r="455">
      <c r="B455" s="36"/>
      <c r="F455" s="66"/>
    </row>
    <row r="456">
      <c r="B456" s="36"/>
      <c r="F456" s="66"/>
    </row>
    <row r="457">
      <c r="B457" s="36"/>
      <c r="F457" s="66"/>
    </row>
    <row r="458">
      <c r="B458" s="36"/>
      <c r="F458" s="66"/>
    </row>
    <row r="459">
      <c r="B459" s="36"/>
      <c r="F459" s="66"/>
    </row>
    <row r="460">
      <c r="B460" s="36"/>
      <c r="F460" s="66"/>
    </row>
    <row r="461">
      <c r="B461" s="36"/>
      <c r="F461" s="66"/>
    </row>
    <row r="462">
      <c r="B462" s="36"/>
      <c r="F462" s="66"/>
    </row>
    <row r="463">
      <c r="B463" s="36"/>
      <c r="F463" s="66"/>
    </row>
    <row r="464">
      <c r="B464" s="36"/>
      <c r="F464" s="66"/>
    </row>
    <row r="465">
      <c r="B465" s="36"/>
      <c r="F465" s="66"/>
    </row>
    <row r="466">
      <c r="B466" s="36"/>
      <c r="F466" s="66"/>
    </row>
    <row r="467">
      <c r="B467" s="36"/>
      <c r="F467" s="66"/>
    </row>
    <row r="468">
      <c r="B468" s="36"/>
      <c r="F468" s="66"/>
    </row>
    <row r="469">
      <c r="B469" s="36"/>
      <c r="F469" s="66"/>
    </row>
    <row r="470">
      <c r="B470" s="36"/>
      <c r="F470" s="66"/>
    </row>
    <row r="471">
      <c r="B471" s="36"/>
      <c r="F471" s="66"/>
    </row>
    <row r="472">
      <c r="B472" s="36"/>
      <c r="F472" s="66"/>
    </row>
    <row r="473">
      <c r="B473" s="36"/>
      <c r="F473" s="66"/>
    </row>
    <row r="474">
      <c r="B474" s="36"/>
      <c r="F474" s="66"/>
    </row>
    <row r="475">
      <c r="B475" s="36"/>
      <c r="F475" s="66"/>
    </row>
    <row r="476">
      <c r="B476" s="36"/>
      <c r="F476" s="66"/>
    </row>
    <row r="477">
      <c r="B477" s="36"/>
      <c r="F477" s="66"/>
    </row>
    <row r="478">
      <c r="B478" s="36"/>
      <c r="F478" s="66"/>
    </row>
    <row r="479">
      <c r="B479" s="36"/>
      <c r="F479" s="66"/>
    </row>
    <row r="480">
      <c r="B480" s="36"/>
      <c r="F480" s="66"/>
    </row>
    <row r="481">
      <c r="B481" s="36"/>
      <c r="F481" s="66"/>
    </row>
    <row r="482">
      <c r="B482" s="36"/>
      <c r="F482" s="66"/>
    </row>
    <row r="483">
      <c r="B483" s="36"/>
      <c r="F483" s="66"/>
    </row>
    <row r="484">
      <c r="B484" s="36"/>
      <c r="F484" s="66"/>
    </row>
    <row r="485">
      <c r="B485" s="36"/>
      <c r="F485" s="66"/>
    </row>
    <row r="486">
      <c r="B486" s="36"/>
      <c r="F486" s="66"/>
    </row>
    <row r="487">
      <c r="B487" s="36"/>
      <c r="F487" s="66"/>
    </row>
    <row r="488">
      <c r="B488" s="36"/>
      <c r="F488" s="66"/>
    </row>
    <row r="489">
      <c r="B489" s="36"/>
      <c r="F489" s="66"/>
    </row>
    <row r="490">
      <c r="B490" s="36"/>
      <c r="F490" s="66"/>
    </row>
    <row r="491">
      <c r="B491" s="36"/>
      <c r="F491" s="66"/>
    </row>
    <row r="492">
      <c r="B492" s="36"/>
      <c r="F492" s="66"/>
    </row>
    <row r="493">
      <c r="B493" s="36"/>
      <c r="F493" s="66"/>
    </row>
    <row r="494">
      <c r="B494" s="36"/>
      <c r="F494" s="66"/>
    </row>
    <row r="495">
      <c r="B495" s="36"/>
      <c r="F495" s="66"/>
    </row>
    <row r="496">
      <c r="B496" s="36"/>
      <c r="F496" s="66"/>
    </row>
    <row r="497">
      <c r="B497" s="36"/>
      <c r="F497" s="66"/>
    </row>
    <row r="498">
      <c r="B498" s="36"/>
      <c r="F498" s="66"/>
    </row>
    <row r="499">
      <c r="B499" s="36"/>
      <c r="F499" s="66"/>
    </row>
    <row r="500">
      <c r="B500" s="36"/>
      <c r="F500" s="66"/>
    </row>
    <row r="501">
      <c r="B501" s="36"/>
      <c r="F501" s="66"/>
    </row>
    <row r="502">
      <c r="B502" s="36"/>
      <c r="F502" s="66"/>
    </row>
    <row r="503">
      <c r="B503" s="36"/>
      <c r="F503" s="66"/>
    </row>
    <row r="504">
      <c r="B504" s="36"/>
      <c r="F504" s="66"/>
    </row>
    <row r="505">
      <c r="B505" s="36"/>
      <c r="F505" s="66"/>
    </row>
    <row r="506">
      <c r="B506" s="36"/>
      <c r="F506" s="66"/>
    </row>
    <row r="507">
      <c r="B507" s="36"/>
      <c r="F507" s="66"/>
    </row>
    <row r="508">
      <c r="B508" s="36"/>
      <c r="F508" s="66"/>
    </row>
    <row r="509">
      <c r="B509" s="36"/>
      <c r="F509" s="66"/>
    </row>
    <row r="510">
      <c r="B510" s="36"/>
      <c r="F510" s="66"/>
    </row>
    <row r="511">
      <c r="B511" s="36"/>
      <c r="F511" s="66"/>
    </row>
    <row r="512">
      <c r="B512" s="36"/>
      <c r="F512" s="66"/>
    </row>
    <row r="513">
      <c r="B513" s="36"/>
      <c r="F513" s="66"/>
    </row>
    <row r="514">
      <c r="B514" s="36"/>
      <c r="F514" s="66"/>
    </row>
    <row r="515">
      <c r="B515" s="36"/>
      <c r="F515" s="66"/>
    </row>
    <row r="516">
      <c r="B516" s="36"/>
      <c r="F516" s="66"/>
    </row>
    <row r="517">
      <c r="B517" s="36"/>
      <c r="F517" s="66"/>
    </row>
    <row r="518">
      <c r="B518" s="36"/>
      <c r="F518" s="66"/>
    </row>
    <row r="519">
      <c r="B519" s="36"/>
      <c r="F519" s="66"/>
    </row>
    <row r="520">
      <c r="B520" s="36"/>
      <c r="F520" s="66"/>
    </row>
    <row r="521">
      <c r="B521" s="36"/>
      <c r="F521" s="66"/>
    </row>
    <row r="522">
      <c r="B522" s="36"/>
      <c r="F522" s="66"/>
    </row>
    <row r="523">
      <c r="B523" s="36"/>
      <c r="F523" s="66"/>
    </row>
    <row r="524">
      <c r="B524" s="36"/>
      <c r="F524" s="66"/>
    </row>
    <row r="525">
      <c r="B525" s="36"/>
      <c r="F525" s="66"/>
    </row>
    <row r="526">
      <c r="B526" s="36"/>
      <c r="F526" s="66"/>
    </row>
    <row r="527">
      <c r="B527" s="36"/>
      <c r="F527" s="66"/>
    </row>
    <row r="528">
      <c r="B528" s="36"/>
      <c r="F528" s="66"/>
    </row>
    <row r="529">
      <c r="B529" s="36"/>
      <c r="F529" s="66"/>
    </row>
    <row r="530">
      <c r="B530" s="36"/>
      <c r="F530" s="66"/>
    </row>
    <row r="531">
      <c r="B531" s="36"/>
      <c r="F531" s="66"/>
    </row>
    <row r="532">
      <c r="B532" s="36"/>
      <c r="F532" s="66"/>
    </row>
    <row r="533">
      <c r="B533" s="36"/>
      <c r="F533" s="66"/>
    </row>
    <row r="534">
      <c r="B534" s="36"/>
      <c r="F534" s="66"/>
    </row>
    <row r="535">
      <c r="B535" s="36"/>
      <c r="F535" s="66"/>
    </row>
    <row r="536">
      <c r="B536" s="36"/>
      <c r="F536" s="66"/>
    </row>
    <row r="537">
      <c r="B537" s="36"/>
      <c r="F537" s="66"/>
    </row>
    <row r="538">
      <c r="B538" s="36"/>
      <c r="F538" s="66"/>
    </row>
    <row r="539">
      <c r="B539" s="36"/>
      <c r="F539" s="66"/>
    </row>
    <row r="540">
      <c r="B540" s="36"/>
      <c r="F540" s="66"/>
    </row>
    <row r="541">
      <c r="B541" s="36"/>
      <c r="F541" s="66"/>
    </row>
    <row r="542">
      <c r="B542" s="36"/>
      <c r="F542" s="66"/>
    </row>
    <row r="543">
      <c r="B543" s="36"/>
      <c r="F543" s="66"/>
    </row>
    <row r="544">
      <c r="B544" s="36"/>
      <c r="F544" s="66"/>
    </row>
    <row r="545">
      <c r="B545" s="36"/>
      <c r="F545" s="66"/>
    </row>
    <row r="546">
      <c r="B546" s="36"/>
      <c r="F546" s="66"/>
    </row>
    <row r="547">
      <c r="B547" s="36"/>
      <c r="F547" s="66"/>
    </row>
    <row r="548">
      <c r="B548" s="36"/>
      <c r="F548" s="66"/>
    </row>
    <row r="549">
      <c r="B549" s="36"/>
      <c r="F549" s="66"/>
    </row>
    <row r="550">
      <c r="B550" s="36"/>
      <c r="F550" s="66"/>
    </row>
    <row r="551">
      <c r="B551" s="36"/>
      <c r="F551" s="66"/>
    </row>
    <row r="552">
      <c r="B552" s="36"/>
      <c r="F552" s="66"/>
    </row>
    <row r="553">
      <c r="B553" s="36"/>
      <c r="F553" s="66"/>
    </row>
    <row r="554">
      <c r="B554" s="36"/>
      <c r="F554" s="66"/>
    </row>
    <row r="555">
      <c r="B555" s="36"/>
      <c r="F555" s="66"/>
    </row>
    <row r="556">
      <c r="B556" s="36"/>
      <c r="F556" s="66"/>
    </row>
    <row r="557">
      <c r="B557" s="36"/>
      <c r="F557" s="66"/>
    </row>
    <row r="558">
      <c r="B558" s="36"/>
      <c r="F558" s="66"/>
    </row>
    <row r="559">
      <c r="B559" s="36"/>
      <c r="F559" s="66"/>
    </row>
    <row r="560">
      <c r="B560" s="36"/>
      <c r="F560" s="66"/>
    </row>
    <row r="561">
      <c r="B561" s="36"/>
      <c r="F561" s="66"/>
    </row>
    <row r="562">
      <c r="B562" s="36"/>
      <c r="F562" s="66"/>
    </row>
    <row r="563">
      <c r="B563" s="36"/>
      <c r="F563" s="66"/>
    </row>
    <row r="564">
      <c r="B564" s="36"/>
      <c r="F564" s="66"/>
    </row>
    <row r="565">
      <c r="B565" s="36"/>
      <c r="F565" s="66"/>
    </row>
    <row r="566">
      <c r="B566" s="36"/>
      <c r="F566" s="66"/>
    </row>
    <row r="567">
      <c r="B567" s="36"/>
      <c r="F567" s="66"/>
    </row>
    <row r="568">
      <c r="B568" s="36"/>
      <c r="F568" s="66"/>
    </row>
    <row r="569">
      <c r="B569" s="36"/>
      <c r="F569" s="66"/>
    </row>
    <row r="570">
      <c r="B570" s="36"/>
      <c r="F570" s="66"/>
    </row>
    <row r="571">
      <c r="B571" s="36"/>
      <c r="F571" s="66"/>
    </row>
    <row r="572">
      <c r="B572" s="36"/>
      <c r="F572" s="66"/>
    </row>
    <row r="573">
      <c r="B573" s="36"/>
      <c r="F573" s="66"/>
    </row>
    <row r="574">
      <c r="B574" s="36"/>
      <c r="F574" s="66"/>
    </row>
    <row r="575">
      <c r="B575" s="36"/>
      <c r="F575" s="66"/>
    </row>
    <row r="576">
      <c r="B576" s="36"/>
      <c r="F576" s="66"/>
    </row>
    <row r="577">
      <c r="B577" s="36"/>
      <c r="F577" s="66"/>
    </row>
    <row r="578">
      <c r="B578" s="36"/>
      <c r="F578" s="66"/>
    </row>
    <row r="579">
      <c r="B579" s="36"/>
      <c r="F579" s="66"/>
    </row>
    <row r="580">
      <c r="B580" s="36"/>
      <c r="F580" s="66"/>
    </row>
    <row r="581">
      <c r="B581" s="36"/>
      <c r="F581" s="66"/>
    </row>
    <row r="582">
      <c r="B582" s="36"/>
      <c r="F582" s="66"/>
    </row>
    <row r="583">
      <c r="B583" s="36"/>
      <c r="F583" s="66"/>
    </row>
    <row r="584">
      <c r="B584" s="36"/>
      <c r="F584" s="66"/>
    </row>
    <row r="585">
      <c r="B585" s="36"/>
      <c r="F585" s="66"/>
    </row>
    <row r="586">
      <c r="B586" s="36"/>
      <c r="F586" s="66"/>
    </row>
    <row r="587">
      <c r="B587" s="36"/>
      <c r="F587" s="66"/>
    </row>
    <row r="588">
      <c r="B588" s="36"/>
      <c r="F588" s="66"/>
    </row>
    <row r="589">
      <c r="B589" s="36"/>
      <c r="F589" s="66"/>
    </row>
    <row r="590">
      <c r="B590" s="36"/>
      <c r="F590" s="66"/>
    </row>
    <row r="591">
      <c r="B591" s="36"/>
      <c r="F591" s="66"/>
    </row>
    <row r="592">
      <c r="B592" s="36"/>
      <c r="F592" s="66"/>
    </row>
    <row r="593">
      <c r="B593" s="36"/>
      <c r="F593" s="66"/>
    </row>
    <row r="594">
      <c r="B594" s="36"/>
      <c r="F594" s="66"/>
    </row>
    <row r="595">
      <c r="B595" s="36"/>
      <c r="F595" s="66"/>
    </row>
    <row r="596">
      <c r="B596" s="36"/>
      <c r="F596" s="66"/>
    </row>
    <row r="597">
      <c r="B597" s="36"/>
      <c r="F597" s="66"/>
    </row>
    <row r="598">
      <c r="B598" s="36"/>
      <c r="F598" s="66"/>
    </row>
    <row r="599">
      <c r="B599" s="36"/>
      <c r="F599" s="66"/>
    </row>
    <row r="600">
      <c r="B600" s="36"/>
      <c r="F600" s="66"/>
    </row>
    <row r="601">
      <c r="B601" s="36"/>
      <c r="F601" s="66"/>
    </row>
    <row r="602">
      <c r="B602" s="36"/>
      <c r="F602" s="66"/>
    </row>
    <row r="603">
      <c r="B603" s="36"/>
      <c r="F603" s="66"/>
    </row>
    <row r="604">
      <c r="B604" s="36"/>
      <c r="F604" s="66"/>
    </row>
    <row r="605">
      <c r="B605" s="36"/>
      <c r="F605" s="66"/>
    </row>
    <row r="606">
      <c r="B606" s="36"/>
      <c r="F606" s="66"/>
    </row>
    <row r="607">
      <c r="B607" s="36"/>
      <c r="F607" s="66"/>
    </row>
    <row r="608">
      <c r="B608" s="36"/>
      <c r="F608" s="66"/>
    </row>
    <row r="609">
      <c r="B609" s="36"/>
      <c r="F609" s="66"/>
    </row>
    <row r="610">
      <c r="B610" s="36"/>
      <c r="F610" s="66"/>
    </row>
    <row r="611">
      <c r="B611" s="36"/>
      <c r="F611" s="66"/>
    </row>
    <row r="612">
      <c r="B612" s="36"/>
      <c r="F612" s="66"/>
    </row>
    <row r="613">
      <c r="B613" s="36"/>
      <c r="F613" s="66"/>
    </row>
    <row r="614">
      <c r="B614" s="36"/>
      <c r="F614" s="66"/>
    </row>
    <row r="615">
      <c r="B615" s="36"/>
      <c r="F615" s="66"/>
    </row>
    <row r="616">
      <c r="B616" s="36"/>
      <c r="F616" s="66"/>
    </row>
    <row r="617">
      <c r="B617" s="36"/>
      <c r="F617" s="66"/>
    </row>
    <row r="618">
      <c r="B618" s="36"/>
      <c r="F618" s="66"/>
    </row>
    <row r="619">
      <c r="B619" s="36"/>
      <c r="F619" s="66"/>
    </row>
    <row r="620">
      <c r="B620" s="36"/>
      <c r="F620" s="66"/>
    </row>
    <row r="621">
      <c r="B621" s="36"/>
      <c r="F621" s="66"/>
    </row>
    <row r="622">
      <c r="B622" s="36"/>
      <c r="F622" s="66"/>
    </row>
    <row r="623">
      <c r="B623" s="36"/>
      <c r="F623" s="66"/>
    </row>
    <row r="624">
      <c r="B624" s="36"/>
      <c r="F624" s="66"/>
    </row>
    <row r="625">
      <c r="B625" s="36"/>
      <c r="F625" s="66"/>
    </row>
    <row r="626">
      <c r="B626" s="36"/>
      <c r="F626" s="66"/>
    </row>
    <row r="627">
      <c r="B627" s="36"/>
      <c r="F627" s="66"/>
    </row>
    <row r="628">
      <c r="B628" s="36"/>
      <c r="F628" s="66"/>
    </row>
    <row r="629">
      <c r="B629" s="36"/>
      <c r="F629" s="66"/>
    </row>
    <row r="630">
      <c r="B630" s="36"/>
      <c r="F630" s="66"/>
    </row>
    <row r="631">
      <c r="B631" s="36"/>
      <c r="F631" s="66"/>
    </row>
    <row r="632">
      <c r="B632" s="36"/>
      <c r="F632" s="66"/>
    </row>
    <row r="633">
      <c r="B633" s="36"/>
      <c r="F633" s="66"/>
    </row>
    <row r="634">
      <c r="B634" s="36"/>
      <c r="F634" s="66"/>
    </row>
    <row r="635">
      <c r="B635" s="36"/>
      <c r="F635" s="66"/>
    </row>
    <row r="636">
      <c r="B636" s="36"/>
      <c r="F636" s="66"/>
    </row>
    <row r="637">
      <c r="B637" s="36"/>
      <c r="F637" s="66"/>
    </row>
    <row r="638">
      <c r="B638" s="36"/>
      <c r="F638" s="66"/>
    </row>
    <row r="639">
      <c r="B639" s="36"/>
      <c r="F639" s="66"/>
    </row>
    <row r="640">
      <c r="B640" s="36"/>
      <c r="F640" s="66"/>
    </row>
    <row r="641">
      <c r="B641" s="36"/>
      <c r="F641" s="66"/>
    </row>
    <row r="642">
      <c r="B642" s="36"/>
      <c r="F642" s="66"/>
    </row>
    <row r="643">
      <c r="B643" s="36"/>
      <c r="F643" s="66"/>
    </row>
    <row r="644">
      <c r="B644" s="36"/>
      <c r="F644" s="66"/>
    </row>
    <row r="645">
      <c r="B645" s="36"/>
      <c r="F645" s="66"/>
    </row>
    <row r="646">
      <c r="B646" s="36"/>
      <c r="F646" s="66"/>
    </row>
    <row r="647">
      <c r="B647" s="36"/>
      <c r="F647" s="66"/>
    </row>
    <row r="648">
      <c r="B648" s="36"/>
      <c r="F648" s="66"/>
    </row>
    <row r="649">
      <c r="B649" s="36"/>
      <c r="F649" s="66"/>
    </row>
    <row r="650">
      <c r="B650" s="36"/>
      <c r="F650" s="66"/>
    </row>
    <row r="651">
      <c r="B651" s="36"/>
      <c r="F651" s="66"/>
    </row>
    <row r="652">
      <c r="B652" s="36"/>
      <c r="F652" s="66"/>
    </row>
    <row r="653">
      <c r="B653" s="36"/>
      <c r="F653" s="66"/>
    </row>
    <row r="654">
      <c r="B654" s="36"/>
      <c r="F654" s="66"/>
    </row>
    <row r="655">
      <c r="B655" s="36"/>
      <c r="F655" s="66"/>
    </row>
    <row r="656">
      <c r="B656" s="36"/>
      <c r="F656" s="66"/>
    </row>
    <row r="657">
      <c r="B657" s="36"/>
      <c r="F657" s="66"/>
    </row>
    <row r="658">
      <c r="B658" s="36"/>
      <c r="F658" s="66"/>
    </row>
    <row r="659">
      <c r="B659" s="36"/>
      <c r="F659" s="66"/>
    </row>
    <row r="660">
      <c r="B660" s="36"/>
      <c r="F660" s="66"/>
    </row>
    <row r="661">
      <c r="B661" s="36"/>
      <c r="F661" s="66"/>
    </row>
    <row r="662">
      <c r="B662" s="36"/>
      <c r="F662" s="66"/>
    </row>
    <row r="663">
      <c r="B663" s="36"/>
      <c r="F663" s="66"/>
    </row>
    <row r="664">
      <c r="B664" s="36"/>
      <c r="F664" s="66"/>
    </row>
    <row r="665">
      <c r="B665" s="36"/>
      <c r="F665" s="66"/>
    </row>
    <row r="666">
      <c r="B666" s="36"/>
      <c r="F666" s="66"/>
    </row>
    <row r="667">
      <c r="B667" s="36"/>
      <c r="F667" s="66"/>
    </row>
    <row r="668">
      <c r="B668" s="36"/>
      <c r="F668" s="66"/>
    </row>
    <row r="669">
      <c r="B669" s="36"/>
      <c r="F669" s="66"/>
    </row>
    <row r="670">
      <c r="B670" s="36"/>
      <c r="F670" s="66"/>
    </row>
    <row r="671">
      <c r="B671" s="36"/>
      <c r="F671" s="66"/>
    </row>
    <row r="672">
      <c r="B672" s="36"/>
      <c r="F672" s="66"/>
    </row>
    <row r="673">
      <c r="B673" s="36"/>
      <c r="F673" s="66"/>
    </row>
    <row r="674">
      <c r="B674" s="36"/>
      <c r="F674" s="66"/>
    </row>
    <row r="675">
      <c r="B675" s="36"/>
      <c r="F675" s="66"/>
    </row>
    <row r="676">
      <c r="B676" s="36"/>
      <c r="F676" s="66"/>
    </row>
    <row r="677">
      <c r="B677" s="36"/>
      <c r="F677" s="66"/>
    </row>
    <row r="678">
      <c r="B678" s="36"/>
      <c r="F678" s="66"/>
    </row>
    <row r="679">
      <c r="B679" s="36"/>
      <c r="F679" s="66"/>
    </row>
    <row r="680">
      <c r="B680" s="36"/>
      <c r="F680" s="66"/>
    </row>
    <row r="681">
      <c r="B681" s="36"/>
      <c r="F681" s="66"/>
    </row>
    <row r="682">
      <c r="B682" s="36"/>
      <c r="F682" s="66"/>
    </row>
    <row r="683">
      <c r="B683" s="36"/>
      <c r="F683" s="66"/>
    </row>
    <row r="684">
      <c r="B684" s="36"/>
      <c r="F684" s="66"/>
    </row>
    <row r="685">
      <c r="B685" s="36"/>
      <c r="F685" s="66"/>
    </row>
    <row r="686">
      <c r="B686" s="36"/>
      <c r="F686" s="66"/>
    </row>
    <row r="687">
      <c r="B687" s="36"/>
      <c r="F687" s="66"/>
    </row>
    <row r="688">
      <c r="B688" s="36"/>
      <c r="F688" s="66"/>
    </row>
    <row r="689">
      <c r="B689" s="36"/>
      <c r="F689" s="66"/>
    </row>
    <row r="690">
      <c r="B690" s="36"/>
      <c r="F690" s="66"/>
    </row>
    <row r="691">
      <c r="B691" s="36"/>
      <c r="F691" s="66"/>
    </row>
    <row r="692">
      <c r="B692" s="36"/>
      <c r="F692" s="66"/>
    </row>
    <row r="693">
      <c r="B693" s="36"/>
      <c r="F693" s="66"/>
    </row>
    <row r="694">
      <c r="B694" s="36"/>
      <c r="F694" s="66"/>
    </row>
    <row r="695">
      <c r="B695" s="36"/>
      <c r="F695" s="66"/>
    </row>
    <row r="696">
      <c r="B696" s="36"/>
      <c r="F696" s="66"/>
    </row>
    <row r="697">
      <c r="B697" s="36"/>
      <c r="F697" s="66"/>
    </row>
    <row r="698">
      <c r="B698" s="36"/>
      <c r="F698" s="66"/>
    </row>
    <row r="699">
      <c r="B699" s="36"/>
      <c r="F699" s="66"/>
    </row>
    <row r="700">
      <c r="B700" s="36"/>
      <c r="F700" s="66"/>
    </row>
    <row r="701">
      <c r="B701" s="36"/>
      <c r="F701" s="66"/>
    </row>
    <row r="702">
      <c r="B702" s="36"/>
      <c r="F702" s="66"/>
    </row>
    <row r="703">
      <c r="B703" s="36"/>
      <c r="F703" s="66"/>
    </row>
    <row r="704">
      <c r="B704" s="36"/>
      <c r="F704" s="66"/>
    </row>
    <row r="705">
      <c r="B705" s="36"/>
      <c r="F705" s="66"/>
    </row>
    <row r="706">
      <c r="B706" s="36"/>
      <c r="F706" s="66"/>
    </row>
    <row r="707">
      <c r="B707" s="36"/>
      <c r="F707" s="66"/>
    </row>
    <row r="708">
      <c r="B708" s="36"/>
      <c r="F708" s="66"/>
    </row>
    <row r="709">
      <c r="B709" s="36"/>
      <c r="F709" s="66"/>
    </row>
    <row r="710">
      <c r="B710" s="36"/>
      <c r="F710" s="66"/>
    </row>
    <row r="711">
      <c r="B711" s="36"/>
      <c r="F711" s="66"/>
    </row>
    <row r="712">
      <c r="B712" s="36"/>
      <c r="F712" s="66"/>
    </row>
    <row r="713">
      <c r="B713" s="36"/>
      <c r="F713" s="66"/>
    </row>
    <row r="714">
      <c r="B714" s="36"/>
      <c r="F714" s="66"/>
    </row>
    <row r="715">
      <c r="B715" s="36"/>
      <c r="F715" s="66"/>
    </row>
    <row r="716">
      <c r="B716" s="36"/>
      <c r="F716" s="66"/>
    </row>
    <row r="717">
      <c r="B717" s="36"/>
      <c r="F717" s="66"/>
    </row>
    <row r="718">
      <c r="B718" s="36"/>
      <c r="F718" s="66"/>
    </row>
    <row r="719">
      <c r="B719" s="36"/>
      <c r="F719" s="66"/>
    </row>
    <row r="720">
      <c r="B720" s="36"/>
      <c r="F720" s="66"/>
    </row>
    <row r="721">
      <c r="B721" s="36"/>
      <c r="F721" s="66"/>
    </row>
    <row r="722">
      <c r="B722" s="36"/>
      <c r="F722" s="66"/>
    </row>
    <row r="723">
      <c r="B723" s="36"/>
      <c r="F723" s="66"/>
    </row>
    <row r="724">
      <c r="B724" s="36"/>
      <c r="F724" s="66"/>
    </row>
    <row r="725">
      <c r="B725" s="36"/>
      <c r="F725" s="66"/>
    </row>
    <row r="726">
      <c r="B726" s="36"/>
      <c r="F726" s="66"/>
    </row>
    <row r="727">
      <c r="B727" s="36"/>
      <c r="F727" s="66"/>
    </row>
    <row r="728">
      <c r="B728" s="36"/>
      <c r="F728" s="66"/>
    </row>
    <row r="729">
      <c r="B729" s="36"/>
      <c r="F729" s="66"/>
    </row>
    <row r="730">
      <c r="B730" s="36"/>
      <c r="F730" s="66"/>
    </row>
    <row r="731">
      <c r="B731" s="36"/>
      <c r="F731" s="66"/>
    </row>
    <row r="732">
      <c r="B732" s="36"/>
      <c r="F732" s="66"/>
    </row>
    <row r="733">
      <c r="B733" s="36"/>
      <c r="F733" s="66"/>
    </row>
    <row r="734">
      <c r="B734" s="36"/>
      <c r="F734" s="66"/>
    </row>
    <row r="735">
      <c r="B735" s="36"/>
      <c r="F735" s="66"/>
    </row>
    <row r="736">
      <c r="B736" s="36"/>
      <c r="F736" s="66"/>
    </row>
    <row r="737">
      <c r="B737" s="36"/>
      <c r="F737" s="66"/>
    </row>
    <row r="738">
      <c r="B738" s="36"/>
      <c r="F738" s="66"/>
    </row>
    <row r="739">
      <c r="B739" s="36"/>
      <c r="F739" s="66"/>
    </row>
    <row r="740">
      <c r="B740" s="36"/>
      <c r="F740" s="66"/>
    </row>
    <row r="741">
      <c r="B741" s="36"/>
      <c r="F741" s="66"/>
    </row>
    <row r="742">
      <c r="B742" s="36"/>
      <c r="F742" s="66"/>
    </row>
    <row r="743">
      <c r="B743" s="36"/>
      <c r="F743" s="66"/>
    </row>
    <row r="744">
      <c r="B744" s="36"/>
      <c r="F744" s="66"/>
    </row>
    <row r="745">
      <c r="B745" s="36"/>
      <c r="F745" s="66"/>
    </row>
    <row r="746">
      <c r="B746" s="36"/>
      <c r="F746" s="66"/>
    </row>
    <row r="747">
      <c r="B747" s="36"/>
      <c r="F747" s="66"/>
    </row>
    <row r="748">
      <c r="B748" s="36"/>
      <c r="F748" s="66"/>
    </row>
    <row r="749">
      <c r="B749" s="36"/>
      <c r="F749" s="66"/>
    </row>
    <row r="750">
      <c r="B750" s="36"/>
      <c r="F750" s="66"/>
    </row>
    <row r="751">
      <c r="B751" s="36"/>
      <c r="F751" s="66"/>
    </row>
    <row r="752">
      <c r="B752" s="36"/>
      <c r="F752" s="66"/>
    </row>
    <row r="753">
      <c r="B753" s="36"/>
      <c r="F753" s="66"/>
    </row>
    <row r="754">
      <c r="B754" s="36"/>
      <c r="F754" s="66"/>
    </row>
    <row r="755">
      <c r="B755" s="36"/>
      <c r="F755" s="66"/>
    </row>
    <row r="756">
      <c r="B756" s="36"/>
      <c r="F756" s="66"/>
    </row>
    <row r="757">
      <c r="B757" s="36"/>
      <c r="F757" s="66"/>
    </row>
    <row r="758">
      <c r="B758" s="36"/>
      <c r="F758" s="66"/>
    </row>
    <row r="759">
      <c r="B759" s="36"/>
      <c r="F759" s="66"/>
    </row>
    <row r="760">
      <c r="B760" s="36"/>
      <c r="F760" s="66"/>
    </row>
    <row r="761">
      <c r="B761" s="36"/>
      <c r="F761" s="66"/>
    </row>
    <row r="762">
      <c r="B762" s="36"/>
      <c r="F762" s="66"/>
    </row>
    <row r="763">
      <c r="B763" s="36"/>
      <c r="F763" s="66"/>
    </row>
    <row r="764">
      <c r="B764" s="36"/>
      <c r="F764" s="66"/>
    </row>
    <row r="765">
      <c r="B765" s="36"/>
      <c r="F765" s="66"/>
    </row>
    <row r="766">
      <c r="B766" s="36"/>
      <c r="F766" s="66"/>
    </row>
    <row r="767">
      <c r="B767" s="36"/>
      <c r="F767" s="66"/>
    </row>
    <row r="768">
      <c r="B768" s="36"/>
      <c r="F768" s="66"/>
    </row>
    <row r="769">
      <c r="B769" s="36"/>
      <c r="F769" s="66"/>
    </row>
    <row r="770">
      <c r="B770" s="36"/>
      <c r="F770" s="66"/>
    </row>
    <row r="771">
      <c r="B771" s="36"/>
      <c r="F771" s="66"/>
    </row>
    <row r="772">
      <c r="B772" s="36"/>
      <c r="F772" s="66"/>
    </row>
    <row r="773">
      <c r="B773" s="36"/>
      <c r="F773" s="66"/>
    </row>
    <row r="774">
      <c r="B774" s="36"/>
      <c r="F774" s="66"/>
    </row>
    <row r="775">
      <c r="B775" s="36"/>
      <c r="F775" s="66"/>
    </row>
    <row r="776">
      <c r="B776" s="36"/>
      <c r="F776" s="66"/>
    </row>
    <row r="777">
      <c r="B777" s="36"/>
      <c r="F777" s="66"/>
    </row>
    <row r="778">
      <c r="B778" s="36"/>
      <c r="F778" s="66"/>
    </row>
    <row r="779">
      <c r="B779" s="36"/>
      <c r="F779" s="66"/>
    </row>
    <row r="780">
      <c r="B780" s="36"/>
      <c r="F780" s="66"/>
    </row>
    <row r="781">
      <c r="B781" s="36"/>
      <c r="F781" s="66"/>
    </row>
    <row r="782">
      <c r="B782" s="36"/>
      <c r="F782" s="66"/>
    </row>
    <row r="783">
      <c r="B783" s="36"/>
      <c r="F783" s="66"/>
    </row>
    <row r="784">
      <c r="B784" s="36"/>
      <c r="F784" s="66"/>
    </row>
    <row r="785">
      <c r="B785" s="36"/>
      <c r="F785" s="66"/>
    </row>
    <row r="786">
      <c r="B786" s="36"/>
      <c r="F786" s="66"/>
    </row>
    <row r="787">
      <c r="B787" s="36"/>
      <c r="F787" s="66"/>
    </row>
    <row r="788">
      <c r="B788" s="36"/>
      <c r="F788" s="66"/>
    </row>
    <row r="789">
      <c r="B789" s="36"/>
      <c r="F789" s="66"/>
    </row>
    <row r="790">
      <c r="B790" s="36"/>
      <c r="F790" s="66"/>
    </row>
    <row r="791">
      <c r="B791" s="36"/>
      <c r="F791" s="66"/>
    </row>
    <row r="792">
      <c r="B792" s="36"/>
      <c r="F792" s="66"/>
    </row>
    <row r="793">
      <c r="B793" s="36"/>
      <c r="F793" s="66"/>
    </row>
    <row r="794">
      <c r="B794" s="36"/>
      <c r="F794" s="66"/>
    </row>
    <row r="795">
      <c r="B795" s="36"/>
      <c r="F795" s="66"/>
    </row>
    <row r="796">
      <c r="B796" s="36"/>
      <c r="F796" s="66"/>
    </row>
    <row r="797">
      <c r="B797" s="36"/>
      <c r="F797" s="66"/>
    </row>
    <row r="798">
      <c r="B798" s="36"/>
      <c r="F798" s="66"/>
    </row>
    <row r="799">
      <c r="B799" s="36"/>
      <c r="F799" s="66"/>
    </row>
    <row r="800">
      <c r="B800" s="36"/>
      <c r="F800" s="66"/>
    </row>
    <row r="801">
      <c r="B801" s="36"/>
      <c r="F801" s="66"/>
    </row>
    <row r="802">
      <c r="B802" s="36"/>
      <c r="F802" s="66"/>
    </row>
    <row r="803">
      <c r="B803" s="36"/>
      <c r="F803" s="66"/>
    </row>
    <row r="804">
      <c r="B804" s="36"/>
      <c r="F804" s="66"/>
    </row>
    <row r="805">
      <c r="B805" s="36"/>
      <c r="F805" s="66"/>
    </row>
    <row r="806">
      <c r="B806" s="36"/>
      <c r="F806" s="66"/>
    </row>
    <row r="807">
      <c r="B807" s="36"/>
      <c r="F807" s="66"/>
    </row>
    <row r="808">
      <c r="B808" s="36"/>
      <c r="F808" s="66"/>
    </row>
    <row r="809">
      <c r="B809" s="36"/>
      <c r="F809" s="66"/>
    </row>
    <row r="810">
      <c r="B810" s="36"/>
      <c r="F810" s="66"/>
    </row>
    <row r="811">
      <c r="B811" s="36"/>
      <c r="F811" s="66"/>
    </row>
    <row r="812">
      <c r="B812" s="36"/>
      <c r="F812" s="66"/>
    </row>
    <row r="813">
      <c r="B813" s="36"/>
      <c r="F813" s="66"/>
    </row>
    <row r="814">
      <c r="B814" s="36"/>
      <c r="F814" s="66"/>
    </row>
    <row r="815">
      <c r="B815" s="36"/>
      <c r="F815" s="66"/>
    </row>
    <row r="816">
      <c r="B816" s="36"/>
      <c r="F816" s="66"/>
    </row>
    <row r="817">
      <c r="B817" s="36"/>
      <c r="F817" s="66"/>
    </row>
    <row r="818">
      <c r="B818" s="36"/>
      <c r="F818" s="66"/>
    </row>
    <row r="819">
      <c r="B819" s="36"/>
      <c r="F819" s="66"/>
    </row>
    <row r="820">
      <c r="B820" s="36"/>
      <c r="F820" s="66"/>
    </row>
    <row r="821">
      <c r="B821" s="36"/>
      <c r="F821" s="66"/>
    </row>
    <row r="822">
      <c r="B822" s="36"/>
      <c r="F822" s="66"/>
    </row>
    <row r="823">
      <c r="B823" s="36"/>
      <c r="F823" s="66"/>
    </row>
    <row r="824">
      <c r="B824" s="36"/>
      <c r="F824" s="66"/>
    </row>
    <row r="825">
      <c r="B825" s="36"/>
      <c r="F825" s="66"/>
    </row>
    <row r="826">
      <c r="B826" s="36"/>
      <c r="F826" s="66"/>
    </row>
    <row r="827">
      <c r="B827" s="36"/>
      <c r="F827" s="66"/>
    </row>
    <row r="828">
      <c r="B828" s="36"/>
      <c r="F828" s="66"/>
    </row>
    <row r="829">
      <c r="B829" s="36"/>
      <c r="F829" s="66"/>
    </row>
    <row r="830">
      <c r="B830" s="36"/>
      <c r="F830" s="66"/>
    </row>
    <row r="831">
      <c r="B831" s="36"/>
      <c r="F831" s="66"/>
    </row>
    <row r="832">
      <c r="B832" s="36"/>
      <c r="F832" s="66"/>
    </row>
    <row r="833">
      <c r="B833" s="36"/>
      <c r="F833" s="66"/>
    </row>
    <row r="834">
      <c r="B834" s="36"/>
      <c r="F834" s="66"/>
    </row>
    <row r="835">
      <c r="B835" s="36"/>
      <c r="F835" s="66"/>
    </row>
    <row r="836">
      <c r="B836" s="36"/>
      <c r="F836" s="66"/>
    </row>
    <row r="837">
      <c r="B837" s="36"/>
      <c r="F837" s="66"/>
    </row>
    <row r="838">
      <c r="B838" s="36"/>
      <c r="F838" s="66"/>
    </row>
    <row r="839">
      <c r="B839" s="36"/>
      <c r="F839" s="66"/>
    </row>
    <row r="840">
      <c r="B840" s="36"/>
      <c r="F840" s="66"/>
    </row>
    <row r="841">
      <c r="B841" s="36"/>
      <c r="F841" s="66"/>
    </row>
    <row r="842">
      <c r="B842" s="36"/>
      <c r="F842" s="66"/>
    </row>
    <row r="843">
      <c r="B843" s="36"/>
      <c r="F843" s="66"/>
    </row>
    <row r="844">
      <c r="B844" s="36"/>
      <c r="F844" s="66"/>
    </row>
    <row r="845">
      <c r="B845" s="36"/>
      <c r="F845" s="66"/>
    </row>
    <row r="846">
      <c r="B846" s="36"/>
      <c r="F846" s="66"/>
    </row>
    <row r="847">
      <c r="B847" s="36"/>
      <c r="F847" s="66"/>
    </row>
    <row r="848">
      <c r="B848" s="36"/>
      <c r="F848" s="66"/>
    </row>
    <row r="849">
      <c r="B849" s="36"/>
      <c r="F849" s="66"/>
    </row>
    <row r="850">
      <c r="B850" s="36"/>
      <c r="F850" s="66"/>
    </row>
    <row r="851">
      <c r="B851" s="36"/>
      <c r="F851" s="66"/>
    </row>
    <row r="852">
      <c r="B852" s="36"/>
      <c r="F852" s="66"/>
    </row>
    <row r="853">
      <c r="B853" s="36"/>
      <c r="F853" s="66"/>
    </row>
    <row r="854">
      <c r="B854" s="36"/>
      <c r="F854" s="66"/>
    </row>
    <row r="855">
      <c r="B855" s="36"/>
      <c r="F855" s="66"/>
    </row>
    <row r="856">
      <c r="B856" s="36"/>
      <c r="F856" s="66"/>
    </row>
    <row r="857">
      <c r="B857" s="36"/>
      <c r="F857" s="66"/>
    </row>
    <row r="858">
      <c r="B858" s="36"/>
      <c r="F858" s="66"/>
    </row>
    <row r="859">
      <c r="B859" s="36"/>
      <c r="F859" s="66"/>
    </row>
    <row r="860">
      <c r="B860" s="36"/>
      <c r="F860" s="66"/>
    </row>
    <row r="861">
      <c r="B861" s="36"/>
      <c r="F861" s="66"/>
    </row>
    <row r="862">
      <c r="B862" s="36"/>
      <c r="F862" s="66"/>
    </row>
    <row r="863">
      <c r="B863" s="36"/>
      <c r="F863" s="66"/>
    </row>
    <row r="864">
      <c r="B864" s="36"/>
      <c r="F864" s="66"/>
    </row>
    <row r="865">
      <c r="B865" s="36"/>
      <c r="F865" s="66"/>
    </row>
    <row r="866">
      <c r="B866" s="36"/>
      <c r="F866" s="66"/>
    </row>
    <row r="867">
      <c r="B867" s="36"/>
      <c r="F867" s="66"/>
    </row>
    <row r="868">
      <c r="B868" s="36"/>
      <c r="F868" s="66"/>
    </row>
    <row r="869">
      <c r="B869" s="36"/>
      <c r="F869" s="66"/>
    </row>
    <row r="870">
      <c r="B870" s="36"/>
      <c r="F870" s="66"/>
    </row>
    <row r="871">
      <c r="B871" s="36"/>
      <c r="F871" s="66"/>
    </row>
    <row r="872">
      <c r="B872" s="36"/>
      <c r="F872" s="66"/>
    </row>
    <row r="873">
      <c r="B873" s="36"/>
      <c r="F873" s="66"/>
    </row>
    <row r="874">
      <c r="B874" s="36"/>
      <c r="F874" s="66"/>
    </row>
    <row r="875">
      <c r="B875" s="36"/>
      <c r="F875" s="66"/>
    </row>
    <row r="876">
      <c r="B876" s="36"/>
      <c r="F876" s="66"/>
    </row>
    <row r="877">
      <c r="B877" s="36"/>
      <c r="F877" s="66"/>
    </row>
    <row r="878">
      <c r="B878" s="36"/>
      <c r="F878" s="66"/>
    </row>
    <row r="879">
      <c r="B879" s="36"/>
      <c r="F879" s="66"/>
    </row>
    <row r="880">
      <c r="B880" s="36"/>
      <c r="F880" s="66"/>
    </row>
    <row r="881">
      <c r="B881" s="36"/>
      <c r="F881" s="66"/>
    </row>
    <row r="882">
      <c r="B882" s="36"/>
      <c r="F882" s="66"/>
    </row>
    <row r="883">
      <c r="B883" s="36"/>
      <c r="F883" s="66"/>
    </row>
    <row r="884">
      <c r="B884" s="36"/>
      <c r="F884" s="66"/>
    </row>
    <row r="885">
      <c r="B885" s="36"/>
      <c r="F885" s="66"/>
    </row>
    <row r="886">
      <c r="B886" s="36"/>
      <c r="F886" s="66"/>
    </row>
    <row r="887">
      <c r="B887" s="36"/>
      <c r="F887" s="66"/>
    </row>
    <row r="888">
      <c r="B888" s="36"/>
      <c r="F888" s="66"/>
    </row>
    <row r="889">
      <c r="B889" s="36"/>
      <c r="F889" s="66"/>
    </row>
    <row r="890">
      <c r="B890" s="36"/>
      <c r="F890" s="66"/>
    </row>
    <row r="891">
      <c r="B891" s="36"/>
      <c r="F891" s="66"/>
    </row>
    <row r="892">
      <c r="B892" s="36"/>
      <c r="F892" s="66"/>
    </row>
    <row r="893">
      <c r="B893" s="36"/>
      <c r="F893" s="66"/>
    </row>
    <row r="894">
      <c r="B894" s="36"/>
      <c r="F894" s="66"/>
    </row>
    <row r="895">
      <c r="B895" s="36"/>
      <c r="F895" s="66"/>
    </row>
    <row r="896">
      <c r="B896" s="36"/>
      <c r="F896" s="66"/>
    </row>
    <row r="897">
      <c r="B897" s="36"/>
      <c r="F897" s="66"/>
    </row>
    <row r="898">
      <c r="B898" s="36"/>
      <c r="F898" s="66"/>
    </row>
    <row r="899">
      <c r="B899" s="36"/>
      <c r="F899" s="66"/>
    </row>
    <row r="900">
      <c r="B900" s="36"/>
      <c r="F900" s="66"/>
    </row>
    <row r="901">
      <c r="B901" s="36"/>
      <c r="F901" s="66"/>
    </row>
    <row r="902">
      <c r="B902" s="36"/>
      <c r="F902" s="66"/>
    </row>
    <row r="903">
      <c r="B903" s="36"/>
      <c r="F903" s="66"/>
    </row>
    <row r="904">
      <c r="B904" s="36"/>
      <c r="F904" s="66"/>
    </row>
    <row r="905">
      <c r="B905" s="36"/>
      <c r="F905" s="66"/>
    </row>
    <row r="906">
      <c r="B906" s="36"/>
      <c r="F906" s="66"/>
    </row>
    <row r="907">
      <c r="B907" s="36"/>
      <c r="F907" s="66"/>
    </row>
    <row r="908">
      <c r="B908" s="36"/>
      <c r="F908" s="66"/>
    </row>
    <row r="909">
      <c r="B909" s="36"/>
      <c r="F909" s="66"/>
    </row>
    <row r="910">
      <c r="B910" s="36"/>
      <c r="F910" s="66"/>
    </row>
    <row r="911">
      <c r="B911" s="36"/>
      <c r="F911" s="66"/>
    </row>
    <row r="912">
      <c r="B912" s="36"/>
      <c r="F912" s="66"/>
    </row>
    <row r="913">
      <c r="B913" s="36"/>
      <c r="F913" s="66"/>
    </row>
    <row r="914">
      <c r="B914" s="36"/>
      <c r="F914" s="66"/>
    </row>
    <row r="915">
      <c r="B915" s="36"/>
      <c r="F915" s="66"/>
    </row>
    <row r="916">
      <c r="B916" s="36"/>
      <c r="F916" s="66"/>
    </row>
    <row r="917">
      <c r="B917" s="36"/>
      <c r="F917" s="66"/>
    </row>
    <row r="918">
      <c r="B918" s="36"/>
      <c r="F918" s="66"/>
    </row>
    <row r="919">
      <c r="B919" s="36"/>
      <c r="F919" s="66"/>
    </row>
    <row r="920">
      <c r="B920" s="36"/>
      <c r="F920" s="66"/>
    </row>
    <row r="921">
      <c r="B921" s="36"/>
      <c r="F921" s="66"/>
    </row>
    <row r="922">
      <c r="B922" s="36"/>
      <c r="F922" s="66"/>
    </row>
    <row r="923">
      <c r="B923" s="36"/>
      <c r="F923" s="66"/>
    </row>
    <row r="924">
      <c r="B924" s="36"/>
      <c r="F924" s="66"/>
    </row>
    <row r="925">
      <c r="B925" s="36"/>
      <c r="F925" s="66"/>
    </row>
    <row r="926">
      <c r="B926" s="36"/>
      <c r="F926" s="66"/>
    </row>
    <row r="927">
      <c r="B927" s="36"/>
      <c r="F927" s="66"/>
    </row>
    <row r="928">
      <c r="B928" s="36"/>
      <c r="F928" s="66"/>
    </row>
    <row r="929">
      <c r="B929" s="36"/>
      <c r="F929" s="66"/>
    </row>
    <row r="930">
      <c r="B930" s="36"/>
      <c r="F930" s="66"/>
    </row>
    <row r="931">
      <c r="B931" s="36"/>
      <c r="F931" s="66"/>
    </row>
    <row r="932">
      <c r="B932" s="36"/>
      <c r="F932" s="66"/>
    </row>
    <row r="933">
      <c r="B933" s="36"/>
      <c r="F933" s="66"/>
    </row>
    <row r="934">
      <c r="B934" s="36"/>
      <c r="F934" s="66"/>
    </row>
    <row r="935">
      <c r="B935" s="36"/>
      <c r="F935" s="66"/>
    </row>
    <row r="936">
      <c r="B936" s="36"/>
      <c r="F936" s="66"/>
    </row>
    <row r="937">
      <c r="B937" s="36"/>
      <c r="F937" s="66"/>
    </row>
    <row r="938">
      <c r="B938" s="36"/>
      <c r="F938" s="66"/>
    </row>
    <row r="939">
      <c r="B939" s="36"/>
      <c r="F939" s="66"/>
    </row>
    <row r="940">
      <c r="B940" s="36"/>
      <c r="F940" s="66"/>
    </row>
    <row r="941">
      <c r="B941" s="36"/>
      <c r="F941" s="66"/>
    </row>
    <row r="942">
      <c r="B942" s="36"/>
      <c r="F942" s="66"/>
    </row>
    <row r="943">
      <c r="B943" s="36"/>
      <c r="F943" s="66"/>
    </row>
    <row r="944">
      <c r="B944" s="36"/>
      <c r="F944" s="66"/>
    </row>
    <row r="945">
      <c r="B945" s="36"/>
      <c r="F945" s="66"/>
    </row>
    <row r="946">
      <c r="B946" s="36"/>
      <c r="F946" s="66"/>
    </row>
    <row r="947">
      <c r="B947" s="36"/>
      <c r="F947" s="66"/>
    </row>
    <row r="948">
      <c r="B948" s="36"/>
      <c r="F948" s="66"/>
    </row>
    <row r="949">
      <c r="B949" s="36"/>
      <c r="F949" s="66"/>
    </row>
    <row r="950">
      <c r="B950" s="36"/>
      <c r="F950" s="66"/>
    </row>
    <row r="951">
      <c r="B951" s="36"/>
      <c r="F951" s="66"/>
    </row>
    <row r="952">
      <c r="B952" s="36"/>
      <c r="F952" s="66"/>
    </row>
    <row r="953">
      <c r="B953" s="36"/>
      <c r="F953" s="66"/>
    </row>
    <row r="954">
      <c r="B954" s="36"/>
      <c r="F954" s="66"/>
    </row>
    <row r="955">
      <c r="B955" s="36"/>
      <c r="F955" s="66"/>
    </row>
    <row r="956">
      <c r="B956" s="36"/>
      <c r="F956" s="66"/>
    </row>
    <row r="957">
      <c r="B957" s="36"/>
      <c r="F957" s="66"/>
    </row>
    <row r="958">
      <c r="B958" s="36"/>
      <c r="F958" s="66"/>
    </row>
    <row r="959">
      <c r="B959" s="36"/>
      <c r="F959" s="66"/>
    </row>
    <row r="960">
      <c r="B960" s="36"/>
      <c r="F960" s="66"/>
    </row>
    <row r="961">
      <c r="B961" s="36"/>
      <c r="F961" s="66"/>
    </row>
    <row r="962">
      <c r="B962" s="36"/>
      <c r="F962" s="66"/>
    </row>
    <row r="963">
      <c r="B963" s="36"/>
      <c r="F963" s="66"/>
    </row>
    <row r="964">
      <c r="B964" s="36"/>
      <c r="F964" s="66"/>
    </row>
    <row r="965">
      <c r="B965" s="36"/>
      <c r="F965" s="66"/>
    </row>
    <row r="966">
      <c r="B966" s="36"/>
      <c r="F966" s="66"/>
    </row>
    <row r="967">
      <c r="B967" s="36"/>
      <c r="F967" s="66"/>
    </row>
    <row r="968">
      <c r="B968" s="36"/>
      <c r="F968" s="66"/>
    </row>
    <row r="969">
      <c r="B969" s="36"/>
      <c r="F969" s="66"/>
    </row>
    <row r="970">
      <c r="B970" s="36"/>
      <c r="F970" s="66"/>
    </row>
    <row r="971">
      <c r="B971" s="36"/>
      <c r="F971" s="66"/>
    </row>
    <row r="972">
      <c r="B972" s="36"/>
      <c r="F972" s="66"/>
    </row>
    <row r="973">
      <c r="B973" s="36"/>
      <c r="F973" s="66"/>
    </row>
    <row r="974">
      <c r="B974" s="36"/>
      <c r="F974" s="66"/>
    </row>
    <row r="975">
      <c r="B975" s="36"/>
      <c r="F975" s="66"/>
    </row>
    <row r="976">
      <c r="B976" s="36"/>
      <c r="F976" s="66"/>
    </row>
    <row r="977">
      <c r="B977" s="36"/>
      <c r="F977" s="66"/>
    </row>
    <row r="978">
      <c r="B978" s="36"/>
      <c r="F978" s="66"/>
    </row>
    <row r="979">
      <c r="B979" s="36"/>
      <c r="F979" s="66"/>
    </row>
    <row r="980">
      <c r="B980" s="36"/>
      <c r="F980" s="66"/>
    </row>
    <row r="981">
      <c r="B981" s="36"/>
      <c r="F981" s="66"/>
    </row>
    <row r="982">
      <c r="B982" s="36"/>
      <c r="F982" s="66"/>
    </row>
    <row r="983">
      <c r="B983" s="36"/>
      <c r="F983" s="66"/>
    </row>
    <row r="984">
      <c r="B984" s="36"/>
      <c r="F984" s="66"/>
    </row>
    <row r="985">
      <c r="B985" s="36"/>
      <c r="F985" s="66"/>
    </row>
    <row r="986">
      <c r="B986" s="36"/>
      <c r="F986" s="66"/>
    </row>
    <row r="987">
      <c r="B987" s="36"/>
      <c r="F987" s="66"/>
    </row>
    <row r="988">
      <c r="B988" s="36"/>
      <c r="F988" s="66"/>
    </row>
    <row r="989">
      <c r="B989" s="36"/>
      <c r="F989" s="66"/>
    </row>
    <row r="990">
      <c r="B990" s="36"/>
      <c r="F990" s="66"/>
    </row>
    <row r="991">
      <c r="B991" s="36"/>
      <c r="F991" s="66"/>
    </row>
    <row r="992">
      <c r="B992" s="36"/>
      <c r="F992" s="66"/>
    </row>
    <row r="993">
      <c r="B993" s="36"/>
      <c r="F993" s="66"/>
    </row>
    <row r="994">
      <c r="B994" s="36"/>
      <c r="F994" s="66"/>
    </row>
    <row r="995">
      <c r="B995" s="36"/>
      <c r="F995" s="66"/>
    </row>
    <row r="996">
      <c r="B996" s="36"/>
      <c r="F996" s="66"/>
    </row>
    <row r="997">
      <c r="B997" s="36"/>
      <c r="F997" s="66"/>
    </row>
    <row r="998">
      <c r="B998" s="36"/>
      <c r="F998" s="66"/>
    </row>
    <row r="999">
      <c r="B999" s="36"/>
      <c r="F999" s="66"/>
    </row>
    <row r="1000">
      <c r="B1000" s="36"/>
      <c r="F1000" s="66"/>
    </row>
    <row r="1001">
      <c r="B1001" s="36"/>
      <c r="F1001" s="66"/>
    </row>
    <row r="1002">
      <c r="B1002" s="36"/>
      <c r="F1002" s="66"/>
    </row>
    <row r="1003">
      <c r="B1003" s="36"/>
      <c r="F1003" s="66"/>
    </row>
    <row r="1004">
      <c r="B1004" s="36"/>
      <c r="F1004" s="66"/>
    </row>
    <row r="1005">
      <c r="B1005" s="36"/>
      <c r="F1005" s="66"/>
    </row>
    <row r="1006">
      <c r="B1006" s="36"/>
      <c r="F1006" s="66"/>
    </row>
    <row r="1007">
      <c r="B1007" s="36"/>
      <c r="F1007" s="66"/>
    </row>
    <row r="1008">
      <c r="B1008" s="36"/>
      <c r="F1008" s="66"/>
    </row>
    <row r="1009">
      <c r="B1009" s="36"/>
      <c r="F1009" s="66"/>
    </row>
    <row r="1010">
      <c r="B1010" s="36"/>
      <c r="F1010" s="66"/>
    </row>
    <row r="1011">
      <c r="B1011" s="36"/>
      <c r="F1011" s="66"/>
    </row>
    <row r="1012">
      <c r="B1012" s="36"/>
      <c r="F1012" s="66"/>
    </row>
    <row r="1013">
      <c r="B1013" s="36"/>
      <c r="F1013" s="66"/>
    </row>
    <row r="1014">
      <c r="B1014" s="36"/>
      <c r="F1014" s="66"/>
    </row>
    <row r="1015">
      <c r="B1015" s="36"/>
      <c r="F1015" s="66"/>
    </row>
    <row r="1016">
      <c r="B1016" s="36"/>
      <c r="F1016" s="66"/>
    </row>
    <row r="1017">
      <c r="B1017" s="36"/>
      <c r="F1017" s="66"/>
    </row>
    <row r="1018">
      <c r="B1018" s="36"/>
      <c r="F1018" s="66"/>
    </row>
    <row r="1019">
      <c r="B1019" s="36"/>
      <c r="F1019" s="66"/>
    </row>
    <row r="1020">
      <c r="B1020" s="36"/>
      <c r="F1020" s="6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0</v>
      </c>
      <c r="B1" s="21" t="s">
        <v>1</v>
      </c>
      <c r="C1" s="3" t="s">
        <v>307</v>
      </c>
      <c r="D1" s="3" t="s">
        <v>308</v>
      </c>
      <c r="E1" s="3" t="s">
        <v>309</v>
      </c>
      <c r="F1" s="3" t="s">
        <v>310</v>
      </c>
      <c r="G1" s="3" t="s">
        <v>311</v>
      </c>
      <c r="H1" s="3" t="s">
        <v>312</v>
      </c>
      <c r="I1" s="3" t="s">
        <v>313</v>
      </c>
      <c r="J1" s="3" t="s">
        <v>314</v>
      </c>
      <c r="K1" s="3" t="s">
        <v>315</v>
      </c>
      <c r="L1" s="3" t="s">
        <v>316</v>
      </c>
      <c r="M1" s="3" t="s">
        <v>317</v>
      </c>
      <c r="N1" s="3" t="s">
        <v>318</v>
      </c>
      <c r="O1" s="3" t="s">
        <v>319</v>
      </c>
      <c r="P1" s="3" t="s">
        <v>320</v>
      </c>
      <c r="Q1" s="3" t="s">
        <v>321</v>
      </c>
      <c r="R1" s="3" t="s">
        <v>322</v>
      </c>
      <c r="S1" s="3" t="s">
        <v>323</v>
      </c>
      <c r="T1" s="3" t="s">
        <v>324</v>
      </c>
      <c r="U1" s="3" t="s">
        <v>325</v>
      </c>
      <c r="V1" s="3" t="s">
        <v>326</v>
      </c>
      <c r="W1" s="3" t="s">
        <v>327</v>
      </c>
    </row>
    <row r="2">
      <c r="A2" s="8">
        <v>40179.0</v>
      </c>
      <c r="B2" s="9">
        <f>IFERROR(__xludf.DUMMYFUNCTION("IMPORTRANGE(""https://docs.google.com/spreadsheets/d/1oPTPmoJ9phtMOkp-nMB7WHnPESomLzqUj9t0gcE9bYA"",""Current Region!Q2:Q150"")"),115.0)</f>
        <v>115</v>
      </c>
      <c r="C2" s="10" t="s">
        <v>26</v>
      </c>
      <c r="D2" s="10" t="s">
        <v>26</v>
      </c>
      <c r="E2" s="10" t="s">
        <v>26</v>
      </c>
      <c r="F2" s="10" t="s">
        <v>26</v>
      </c>
      <c r="G2" s="10" t="s">
        <v>26</v>
      </c>
      <c r="H2" s="10" t="s">
        <v>26</v>
      </c>
      <c r="I2" s="10" t="s">
        <v>26</v>
      </c>
      <c r="J2" s="10" t="s">
        <v>26</v>
      </c>
      <c r="K2" s="10" t="s">
        <v>26</v>
      </c>
      <c r="L2" s="10" t="s">
        <v>26</v>
      </c>
      <c r="M2" s="10" t="s">
        <v>26</v>
      </c>
      <c r="N2" s="10" t="s">
        <v>26</v>
      </c>
      <c r="O2" s="10" t="s">
        <v>26</v>
      </c>
      <c r="P2" s="10" t="s">
        <v>26</v>
      </c>
      <c r="Q2" s="10" t="s">
        <v>26</v>
      </c>
      <c r="R2" s="10" t="s">
        <v>26</v>
      </c>
      <c r="S2" s="10" t="s">
        <v>26</v>
      </c>
      <c r="T2" s="10" t="s">
        <v>26</v>
      </c>
      <c r="U2" s="10" t="s">
        <v>26</v>
      </c>
      <c r="V2" s="10" t="s">
        <v>26</v>
      </c>
      <c r="W2" s="10" t="s">
        <v>26</v>
      </c>
    </row>
    <row r="3">
      <c r="A3" s="8">
        <v>40210.0</v>
      </c>
      <c r="B3" s="9">
        <f>IFERROR(__xludf.DUMMYFUNCTION("""COMPUTED_VALUE"""),214.0)</f>
        <v>214</v>
      </c>
      <c r="C3" s="10" t="s">
        <v>26</v>
      </c>
      <c r="D3" s="10" t="s">
        <v>26</v>
      </c>
      <c r="E3" s="10" t="s">
        <v>26</v>
      </c>
      <c r="F3" s="10" t="s">
        <v>26</v>
      </c>
      <c r="G3" s="10" t="s">
        <v>26</v>
      </c>
      <c r="H3" s="10" t="s">
        <v>26</v>
      </c>
      <c r="I3" s="10" t="s">
        <v>26</v>
      </c>
      <c r="J3" s="10" t="s">
        <v>26</v>
      </c>
      <c r="K3" s="10" t="s">
        <v>26</v>
      </c>
      <c r="L3" s="10" t="s">
        <v>26</v>
      </c>
      <c r="M3" s="10" t="s">
        <v>26</v>
      </c>
      <c r="N3" s="10" t="s">
        <v>26</v>
      </c>
      <c r="O3" s="10" t="s">
        <v>26</v>
      </c>
      <c r="P3" s="10" t="s">
        <v>26</v>
      </c>
      <c r="Q3" s="10" t="s">
        <v>26</v>
      </c>
      <c r="R3" s="10" t="s">
        <v>26</v>
      </c>
      <c r="S3" s="10" t="s">
        <v>26</v>
      </c>
      <c r="T3" s="10" t="s">
        <v>26</v>
      </c>
      <c r="U3" s="10" t="s">
        <v>26</v>
      </c>
      <c r="V3" s="10" t="s">
        <v>26</v>
      </c>
      <c r="W3" s="10" t="s">
        <v>26</v>
      </c>
    </row>
    <row r="4">
      <c r="A4" s="8">
        <v>40238.0</v>
      </c>
      <c r="B4" s="9">
        <f>IFERROR(__xludf.DUMMYFUNCTION("""COMPUTED_VALUE"""),337.0)</f>
        <v>337</v>
      </c>
      <c r="C4" s="10" t="s">
        <v>26</v>
      </c>
      <c r="D4" s="10" t="s">
        <v>26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26</v>
      </c>
      <c r="J4" s="10" t="s">
        <v>26</v>
      </c>
      <c r="K4" s="10" t="s">
        <v>26</v>
      </c>
      <c r="L4" s="10" t="s">
        <v>26</v>
      </c>
      <c r="M4" s="10" t="s">
        <v>26</v>
      </c>
      <c r="N4" s="10" t="s">
        <v>26</v>
      </c>
      <c r="O4" s="10" t="s">
        <v>26</v>
      </c>
      <c r="P4" s="10" t="s">
        <v>26</v>
      </c>
      <c r="Q4" s="10" t="s">
        <v>26</v>
      </c>
      <c r="R4" s="10" t="s">
        <v>26</v>
      </c>
      <c r="S4" s="10" t="s">
        <v>26</v>
      </c>
      <c r="T4" s="10" t="s">
        <v>26</v>
      </c>
      <c r="U4" s="10" t="s">
        <v>26</v>
      </c>
      <c r="V4" s="10" t="s">
        <v>26</v>
      </c>
      <c r="W4" s="10" t="s">
        <v>26</v>
      </c>
    </row>
    <row r="5">
      <c r="A5" s="8">
        <v>40269.0</v>
      </c>
      <c r="B5" s="9">
        <f>IFERROR(__xludf.DUMMYFUNCTION("""COMPUTED_VALUE"""),430.0)</f>
        <v>430</v>
      </c>
      <c r="C5" s="10" t="s">
        <v>26</v>
      </c>
      <c r="D5" s="10" t="s">
        <v>26</v>
      </c>
      <c r="E5" s="10" t="s">
        <v>26</v>
      </c>
      <c r="F5" s="10" t="s">
        <v>26</v>
      </c>
      <c r="G5" s="10" t="s">
        <v>26</v>
      </c>
      <c r="H5" s="10" t="s">
        <v>26</v>
      </c>
      <c r="I5" s="10" t="s">
        <v>26</v>
      </c>
      <c r="J5" s="10" t="s">
        <v>26</v>
      </c>
      <c r="K5" s="10" t="s">
        <v>26</v>
      </c>
      <c r="L5" s="10" t="s">
        <v>26</v>
      </c>
      <c r="M5" s="10" t="s">
        <v>26</v>
      </c>
      <c r="N5" s="10" t="s">
        <v>26</v>
      </c>
      <c r="O5" s="10" t="s">
        <v>26</v>
      </c>
      <c r="P5" s="10" t="s">
        <v>26</v>
      </c>
      <c r="Q5" s="10" t="s">
        <v>26</v>
      </c>
      <c r="R5" s="10" t="s">
        <v>26</v>
      </c>
      <c r="S5" s="10" t="s">
        <v>26</v>
      </c>
      <c r="T5" s="10" t="s">
        <v>26</v>
      </c>
      <c r="U5" s="10" t="s">
        <v>26</v>
      </c>
      <c r="V5" s="10" t="s">
        <v>26</v>
      </c>
      <c r="W5" s="10" t="s">
        <v>26</v>
      </c>
    </row>
    <row r="6">
      <c r="A6" s="8">
        <v>40299.0</v>
      </c>
      <c r="B6" s="9">
        <f>IFERROR(__xludf.DUMMYFUNCTION("""COMPUTED_VALUE"""),267.0)</f>
        <v>267</v>
      </c>
      <c r="C6" s="10" t="s">
        <v>26</v>
      </c>
      <c r="D6" s="10" t="s">
        <v>26</v>
      </c>
      <c r="E6" s="10" t="s">
        <v>26</v>
      </c>
      <c r="F6" s="10" t="s">
        <v>26</v>
      </c>
      <c r="G6" s="10" t="s">
        <v>26</v>
      </c>
      <c r="H6" s="10" t="s">
        <v>26</v>
      </c>
      <c r="I6" s="10" t="s">
        <v>26</v>
      </c>
      <c r="J6" s="10" t="s">
        <v>26</v>
      </c>
      <c r="K6" s="10" t="s">
        <v>26</v>
      </c>
      <c r="L6" s="10" t="s">
        <v>26</v>
      </c>
      <c r="M6" s="10" t="s">
        <v>26</v>
      </c>
      <c r="N6" s="10" t="s">
        <v>26</v>
      </c>
      <c r="O6" s="10" t="s">
        <v>26</v>
      </c>
      <c r="P6" s="10" t="s">
        <v>26</v>
      </c>
      <c r="Q6" s="10" t="s">
        <v>26</v>
      </c>
      <c r="R6" s="10" t="s">
        <v>26</v>
      </c>
      <c r="S6" s="10" t="s">
        <v>26</v>
      </c>
      <c r="T6" s="10" t="s">
        <v>26</v>
      </c>
      <c r="U6" s="10" t="s">
        <v>26</v>
      </c>
      <c r="V6" s="10" t="s">
        <v>26</v>
      </c>
      <c r="W6" s="10" t="s">
        <v>26</v>
      </c>
    </row>
    <row r="7">
      <c r="A7" s="8">
        <v>40330.0</v>
      </c>
      <c r="B7" s="9">
        <f>IFERROR(__xludf.DUMMYFUNCTION("""COMPUTED_VALUE"""),463.0)</f>
        <v>463</v>
      </c>
      <c r="C7" s="10" t="s">
        <v>26</v>
      </c>
      <c r="D7" s="10" t="s">
        <v>26</v>
      </c>
      <c r="E7" s="10" t="s">
        <v>26</v>
      </c>
      <c r="F7" s="10" t="s">
        <v>26</v>
      </c>
      <c r="G7" s="10" t="s">
        <v>26</v>
      </c>
      <c r="H7" s="10" t="s">
        <v>26</v>
      </c>
      <c r="I7" s="10" t="s">
        <v>26</v>
      </c>
      <c r="J7" s="10" t="s">
        <v>26</v>
      </c>
      <c r="K7" s="10" t="s">
        <v>26</v>
      </c>
      <c r="L7" s="10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  <c r="R7" s="10" t="s">
        <v>26</v>
      </c>
      <c r="S7" s="10" t="s">
        <v>26</v>
      </c>
      <c r="T7" s="10" t="s">
        <v>26</v>
      </c>
      <c r="U7" s="10" t="s">
        <v>26</v>
      </c>
      <c r="V7" s="10" t="s">
        <v>26</v>
      </c>
      <c r="W7" s="10" t="s">
        <v>26</v>
      </c>
    </row>
    <row r="8">
      <c r="A8" s="8">
        <v>40360.0</v>
      </c>
      <c r="B8" s="9">
        <f>IFERROR(__xludf.DUMMYFUNCTION("""COMPUTED_VALUE"""),353.0)</f>
        <v>353</v>
      </c>
      <c r="C8" s="10" t="s">
        <v>26</v>
      </c>
      <c r="D8" s="10" t="s">
        <v>26</v>
      </c>
      <c r="E8" s="10" t="s">
        <v>26</v>
      </c>
      <c r="F8" s="10" t="s">
        <v>26</v>
      </c>
      <c r="G8" s="10" t="s">
        <v>26</v>
      </c>
      <c r="H8" s="10" t="s">
        <v>26</v>
      </c>
      <c r="I8" s="10" t="s">
        <v>26</v>
      </c>
      <c r="J8" s="10" t="s">
        <v>26</v>
      </c>
      <c r="K8" s="10" t="s">
        <v>26</v>
      </c>
      <c r="L8" s="10" t="s">
        <v>26</v>
      </c>
      <c r="M8" s="10" t="s">
        <v>26</v>
      </c>
      <c r="N8" s="10" t="s">
        <v>26</v>
      </c>
      <c r="O8" s="10" t="s">
        <v>26</v>
      </c>
      <c r="P8" s="10" t="s">
        <v>26</v>
      </c>
      <c r="Q8" s="10" t="s">
        <v>26</v>
      </c>
      <c r="R8" s="10" t="s">
        <v>26</v>
      </c>
      <c r="S8" s="10" t="s">
        <v>26</v>
      </c>
      <c r="T8" s="10" t="s">
        <v>26</v>
      </c>
      <c r="U8" s="10" t="s">
        <v>26</v>
      </c>
      <c r="V8" s="10" t="s">
        <v>26</v>
      </c>
      <c r="W8" s="10" t="s">
        <v>26</v>
      </c>
    </row>
    <row r="9">
      <c r="A9" s="8">
        <v>40391.0</v>
      </c>
      <c r="B9" s="9">
        <f>IFERROR(__xludf.DUMMYFUNCTION("""COMPUTED_VALUE"""),546.0)</f>
        <v>546</v>
      </c>
      <c r="C9" s="10" t="s">
        <v>26</v>
      </c>
      <c r="D9" s="10" t="s">
        <v>26</v>
      </c>
      <c r="E9" s="10" t="s">
        <v>26</v>
      </c>
      <c r="F9" s="10" t="s">
        <v>26</v>
      </c>
      <c r="G9" s="10" t="s">
        <v>26</v>
      </c>
      <c r="H9" s="10" t="s">
        <v>26</v>
      </c>
      <c r="I9" s="10" t="s">
        <v>26</v>
      </c>
      <c r="J9" s="10" t="s">
        <v>26</v>
      </c>
      <c r="K9" s="10" t="s">
        <v>26</v>
      </c>
      <c r="L9" s="10" t="s">
        <v>26</v>
      </c>
      <c r="M9" s="10" t="s">
        <v>26</v>
      </c>
      <c r="N9" s="10" t="s">
        <v>26</v>
      </c>
      <c r="O9" s="10" t="s">
        <v>26</v>
      </c>
      <c r="P9" s="10" t="s">
        <v>26</v>
      </c>
      <c r="Q9" s="10" t="s">
        <v>26</v>
      </c>
      <c r="R9" s="10" t="s">
        <v>26</v>
      </c>
      <c r="S9" s="10" t="s">
        <v>26</v>
      </c>
      <c r="T9" s="10" t="s">
        <v>26</v>
      </c>
      <c r="U9" s="10" t="s">
        <v>26</v>
      </c>
      <c r="V9" s="10" t="s">
        <v>26</v>
      </c>
      <c r="W9" s="10" t="s">
        <v>26</v>
      </c>
    </row>
    <row r="10">
      <c r="A10" s="8">
        <v>40422.0</v>
      </c>
      <c r="B10" s="9">
        <f>IFERROR(__xludf.DUMMYFUNCTION("""COMPUTED_VALUE"""),564.0)</f>
        <v>564</v>
      </c>
      <c r="C10" s="10" t="s">
        <v>26</v>
      </c>
      <c r="D10" s="10" t="s">
        <v>26</v>
      </c>
      <c r="E10" s="10" t="s">
        <v>26</v>
      </c>
      <c r="F10" s="10" t="s">
        <v>26</v>
      </c>
      <c r="G10" s="10" t="s">
        <v>26</v>
      </c>
      <c r="H10" s="10" t="s">
        <v>26</v>
      </c>
      <c r="I10" s="10" t="s">
        <v>26</v>
      </c>
      <c r="J10" s="10" t="s">
        <v>26</v>
      </c>
      <c r="K10" s="10" t="s">
        <v>26</v>
      </c>
      <c r="L10" s="10" t="s">
        <v>26</v>
      </c>
      <c r="M10" s="10" t="s">
        <v>26</v>
      </c>
      <c r="N10" s="10" t="s">
        <v>26</v>
      </c>
      <c r="O10" s="10" t="s">
        <v>26</v>
      </c>
      <c r="P10" s="10" t="s">
        <v>26</v>
      </c>
      <c r="Q10" s="10" t="s">
        <v>26</v>
      </c>
      <c r="R10" s="10" t="s">
        <v>26</v>
      </c>
      <c r="S10" s="10" t="s">
        <v>26</v>
      </c>
      <c r="T10" s="10" t="s">
        <v>26</v>
      </c>
      <c r="U10" s="10" t="s">
        <v>26</v>
      </c>
      <c r="V10" s="10" t="s">
        <v>26</v>
      </c>
      <c r="W10" s="10" t="s">
        <v>26</v>
      </c>
    </row>
    <row r="11">
      <c r="A11" s="8">
        <v>40452.0</v>
      </c>
      <c r="B11" s="9">
        <f>IFERROR(__xludf.DUMMYFUNCTION("""COMPUTED_VALUE"""),300.0)</f>
        <v>300</v>
      </c>
      <c r="C11" s="10" t="s">
        <v>26</v>
      </c>
      <c r="D11" s="10" t="s">
        <v>26</v>
      </c>
      <c r="E11" s="10" t="s">
        <v>26</v>
      </c>
      <c r="F11" s="10" t="s">
        <v>26</v>
      </c>
      <c r="G11" s="10" t="s">
        <v>26</v>
      </c>
      <c r="H11" s="10" t="s">
        <v>26</v>
      </c>
      <c r="I11" s="10" t="s">
        <v>26</v>
      </c>
      <c r="J11" s="10" t="s">
        <v>26</v>
      </c>
      <c r="K11" s="10" t="s">
        <v>26</v>
      </c>
      <c r="L11" s="10" t="s">
        <v>26</v>
      </c>
      <c r="M11" s="10" t="s">
        <v>26</v>
      </c>
      <c r="N11" s="10" t="s">
        <v>26</v>
      </c>
      <c r="O11" s="10" t="s">
        <v>26</v>
      </c>
      <c r="P11" s="10" t="s">
        <v>26</v>
      </c>
      <c r="Q11" s="10" t="s">
        <v>26</v>
      </c>
      <c r="R11" s="10" t="s">
        <v>26</v>
      </c>
      <c r="S11" s="10" t="s">
        <v>26</v>
      </c>
      <c r="T11" s="10" t="s">
        <v>26</v>
      </c>
      <c r="U11" s="10" t="s">
        <v>26</v>
      </c>
      <c r="V11" s="10" t="s">
        <v>26</v>
      </c>
      <c r="W11" s="10" t="s">
        <v>26</v>
      </c>
    </row>
    <row r="12">
      <c r="A12" s="8">
        <v>40483.0</v>
      </c>
      <c r="B12" s="9">
        <f>IFERROR(__xludf.DUMMYFUNCTION("""COMPUTED_VALUE"""),408.0)</f>
        <v>408</v>
      </c>
      <c r="C12" s="10" t="s">
        <v>26</v>
      </c>
      <c r="D12" s="10" t="s">
        <v>26</v>
      </c>
      <c r="E12" s="10" t="s">
        <v>26</v>
      </c>
      <c r="F12" s="10" t="s">
        <v>26</v>
      </c>
      <c r="G12" s="10" t="s">
        <v>26</v>
      </c>
      <c r="H12" s="10" t="s">
        <v>26</v>
      </c>
      <c r="I12" s="10" t="s">
        <v>26</v>
      </c>
      <c r="J12" s="10" t="s">
        <v>26</v>
      </c>
      <c r="K12" s="10" t="s">
        <v>26</v>
      </c>
      <c r="L12" s="10" t="s">
        <v>26</v>
      </c>
      <c r="M12" s="10" t="s">
        <v>26</v>
      </c>
      <c r="N12" s="10" t="s">
        <v>26</v>
      </c>
      <c r="O12" s="10" t="s">
        <v>26</v>
      </c>
      <c r="P12" s="10" t="s">
        <v>26</v>
      </c>
      <c r="Q12" s="10" t="s">
        <v>26</v>
      </c>
      <c r="R12" s="10" t="s">
        <v>26</v>
      </c>
      <c r="S12" s="10" t="s">
        <v>26</v>
      </c>
      <c r="T12" s="10" t="s">
        <v>26</v>
      </c>
      <c r="U12" s="10" t="s">
        <v>26</v>
      </c>
      <c r="V12" s="10" t="s">
        <v>26</v>
      </c>
      <c r="W12" s="10" t="s">
        <v>26</v>
      </c>
    </row>
    <row r="13">
      <c r="A13" s="8">
        <v>40513.0</v>
      </c>
      <c r="B13" s="9">
        <f>IFERROR(__xludf.DUMMYFUNCTION("""COMPUTED_VALUE"""),1461.0)</f>
        <v>1461</v>
      </c>
      <c r="C13" s="10" t="s">
        <v>26</v>
      </c>
      <c r="D13" s="10" t="s">
        <v>26</v>
      </c>
      <c r="E13" s="10" t="s">
        <v>26</v>
      </c>
      <c r="F13" s="10" t="s">
        <v>26</v>
      </c>
      <c r="G13" s="10" t="s">
        <v>26</v>
      </c>
      <c r="H13" s="10" t="s">
        <v>26</v>
      </c>
      <c r="I13" s="10" t="s">
        <v>26</v>
      </c>
      <c r="J13" s="10" t="s">
        <v>26</v>
      </c>
      <c r="K13" s="10" t="s">
        <v>26</v>
      </c>
      <c r="L13" s="10" t="s">
        <v>26</v>
      </c>
      <c r="M13" s="10" t="s">
        <v>26</v>
      </c>
      <c r="N13" s="10" t="s">
        <v>26</v>
      </c>
      <c r="O13" s="10" t="s">
        <v>26</v>
      </c>
      <c r="P13" s="10" t="s">
        <v>26</v>
      </c>
      <c r="Q13" s="10" t="s">
        <v>26</v>
      </c>
      <c r="R13" s="10" t="s">
        <v>26</v>
      </c>
      <c r="S13" s="10" t="s">
        <v>26</v>
      </c>
      <c r="T13" s="10" t="s">
        <v>26</v>
      </c>
      <c r="U13" s="10" t="s">
        <v>26</v>
      </c>
      <c r="V13" s="10" t="s">
        <v>26</v>
      </c>
      <c r="W13" s="10" t="s">
        <v>26</v>
      </c>
    </row>
    <row r="14">
      <c r="A14" s="8">
        <v>40544.0</v>
      </c>
      <c r="B14" s="9">
        <f>IFERROR(__xludf.DUMMYFUNCTION("""COMPUTED_VALUE"""),334.0)</f>
        <v>334</v>
      </c>
      <c r="C14" s="10" t="s">
        <v>26</v>
      </c>
      <c r="D14" s="10" t="s">
        <v>26</v>
      </c>
      <c r="E14" s="10" t="s">
        <v>26</v>
      </c>
      <c r="F14" s="10" t="s">
        <v>26</v>
      </c>
      <c r="G14" s="10" t="s">
        <v>26</v>
      </c>
      <c r="H14" s="10" t="s">
        <v>26</v>
      </c>
      <c r="I14" s="10" t="s">
        <v>26</v>
      </c>
      <c r="J14" s="10" t="s">
        <v>26</v>
      </c>
      <c r="K14" s="10" t="s">
        <v>26</v>
      </c>
      <c r="L14" s="10" t="s">
        <v>26</v>
      </c>
      <c r="M14" s="10" t="s">
        <v>26</v>
      </c>
      <c r="N14" s="10" t="s">
        <v>26</v>
      </c>
      <c r="O14" s="10" t="s">
        <v>26</v>
      </c>
      <c r="P14" s="10" t="s">
        <v>26</v>
      </c>
      <c r="Q14" s="10" t="s">
        <v>26</v>
      </c>
      <c r="R14" s="10" t="s">
        <v>26</v>
      </c>
      <c r="S14" s="10" t="s">
        <v>26</v>
      </c>
      <c r="T14" s="10" t="s">
        <v>26</v>
      </c>
      <c r="U14" s="10" t="s">
        <v>26</v>
      </c>
      <c r="V14" s="10" t="s">
        <v>26</v>
      </c>
      <c r="W14" s="10" t="s">
        <v>26</v>
      </c>
    </row>
    <row r="15">
      <c r="A15" s="8">
        <v>40575.0</v>
      </c>
      <c r="B15" s="9">
        <f>IFERROR(__xludf.DUMMYFUNCTION("""COMPUTED_VALUE"""),511.0)</f>
        <v>511</v>
      </c>
      <c r="C15" s="10" t="s">
        <v>26</v>
      </c>
      <c r="D15" s="10" t="s">
        <v>26</v>
      </c>
      <c r="E15" s="10" t="s">
        <v>26</v>
      </c>
      <c r="F15" s="10" t="s">
        <v>26</v>
      </c>
      <c r="G15" s="10" t="s">
        <v>26</v>
      </c>
      <c r="H15" s="10" t="s">
        <v>26</v>
      </c>
      <c r="I15" s="10" t="s">
        <v>26</v>
      </c>
      <c r="J15" s="10" t="s">
        <v>26</v>
      </c>
      <c r="K15" s="10" t="s">
        <v>26</v>
      </c>
      <c r="L15" s="10" t="s">
        <v>26</v>
      </c>
      <c r="M15" s="10" t="s">
        <v>26</v>
      </c>
      <c r="N15" s="10" t="s">
        <v>26</v>
      </c>
      <c r="O15" s="10" t="s">
        <v>26</v>
      </c>
      <c r="P15" s="10" t="s">
        <v>26</v>
      </c>
      <c r="Q15" s="10" t="s">
        <v>26</v>
      </c>
      <c r="R15" s="10" t="s">
        <v>26</v>
      </c>
      <c r="S15" s="10" t="s">
        <v>26</v>
      </c>
      <c r="T15" s="10" t="s">
        <v>26</v>
      </c>
      <c r="U15" s="10" t="s">
        <v>26</v>
      </c>
      <c r="V15" s="10" t="s">
        <v>26</v>
      </c>
      <c r="W15" s="10" t="s">
        <v>26</v>
      </c>
    </row>
    <row r="16">
      <c r="A16" s="8">
        <v>40603.0</v>
      </c>
      <c r="B16" s="9">
        <f>IFERROR(__xludf.DUMMYFUNCTION("""COMPUTED_VALUE"""),922.0)</f>
        <v>922</v>
      </c>
      <c r="C16" s="10" t="s">
        <v>26</v>
      </c>
      <c r="D16" s="10" t="s">
        <v>26</v>
      </c>
      <c r="E16" s="10" t="s">
        <v>26</v>
      </c>
      <c r="F16" s="10" t="s">
        <v>26</v>
      </c>
      <c r="G16" s="10" t="s">
        <v>26</v>
      </c>
      <c r="H16" s="10" t="s">
        <v>26</v>
      </c>
      <c r="I16" s="10" t="s">
        <v>26</v>
      </c>
      <c r="J16" s="10" t="s">
        <v>26</v>
      </c>
      <c r="K16" s="10" t="s">
        <v>26</v>
      </c>
      <c r="L16" s="10" t="s">
        <v>26</v>
      </c>
      <c r="M16" s="10" t="s">
        <v>26</v>
      </c>
      <c r="N16" s="10" t="s">
        <v>26</v>
      </c>
      <c r="O16" s="10" t="s">
        <v>26</v>
      </c>
      <c r="P16" s="10" t="s">
        <v>26</v>
      </c>
      <c r="Q16" s="10" t="s">
        <v>26</v>
      </c>
      <c r="R16" s="10" t="s">
        <v>26</v>
      </c>
      <c r="S16" s="10" t="s">
        <v>26</v>
      </c>
      <c r="T16" s="10" t="s">
        <v>26</v>
      </c>
      <c r="U16" s="10" t="s">
        <v>26</v>
      </c>
      <c r="V16" s="10" t="s">
        <v>26</v>
      </c>
      <c r="W16" s="10" t="s">
        <v>26</v>
      </c>
    </row>
    <row r="17">
      <c r="A17" s="8">
        <v>40634.0</v>
      </c>
      <c r="B17" s="9">
        <f>IFERROR(__xludf.DUMMYFUNCTION("""COMPUTED_VALUE"""),661.0)</f>
        <v>661</v>
      </c>
      <c r="C17" s="10" t="s">
        <v>26</v>
      </c>
      <c r="D17" s="10" t="s">
        <v>26</v>
      </c>
      <c r="E17" s="10" t="s">
        <v>26</v>
      </c>
      <c r="F17" s="10" t="s">
        <v>26</v>
      </c>
      <c r="G17" s="10" t="s">
        <v>26</v>
      </c>
      <c r="H17" s="10" t="s">
        <v>26</v>
      </c>
      <c r="I17" s="10" t="s">
        <v>26</v>
      </c>
      <c r="J17" s="10" t="s">
        <v>26</v>
      </c>
      <c r="K17" s="10" t="s">
        <v>26</v>
      </c>
      <c r="L17" s="10" t="s">
        <v>26</v>
      </c>
      <c r="M17" s="10" t="s">
        <v>26</v>
      </c>
      <c r="N17" s="10" t="s">
        <v>26</v>
      </c>
      <c r="O17" s="10" t="s">
        <v>26</v>
      </c>
      <c r="P17" s="10" t="s">
        <v>26</v>
      </c>
      <c r="Q17" s="10" t="s">
        <v>26</v>
      </c>
      <c r="R17" s="10" t="s">
        <v>26</v>
      </c>
      <c r="S17" s="10" t="s">
        <v>26</v>
      </c>
      <c r="T17" s="10" t="s">
        <v>26</v>
      </c>
      <c r="U17" s="10" t="s">
        <v>26</v>
      </c>
      <c r="V17" s="10" t="s">
        <v>26</v>
      </c>
      <c r="W17" s="10" t="s">
        <v>26</v>
      </c>
    </row>
    <row r="18">
      <c r="A18" s="8">
        <v>40664.0</v>
      </c>
      <c r="B18" s="9">
        <f>IFERROR(__xludf.DUMMYFUNCTION("""COMPUTED_VALUE"""),619.0)</f>
        <v>619</v>
      </c>
      <c r="C18" s="10" t="s">
        <v>26</v>
      </c>
      <c r="D18" s="10" t="s">
        <v>26</v>
      </c>
      <c r="E18" s="10" t="s">
        <v>26</v>
      </c>
      <c r="F18" s="10" t="s">
        <v>26</v>
      </c>
      <c r="G18" s="10" t="s">
        <v>26</v>
      </c>
      <c r="H18" s="10" t="s">
        <v>26</v>
      </c>
      <c r="I18" s="10" t="s">
        <v>26</v>
      </c>
      <c r="J18" s="10" t="s">
        <v>26</v>
      </c>
      <c r="K18" s="10" t="s">
        <v>26</v>
      </c>
      <c r="L18" s="10" t="s">
        <v>26</v>
      </c>
      <c r="M18" s="10" t="s">
        <v>26</v>
      </c>
      <c r="N18" s="10" t="s">
        <v>26</v>
      </c>
      <c r="O18" s="10" t="s">
        <v>26</v>
      </c>
      <c r="P18" s="10" t="s">
        <v>26</v>
      </c>
      <c r="Q18" s="10" t="s">
        <v>26</v>
      </c>
      <c r="R18" s="10" t="s">
        <v>26</v>
      </c>
      <c r="S18" s="10" t="s">
        <v>26</v>
      </c>
      <c r="T18" s="10" t="s">
        <v>26</v>
      </c>
      <c r="U18" s="10" t="s">
        <v>26</v>
      </c>
      <c r="V18" s="10" t="s">
        <v>26</v>
      </c>
      <c r="W18" s="10" t="s">
        <v>26</v>
      </c>
    </row>
    <row r="19">
      <c r="A19" s="8">
        <v>40695.0</v>
      </c>
      <c r="B19" s="9">
        <f>IFERROR(__xludf.DUMMYFUNCTION("""COMPUTED_VALUE"""),284.0)</f>
        <v>284</v>
      </c>
      <c r="C19" s="10" t="s">
        <v>26</v>
      </c>
      <c r="D19" s="10" t="s">
        <v>26</v>
      </c>
      <c r="E19" s="10" t="s">
        <v>26</v>
      </c>
      <c r="F19" s="10" t="s">
        <v>26</v>
      </c>
      <c r="G19" s="10" t="s">
        <v>26</v>
      </c>
      <c r="H19" s="10" t="s">
        <v>26</v>
      </c>
      <c r="I19" s="10" t="s">
        <v>26</v>
      </c>
      <c r="J19" s="10" t="s">
        <v>26</v>
      </c>
      <c r="K19" s="10" t="s">
        <v>26</v>
      </c>
      <c r="L19" s="10" t="s">
        <v>26</v>
      </c>
      <c r="M19" s="10" t="s">
        <v>26</v>
      </c>
      <c r="N19" s="10" t="s">
        <v>26</v>
      </c>
      <c r="O19" s="10" t="s">
        <v>26</v>
      </c>
      <c r="P19" s="10" t="s">
        <v>26</v>
      </c>
      <c r="Q19" s="10" t="s">
        <v>26</v>
      </c>
      <c r="R19" s="10" t="s">
        <v>26</v>
      </c>
      <c r="S19" s="10" t="s">
        <v>26</v>
      </c>
      <c r="T19" s="10" t="s">
        <v>26</v>
      </c>
      <c r="U19" s="10" t="s">
        <v>26</v>
      </c>
      <c r="V19" s="10" t="s">
        <v>26</v>
      </c>
      <c r="W19" s="10" t="s">
        <v>26</v>
      </c>
    </row>
    <row r="20">
      <c r="A20" s="8">
        <v>40725.0</v>
      </c>
      <c r="B20" s="9">
        <f>IFERROR(__xludf.DUMMYFUNCTION("""COMPUTED_VALUE"""),286.0)</f>
        <v>286</v>
      </c>
      <c r="C20" s="10" t="s">
        <v>26</v>
      </c>
      <c r="D20" s="10" t="s">
        <v>26</v>
      </c>
      <c r="E20" s="10" t="s">
        <v>26</v>
      </c>
      <c r="F20" s="10" t="s">
        <v>26</v>
      </c>
      <c r="G20" s="10" t="s">
        <v>26</v>
      </c>
      <c r="H20" s="10" t="s">
        <v>26</v>
      </c>
      <c r="I20" s="10" t="s">
        <v>26</v>
      </c>
      <c r="J20" s="10" t="s">
        <v>26</v>
      </c>
      <c r="K20" s="10" t="s">
        <v>26</v>
      </c>
      <c r="L20" s="10" t="s">
        <v>26</v>
      </c>
      <c r="M20" s="10" t="s">
        <v>26</v>
      </c>
      <c r="N20" s="10" t="s">
        <v>26</v>
      </c>
      <c r="O20" s="10" t="s">
        <v>26</v>
      </c>
      <c r="P20" s="10" t="s">
        <v>26</v>
      </c>
      <c r="Q20" s="10" t="s">
        <v>26</v>
      </c>
      <c r="R20" s="10" t="s">
        <v>26</v>
      </c>
      <c r="S20" s="10" t="s">
        <v>26</v>
      </c>
      <c r="T20" s="10" t="s">
        <v>26</v>
      </c>
      <c r="U20" s="10" t="s">
        <v>26</v>
      </c>
      <c r="V20" s="10" t="s">
        <v>26</v>
      </c>
      <c r="W20" s="10" t="s">
        <v>26</v>
      </c>
    </row>
    <row r="21">
      <c r="A21" s="8">
        <v>40756.0</v>
      </c>
      <c r="B21" s="9">
        <f>IFERROR(__xludf.DUMMYFUNCTION("""COMPUTED_VALUE"""),469.0)</f>
        <v>469</v>
      </c>
      <c r="C21" s="12">
        <v>149.821428571429</v>
      </c>
      <c r="D21" s="12">
        <v>32.8958762639153</v>
      </c>
      <c r="E21" s="12">
        <v>133.0</v>
      </c>
      <c r="F21" s="10">
        <v>129.76465984813</v>
      </c>
      <c r="G21" s="12">
        <v>155.0</v>
      </c>
      <c r="H21" s="12">
        <v>268.487801657114</v>
      </c>
      <c r="I21" s="12">
        <v>255.918942415411</v>
      </c>
      <c r="J21" s="12">
        <v>623.326355757987</v>
      </c>
      <c r="K21" s="12" t="s">
        <v>26</v>
      </c>
      <c r="L21" s="12">
        <v>2.0</v>
      </c>
      <c r="M21" s="12">
        <v>0.0</v>
      </c>
      <c r="N21" s="12">
        <v>71.0</v>
      </c>
      <c r="O21" s="12">
        <v>495.83950169302</v>
      </c>
      <c r="P21" s="12">
        <v>0.0</v>
      </c>
      <c r="Q21" s="12">
        <v>152.691439246806</v>
      </c>
      <c r="R21" s="12">
        <v>448.303388533526</v>
      </c>
      <c r="S21" s="12">
        <v>71.0</v>
      </c>
      <c r="T21" s="12">
        <v>43.0</v>
      </c>
      <c r="U21" s="12">
        <v>25.0</v>
      </c>
      <c r="V21" s="12">
        <v>132.323529411765</v>
      </c>
      <c r="W21" s="12">
        <v>199.516845956186</v>
      </c>
    </row>
    <row r="22">
      <c r="A22" s="8">
        <v>40787.0</v>
      </c>
      <c r="B22" s="9">
        <f>IFERROR(__xludf.DUMMYFUNCTION("""COMPUTED_VALUE"""),487.0)</f>
        <v>487</v>
      </c>
      <c r="C22" s="12">
        <v>137.392857142857</v>
      </c>
      <c r="D22" s="12">
        <v>180.812102261323</v>
      </c>
      <c r="E22" s="12">
        <v>133.0</v>
      </c>
      <c r="F22" s="12">
        <v>117.653548737019</v>
      </c>
      <c r="G22" s="12">
        <v>155.0</v>
      </c>
      <c r="H22" s="12">
        <v>268.487801657114</v>
      </c>
      <c r="I22" s="12">
        <v>696.128866625989</v>
      </c>
      <c r="J22" s="12">
        <v>455.908230657051</v>
      </c>
      <c r="K22" s="12">
        <v>411.0</v>
      </c>
      <c r="L22" s="12">
        <v>428.0</v>
      </c>
      <c r="M22" s="12">
        <v>0.0</v>
      </c>
      <c r="N22" s="12">
        <v>45.0</v>
      </c>
      <c r="O22" s="12">
        <v>699.416165254426</v>
      </c>
      <c r="P22" s="12">
        <v>0.0</v>
      </c>
      <c r="Q22" s="12">
        <v>176.101639811865</v>
      </c>
      <c r="R22" s="12">
        <v>41.2545192726421</v>
      </c>
      <c r="S22" s="12">
        <v>75.0</v>
      </c>
      <c r="T22" s="12">
        <v>66.0</v>
      </c>
      <c r="U22" s="12">
        <v>0.0</v>
      </c>
      <c r="V22" s="12">
        <v>100.25</v>
      </c>
      <c r="W22" s="12">
        <v>195.793358939896</v>
      </c>
    </row>
    <row r="23">
      <c r="A23" s="8">
        <v>40817.0</v>
      </c>
      <c r="B23" s="9">
        <f>IFERROR(__xludf.DUMMYFUNCTION("""COMPUTED_VALUE"""),151.0)</f>
        <v>151</v>
      </c>
      <c r="C23" s="12">
        <v>122.717221872068</v>
      </c>
      <c r="D23" s="12">
        <v>211.864384692596</v>
      </c>
      <c r="E23" s="12">
        <v>134.0</v>
      </c>
      <c r="F23" s="12">
        <v>108.431528167989</v>
      </c>
      <c r="G23" s="12">
        <v>155.0</v>
      </c>
      <c r="H23" s="12">
        <v>268.487801657114</v>
      </c>
      <c r="I23" s="12">
        <v>450.335916002394</v>
      </c>
      <c r="J23" s="12">
        <v>594.743413519391</v>
      </c>
      <c r="K23" s="12">
        <v>331.0</v>
      </c>
      <c r="L23" s="12">
        <v>591.898355876978</v>
      </c>
      <c r="M23" s="12">
        <v>266.5718792275</v>
      </c>
      <c r="N23" s="12">
        <v>267.030956558706</v>
      </c>
      <c r="O23" s="12">
        <v>509.37895657853</v>
      </c>
      <c r="P23" s="12">
        <v>0.0</v>
      </c>
      <c r="Q23" s="12">
        <v>150.437750010074</v>
      </c>
      <c r="R23" s="12">
        <v>202.466966460148</v>
      </c>
      <c r="S23" s="12">
        <v>177.038410262416</v>
      </c>
      <c r="T23" s="12">
        <v>174.179624524343</v>
      </c>
      <c r="U23" s="12">
        <v>0.0</v>
      </c>
      <c r="V23" s="12">
        <v>107.909170301655</v>
      </c>
      <c r="W23" s="12">
        <v>178.78874291927</v>
      </c>
    </row>
    <row r="24">
      <c r="A24" s="8">
        <v>40848.0</v>
      </c>
      <c r="B24" s="9">
        <f>IFERROR(__xludf.DUMMYFUNCTION("""COMPUTED_VALUE"""),720.0)</f>
        <v>720</v>
      </c>
      <c r="C24" s="12">
        <v>576.607142857143</v>
      </c>
      <c r="D24" s="12">
        <v>622.010819431647</v>
      </c>
      <c r="E24" s="12">
        <v>211.263540286994</v>
      </c>
      <c r="F24" s="12">
        <v>120.877939480953</v>
      </c>
      <c r="G24" s="12">
        <v>155.0</v>
      </c>
      <c r="H24" s="12">
        <v>268.487801657114</v>
      </c>
      <c r="I24" s="12">
        <v>625.661636742922</v>
      </c>
      <c r="J24" s="12">
        <v>628.357712954879</v>
      </c>
      <c r="K24" s="12">
        <v>451.0</v>
      </c>
      <c r="L24" s="12">
        <v>733.216645213637</v>
      </c>
      <c r="M24" s="12">
        <v>296.353758347766</v>
      </c>
      <c r="N24" s="12">
        <v>522.309491843053</v>
      </c>
      <c r="O24" s="12">
        <v>718.863750119675</v>
      </c>
      <c r="P24" s="12">
        <v>0.0</v>
      </c>
      <c r="Q24" s="12">
        <v>705.693503435082</v>
      </c>
      <c r="R24" s="12">
        <v>213.567614640329</v>
      </c>
      <c r="S24" s="12">
        <v>524.14781704567</v>
      </c>
      <c r="T24" s="12">
        <v>0.0</v>
      </c>
      <c r="U24" s="12">
        <v>0.0</v>
      </c>
      <c r="V24" s="12">
        <v>107.242647058824</v>
      </c>
      <c r="W24" s="12">
        <v>133.898069230826</v>
      </c>
    </row>
    <row r="25">
      <c r="A25" s="8">
        <v>40878.0</v>
      </c>
      <c r="B25" s="9">
        <f>IFERROR(__xludf.DUMMYFUNCTION("""COMPUTED_VALUE"""),126.0)</f>
        <v>126</v>
      </c>
      <c r="C25" s="12">
        <v>146.928571428571</v>
      </c>
      <c r="D25" s="12">
        <v>502.524038824461</v>
      </c>
      <c r="E25" s="12">
        <v>222.569589587744</v>
      </c>
      <c r="F25" s="12">
        <v>108.4341700606</v>
      </c>
      <c r="G25" s="12">
        <v>155.0</v>
      </c>
      <c r="H25" s="12">
        <v>268.487801657114</v>
      </c>
      <c r="I25" s="12">
        <v>314.965635632995</v>
      </c>
      <c r="J25" s="12">
        <v>586.998038960929</v>
      </c>
      <c r="K25" s="12">
        <v>114.10790915157</v>
      </c>
      <c r="L25" s="12">
        <v>40.0</v>
      </c>
      <c r="M25" s="12">
        <v>0.0</v>
      </c>
      <c r="N25" s="12">
        <v>35.0</v>
      </c>
      <c r="O25" s="12">
        <v>299.964821916565</v>
      </c>
      <c r="P25" s="12">
        <v>0.0</v>
      </c>
      <c r="Q25" s="12">
        <v>248.35977157444</v>
      </c>
      <c r="R25" s="12">
        <v>0.0</v>
      </c>
      <c r="S25" s="12">
        <v>178.530739994226</v>
      </c>
      <c r="T25" s="12">
        <v>28.0</v>
      </c>
      <c r="U25" s="12">
        <v>3.0</v>
      </c>
      <c r="V25" s="12">
        <v>107.441176470588</v>
      </c>
      <c r="W25" s="12">
        <v>14.5748425874148</v>
      </c>
    </row>
    <row r="26">
      <c r="A26" s="8">
        <v>40909.0</v>
      </c>
      <c r="B26" s="9">
        <f>IFERROR(__xludf.DUMMYFUNCTION("""COMPUTED_VALUE"""),96.0)</f>
        <v>96</v>
      </c>
      <c r="C26" s="12">
        <v>93.6071428571429</v>
      </c>
      <c r="D26" s="12">
        <v>164.193954890601</v>
      </c>
      <c r="E26" s="12">
        <v>132.0</v>
      </c>
      <c r="F26" s="12">
        <v>111.320521242005</v>
      </c>
      <c r="G26" s="12">
        <v>155.0</v>
      </c>
      <c r="H26" s="12">
        <v>268.487801657114</v>
      </c>
      <c r="I26" s="12">
        <v>346.171468871987</v>
      </c>
      <c r="J26" s="12">
        <v>639.18867745825</v>
      </c>
      <c r="K26" s="12">
        <v>15.347183863773</v>
      </c>
      <c r="L26" s="12">
        <v>5.0</v>
      </c>
      <c r="M26" s="12">
        <v>0.0</v>
      </c>
      <c r="N26" s="12">
        <v>0.0</v>
      </c>
      <c r="O26" s="12">
        <v>295.012969009416</v>
      </c>
      <c r="P26" s="12">
        <v>0.0</v>
      </c>
      <c r="Q26" s="12">
        <v>108.989564684065</v>
      </c>
      <c r="R26" s="12">
        <v>0.0</v>
      </c>
      <c r="S26" s="12">
        <v>83.4403190969694</v>
      </c>
      <c r="T26" s="12">
        <v>78.0</v>
      </c>
      <c r="U26" s="12">
        <v>145.285055353736</v>
      </c>
      <c r="V26" s="12">
        <v>76.7573529411765</v>
      </c>
      <c r="W26" s="12">
        <v>134.344719722637</v>
      </c>
    </row>
    <row r="27">
      <c r="A27" s="8">
        <v>40940.0</v>
      </c>
      <c r="B27" s="9">
        <f>IFERROR(__xludf.DUMMYFUNCTION("""COMPUTED_VALUE"""),303.0)</f>
        <v>303</v>
      </c>
      <c r="C27" s="12">
        <v>65.0</v>
      </c>
      <c r="D27" s="12">
        <v>6.56709670792583</v>
      </c>
      <c r="E27" s="12">
        <v>181.677651656412</v>
      </c>
      <c r="F27" s="12">
        <v>108.431339101897</v>
      </c>
      <c r="G27" s="12">
        <v>155.0</v>
      </c>
      <c r="H27" s="12">
        <v>268.487801657114</v>
      </c>
      <c r="I27" s="12">
        <v>124.229473815404</v>
      </c>
      <c r="J27" s="12">
        <v>570.031937615886</v>
      </c>
      <c r="K27" s="12">
        <v>561.642956674099</v>
      </c>
      <c r="L27" s="12">
        <v>150.0</v>
      </c>
      <c r="M27" s="12">
        <v>0.0</v>
      </c>
      <c r="N27" s="12">
        <v>0.0</v>
      </c>
      <c r="O27" s="12">
        <v>224.496025727258</v>
      </c>
      <c r="P27" s="12">
        <v>0.0</v>
      </c>
      <c r="Q27" s="12">
        <v>189.245797145894</v>
      </c>
      <c r="R27" s="12">
        <v>0.0</v>
      </c>
      <c r="S27" s="12">
        <v>103.276545315871</v>
      </c>
      <c r="T27" s="12">
        <v>258.799625450522</v>
      </c>
      <c r="U27" s="12">
        <v>412.002110560667</v>
      </c>
      <c r="V27" s="12">
        <v>128.349048365101</v>
      </c>
      <c r="W27" s="12">
        <v>134.336699774346</v>
      </c>
    </row>
    <row r="28">
      <c r="A28" s="8">
        <v>40969.0</v>
      </c>
      <c r="B28" s="9">
        <f>IFERROR(__xludf.DUMMYFUNCTION("""COMPUTED_VALUE"""),37.0)</f>
        <v>37</v>
      </c>
      <c r="C28" s="12">
        <v>208.178571428571</v>
      </c>
      <c r="D28" s="12">
        <v>188.578975281093</v>
      </c>
      <c r="E28" s="12">
        <v>132.0</v>
      </c>
      <c r="F28" s="12">
        <v>178.90370595106</v>
      </c>
      <c r="G28" s="12">
        <v>155.0</v>
      </c>
      <c r="H28" s="12">
        <v>268.487801657114</v>
      </c>
      <c r="I28" s="12">
        <v>250.555760835542</v>
      </c>
      <c r="J28" s="12">
        <v>506.856017232859</v>
      </c>
      <c r="K28" s="12">
        <v>47.0</v>
      </c>
      <c r="L28" s="12">
        <v>124.782469030858</v>
      </c>
      <c r="M28" s="12">
        <v>109.577355541854</v>
      </c>
      <c r="N28" s="12">
        <v>82.5265022142233</v>
      </c>
      <c r="O28" s="12">
        <v>267.61284968218</v>
      </c>
      <c r="P28" s="12">
        <v>0.0</v>
      </c>
      <c r="Q28" s="12">
        <v>118.908534765441</v>
      </c>
      <c r="R28" s="12">
        <v>0.0</v>
      </c>
      <c r="S28" s="12">
        <v>84.4173087572208</v>
      </c>
      <c r="T28" s="12">
        <v>88.5334816329034</v>
      </c>
      <c r="U28" s="12">
        <v>129.411164739827</v>
      </c>
      <c r="V28" s="12">
        <v>839.08540952741</v>
      </c>
      <c r="W28" s="12">
        <v>161.774003438903</v>
      </c>
    </row>
    <row r="29">
      <c r="A29" s="8">
        <v>41000.0</v>
      </c>
      <c r="B29" s="9">
        <f>IFERROR(__xludf.DUMMYFUNCTION("""COMPUTED_VALUE"""),360.0)</f>
        <v>360</v>
      </c>
      <c r="C29" s="12">
        <v>188.464285714286</v>
      </c>
      <c r="D29" s="12">
        <v>31.7480988710485</v>
      </c>
      <c r="E29" s="12">
        <v>132.0</v>
      </c>
      <c r="F29" s="10">
        <v>118.283178632921</v>
      </c>
      <c r="G29" s="12">
        <v>155.0</v>
      </c>
      <c r="H29" s="12">
        <v>268.487801657114</v>
      </c>
      <c r="I29" s="12">
        <v>421.762484583759</v>
      </c>
      <c r="J29" s="12">
        <v>801.602949694187</v>
      </c>
      <c r="K29" s="12" t="s">
        <v>26</v>
      </c>
      <c r="L29" s="12">
        <v>7.0</v>
      </c>
      <c r="M29" s="12">
        <v>9.0</v>
      </c>
      <c r="N29" s="12">
        <v>77.2160163655152</v>
      </c>
      <c r="O29" s="12">
        <v>368.645189125281</v>
      </c>
      <c r="P29" s="12">
        <v>0.0</v>
      </c>
      <c r="Q29" s="12">
        <v>135.446275607138</v>
      </c>
      <c r="R29" s="12">
        <v>0.0</v>
      </c>
      <c r="S29" s="12">
        <v>98.2446868223821</v>
      </c>
      <c r="T29" s="12">
        <v>49.6382941578206</v>
      </c>
      <c r="U29" s="12">
        <v>174.25</v>
      </c>
      <c r="V29" s="12">
        <v>247.129579318537</v>
      </c>
      <c r="W29" s="12">
        <v>149.780740314088</v>
      </c>
    </row>
    <row r="30">
      <c r="A30" s="8">
        <v>41030.0</v>
      </c>
      <c r="B30" s="9">
        <f>IFERROR(__xludf.DUMMYFUNCTION("""COMPUTED_VALUE"""),151.0)</f>
        <v>151</v>
      </c>
      <c r="C30" s="12">
        <v>195.678571428571</v>
      </c>
      <c r="D30" s="12">
        <v>118.081246751757</v>
      </c>
      <c r="E30" s="12">
        <v>1447.48186425922</v>
      </c>
      <c r="F30" s="12">
        <v>217.580561421628</v>
      </c>
      <c r="G30" s="12">
        <v>155.0</v>
      </c>
      <c r="H30" s="12">
        <v>268.487801657114</v>
      </c>
      <c r="I30" s="12">
        <v>281.712291631902</v>
      </c>
      <c r="J30" s="12">
        <v>462.814167566235</v>
      </c>
      <c r="K30" s="12">
        <v>333.0</v>
      </c>
      <c r="L30" s="12">
        <v>123.0</v>
      </c>
      <c r="M30" s="12">
        <v>434.137326105176</v>
      </c>
      <c r="N30" s="12">
        <v>171.677028559687</v>
      </c>
      <c r="O30" s="12">
        <v>314.733596815919</v>
      </c>
      <c r="P30" s="12">
        <v>0.0</v>
      </c>
      <c r="Q30" s="12">
        <v>124.826838039187</v>
      </c>
      <c r="R30" s="12">
        <v>84.2</v>
      </c>
      <c r="S30" s="12">
        <v>133.168824342853</v>
      </c>
      <c r="T30" s="12">
        <v>384.969471283483</v>
      </c>
      <c r="U30" s="12">
        <v>409.347897568936</v>
      </c>
      <c r="V30" s="12">
        <v>137.294117647059</v>
      </c>
      <c r="W30" s="12">
        <v>220.732383665545</v>
      </c>
    </row>
    <row r="31">
      <c r="A31" s="8">
        <v>41061.0</v>
      </c>
      <c r="B31" s="9">
        <f>IFERROR(__xludf.DUMMYFUNCTION("""COMPUTED_VALUE"""),114.0)</f>
        <v>114</v>
      </c>
      <c r="C31" s="12">
        <v>252.0</v>
      </c>
      <c r="D31" s="12">
        <v>47.6171871501126</v>
      </c>
      <c r="E31" s="12">
        <v>268.053696583407</v>
      </c>
      <c r="F31" s="12">
        <v>167.880881336645</v>
      </c>
      <c r="G31" s="12">
        <v>155.0</v>
      </c>
      <c r="H31" s="12">
        <v>268.487801657114</v>
      </c>
      <c r="I31" s="12">
        <v>244.694418121251</v>
      </c>
      <c r="J31" s="12">
        <v>689.356860540373</v>
      </c>
      <c r="K31" s="12">
        <v>129.0</v>
      </c>
      <c r="L31" s="12">
        <v>109.074172459972</v>
      </c>
      <c r="M31" s="12">
        <v>116.284198002647</v>
      </c>
      <c r="N31" s="12">
        <v>145.633647198033</v>
      </c>
      <c r="O31" s="12">
        <v>221.011113136326</v>
      </c>
      <c r="P31" s="12">
        <v>0.0</v>
      </c>
      <c r="Q31" s="12">
        <v>231.324662416959</v>
      </c>
      <c r="R31" s="12">
        <v>34.9857169111315</v>
      </c>
      <c r="S31" s="12">
        <v>116.262243597304</v>
      </c>
      <c r="T31" s="12">
        <v>103.464551238911</v>
      </c>
      <c r="U31" s="12">
        <v>109.749187940751</v>
      </c>
      <c r="V31" s="12">
        <v>139.625658662533</v>
      </c>
      <c r="W31" s="12">
        <v>170.608759959276</v>
      </c>
    </row>
    <row r="32">
      <c r="A32" s="8">
        <v>41091.0</v>
      </c>
      <c r="B32" s="9">
        <f>IFERROR(__xludf.DUMMYFUNCTION("""COMPUTED_VALUE"""),153.0)</f>
        <v>153</v>
      </c>
      <c r="C32" s="12">
        <v>131.321428571429</v>
      </c>
      <c r="D32" s="12">
        <v>7.22090488899586</v>
      </c>
      <c r="E32" s="12">
        <v>287.461047513456</v>
      </c>
      <c r="F32" s="12">
        <v>111.047314108101</v>
      </c>
      <c r="G32" s="12">
        <v>155.0</v>
      </c>
      <c r="H32" s="12">
        <v>268.487801657114</v>
      </c>
      <c r="I32" s="12">
        <v>187.706603316842</v>
      </c>
      <c r="J32" s="12">
        <v>442.044590264261</v>
      </c>
      <c r="K32" s="12">
        <v>4.0</v>
      </c>
      <c r="L32" s="12">
        <v>111.449339829635</v>
      </c>
      <c r="M32" s="12">
        <v>17.9108295010178</v>
      </c>
      <c r="N32" s="12">
        <v>718.101028496878</v>
      </c>
      <c r="O32" s="12">
        <v>160.406146348582</v>
      </c>
      <c r="P32" s="12">
        <v>0.0</v>
      </c>
      <c r="Q32" s="12">
        <v>204.652986865344</v>
      </c>
      <c r="R32" s="12">
        <v>127.424052658708</v>
      </c>
      <c r="S32" s="12">
        <v>193.304213317236</v>
      </c>
      <c r="T32" s="12">
        <v>28.6866023295762</v>
      </c>
      <c r="U32" s="12">
        <v>23.0</v>
      </c>
      <c r="V32" s="12">
        <v>78.2104098599228</v>
      </c>
      <c r="W32" s="12">
        <v>83.0447020743578</v>
      </c>
    </row>
    <row r="33">
      <c r="A33" s="8">
        <v>41122.0</v>
      </c>
      <c r="B33" s="9">
        <f>IFERROR(__xludf.DUMMYFUNCTION("""COMPUTED_VALUE"""),48.0)</f>
        <v>48</v>
      </c>
      <c r="C33" s="12">
        <v>154.785714285714</v>
      </c>
      <c r="D33" s="12">
        <v>86.5201928072534</v>
      </c>
      <c r="E33" s="12">
        <v>322.0</v>
      </c>
      <c r="F33" s="12">
        <v>121.060371263487</v>
      </c>
      <c r="G33" s="12">
        <v>155.0</v>
      </c>
      <c r="H33" s="12">
        <v>268.487801657114</v>
      </c>
      <c r="I33" s="12">
        <v>135.718080113707</v>
      </c>
      <c r="J33" s="12">
        <v>418.171863521395</v>
      </c>
      <c r="K33" s="12">
        <v>214.0</v>
      </c>
      <c r="L33" s="12">
        <v>153.064380514346</v>
      </c>
      <c r="M33" s="12">
        <v>53.7763875949675</v>
      </c>
      <c r="N33" s="12">
        <v>17.8948490568048</v>
      </c>
      <c r="O33" s="12">
        <v>110.346264228652</v>
      </c>
      <c r="P33" s="12">
        <v>0.0</v>
      </c>
      <c r="Q33" s="12">
        <v>159.938281674277</v>
      </c>
      <c r="R33" s="12">
        <v>-98.1061665394807</v>
      </c>
      <c r="S33" s="12">
        <v>69.0</v>
      </c>
      <c r="T33" s="12">
        <v>52.098254543458</v>
      </c>
      <c r="U33" s="12">
        <v>95.25</v>
      </c>
      <c r="V33" s="12">
        <v>50.7706029598035</v>
      </c>
      <c r="W33" s="12">
        <v>140.32047252617</v>
      </c>
    </row>
    <row r="34">
      <c r="A34" s="8">
        <v>41153.0</v>
      </c>
      <c r="B34" s="9">
        <f>IFERROR(__xludf.DUMMYFUNCTION("""COMPUTED_VALUE"""),128.0)</f>
        <v>128</v>
      </c>
      <c r="C34" s="12">
        <v>95.3571428571429</v>
      </c>
      <c r="D34" s="12">
        <v>19.8800918661324</v>
      </c>
      <c r="E34" s="12">
        <v>94.0</v>
      </c>
      <c r="F34" s="12">
        <v>108.431326514797</v>
      </c>
      <c r="G34" s="12">
        <v>155.0</v>
      </c>
      <c r="H34" s="12">
        <v>268.487801657114</v>
      </c>
      <c r="I34" s="12">
        <v>128.065373619461</v>
      </c>
      <c r="J34" s="12">
        <v>291.298237007661</v>
      </c>
      <c r="K34" s="12">
        <v>55.0</v>
      </c>
      <c r="L34" s="12">
        <v>66.0</v>
      </c>
      <c r="M34" s="12">
        <v>0.0</v>
      </c>
      <c r="N34" s="12">
        <v>110.140894892457</v>
      </c>
      <c r="O34" s="12">
        <v>118.449195520859</v>
      </c>
      <c r="P34" s="12">
        <v>0.0</v>
      </c>
      <c r="Q34" s="12">
        <v>136.474864310047</v>
      </c>
      <c r="R34" s="12">
        <v>0.0</v>
      </c>
      <c r="S34" s="12">
        <v>142.052178223847</v>
      </c>
      <c r="T34" s="12">
        <v>95.7970305343317</v>
      </c>
      <c r="U34" s="12">
        <v>86.25</v>
      </c>
      <c r="V34" s="12">
        <v>141.735294117647</v>
      </c>
      <c r="W34" s="12">
        <v>87.7310616105156</v>
      </c>
    </row>
    <row r="35">
      <c r="A35" s="8">
        <v>41183.0</v>
      </c>
      <c r="B35" s="9">
        <f>IFERROR(__xludf.DUMMYFUNCTION("""COMPUTED_VALUE"""),16.0)</f>
        <v>16</v>
      </c>
      <c r="C35" s="12">
        <v>103.392857142857</v>
      </c>
      <c r="D35" s="12">
        <v>50.5306270494347</v>
      </c>
      <c r="E35" s="12">
        <v>89.0</v>
      </c>
      <c r="F35" s="12">
        <v>108.51325106716</v>
      </c>
      <c r="G35" s="12">
        <v>155.0</v>
      </c>
      <c r="H35" s="12">
        <v>268.487801657114</v>
      </c>
      <c r="I35" s="12">
        <v>193.443068152179</v>
      </c>
      <c r="J35" s="12">
        <v>353.90484771287</v>
      </c>
      <c r="K35" s="12">
        <v>136.0</v>
      </c>
      <c r="L35" s="12">
        <v>142.0</v>
      </c>
      <c r="M35" s="12">
        <v>16.9041314209007</v>
      </c>
      <c r="N35" s="12">
        <v>34.0</v>
      </c>
      <c r="O35" s="12">
        <v>175.514617621129</v>
      </c>
      <c r="P35" s="12">
        <v>0.0</v>
      </c>
      <c r="Q35" s="12">
        <v>112.27383105035</v>
      </c>
      <c r="R35" s="12">
        <v>-170.583759276499</v>
      </c>
      <c r="S35" s="12">
        <v>65.0</v>
      </c>
      <c r="T35" s="12">
        <v>8.96886669446942</v>
      </c>
      <c r="U35" s="12">
        <v>63.5445585397168</v>
      </c>
      <c r="V35" s="12">
        <v>115.37978609239</v>
      </c>
      <c r="W35" s="12">
        <v>95.139414852678</v>
      </c>
    </row>
    <row r="36">
      <c r="A36" s="8">
        <v>41214.0</v>
      </c>
      <c r="B36" s="9">
        <f>IFERROR(__xludf.DUMMYFUNCTION("""COMPUTED_VALUE"""),44.0)</f>
        <v>44</v>
      </c>
      <c r="C36" s="12">
        <v>300.535714285714</v>
      </c>
      <c r="D36" s="12">
        <v>45.2568796162859</v>
      </c>
      <c r="E36" s="12">
        <v>94.0</v>
      </c>
      <c r="F36" s="12">
        <v>112.976622965148</v>
      </c>
      <c r="G36" s="12">
        <v>155.0</v>
      </c>
      <c r="H36" s="12">
        <v>268.487801657114</v>
      </c>
      <c r="I36" s="12">
        <v>84.7019139650485</v>
      </c>
      <c r="J36" s="12">
        <v>468.41201491604</v>
      </c>
      <c r="K36" s="12">
        <v>37.0</v>
      </c>
      <c r="L36" s="12">
        <v>50.0</v>
      </c>
      <c r="M36" s="12">
        <v>5.67927571047013</v>
      </c>
      <c r="N36" s="12">
        <v>200.0</v>
      </c>
      <c r="O36" s="12">
        <v>123.126825625429</v>
      </c>
      <c r="P36" s="12">
        <v>0.0</v>
      </c>
      <c r="Q36" s="12">
        <v>106.178072851558</v>
      </c>
      <c r="R36" s="12">
        <v>0.0</v>
      </c>
      <c r="S36" s="12">
        <v>124.958480406408</v>
      </c>
      <c r="T36" s="12">
        <v>57.0277449349366</v>
      </c>
      <c r="U36" s="12">
        <v>17.5</v>
      </c>
      <c r="V36" s="12">
        <v>178.529411764706</v>
      </c>
      <c r="W36" s="12">
        <v>138.360140542735</v>
      </c>
    </row>
    <row r="37">
      <c r="A37" s="8">
        <v>41244.0</v>
      </c>
      <c r="B37" s="9">
        <f>IFERROR(__xludf.DUMMYFUNCTION("""COMPUTED_VALUE"""),132.0)</f>
        <v>132</v>
      </c>
      <c r="C37" s="12">
        <v>106.857142857143</v>
      </c>
      <c r="D37" s="12">
        <v>131.811224004614</v>
      </c>
      <c r="E37" s="12">
        <v>89.0</v>
      </c>
      <c r="F37" s="12">
        <v>110.50466990429</v>
      </c>
      <c r="G37" s="12">
        <v>155.0</v>
      </c>
      <c r="H37" s="12">
        <v>268.487801657114</v>
      </c>
      <c r="I37" s="12">
        <v>113.508418229236</v>
      </c>
      <c r="J37" s="12">
        <v>349.912439301894</v>
      </c>
      <c r="K37" s="12">
        <v>12.0</v>
      </c>
      <c r="L37" s="12">
        <v>-35.2457421573608</v>
      </c>
      <c r="M37" s="12">
        <v>35.3826680828929</v>
      </c>
      <c r="N37" s="12">
        <v>7.25520340399376</v>
      </c>
      <c r="O37" s="12">
        <v>104.122510144737</v>
      </c>
      <c r="P37" s="12">
        <v>0.0</v>
      </c>
      <c r="Q37" s="12">
        <v>112.691159643309</v>
      </c>
      <c r="R37" s="12">
        <v>0.0</v>
      </c>
      <c r="S37" s="12">
        <v>111.267099525186</v>
      </c>
      <c r="T37" s="12">
        <v>33.0510569265371</v>
      </c>
      <c r="U37" s="12">
        <v>82.0</v>
      </c>
      <c r="V37" s="12">
        <v>119.852941176471</v>
      </c>
      <c r="W37" s="12">
        <v>92.9622409683522</v>
      </c>
    </row>
    <row r="38">
      <c r="A38" s="8">
        <v>41275.0</v>
      </c>
      <c r="B38" s="9">
        <f>IFERROR(__xludf.DUMMYFUNCTION("""COMPUTED_VALUE"""),91.0)</f>
        <v>91</v>
      </c>
      <c r="C38" s="12">
        <v>131.333333333333</v>
      </c>
      <c r="D38" s="12">
        <v>114.826559524719</v>
      </c>
      <c r="E38" s="12">
        <v>89.0</v>
      </c>
      <c r="F38" s="12">
        <v>191.663548957605</v>
      </c>
      <c r="G38" s="12">
        <v>155.0</v>
      </c>
      <c r="H38" s="12">
        <v>94.0109306625641</v>
      </c>
      <c r="I38" s="12">
        <v>118.043945467872</v>
      </c>
      <c r="J38" s="12">
        <v>276.734876017403</v>
      </c>
      <c r="K38" s="12">
        <v>36.0</v>
      </c>
      <c r="L38" s="12">
        <v>-68.0109725676822</v>
      </c>
      <c r="M38" s="12">
        <v>75.9454290116684</v>
      </c>
      <c r="N38" s="12">
        <v>55.8958003861955</v>
      </c>
      <c r="O38" s="12">
        <v>66.3664498998956</v>
      </c>
      <c r="P38" s="12">
        <v>0.0</v>
      </c>
      <c r="Q38" s="12">
        <v>103.286790601369</v>
      </c>
      <c r="R38" s="12">
        <v>41.7170180877196</v>
      </c>
      <c r="S38" s="12">
        <v>75.0</v>
      </c>
      <c r="T38" s="12">
        <v>82.5142696817815</v>
      </c>
      <c r="U38" s="12">
        <v>177.5</v>
      </c>
      <c r="V38" s="12">
        <v>177.894559775534</v>
      </c>
      <c r="W38" s="12">
        <v>70.1673149609354</v>
      </c>
    </row>
    <row r="39">
      <c r="A39" s="8">
        <v>41306.0</v>
      </c>
      <c r="B39" s="9">
        <f>IFERROR(__xludf.DUMMYFUNCTION("""COMPUTED_VALUE"""),29.0)</f>
        <v>29</v>
      </c>
      <c r="C39" s="12">
        <v>19.7842054024805</v>
      </c>
      <c r="D39" s="12">
        <v>156.234579616597</v>
      </c>
      <c r="E39" s="12">
        <v>89.0</v>
      </c>
      <c r="F39" s="12">
        <v>137.301211839411</v>
      </c>
      <c r="G39" s="12">
        <v>155.0</v>
      </c>
      <c r="H39" s="12">
        <v>268.487801657114</v>
      </c>
      <c r="I39" s="12">
        <v>106.893352606228</v>
      </c>
      <c r="J39" s="12">
        <v>279.482892817983</v>
      </c>
      <c r="K39" s="12">
        <v>250.962629199028</v>
      </c>
      <c r="L39" s="12">
        <v>-84.5552642149245</v>
      </c>
      <c r="M39" s="12">
        <v>48.5962947490849</v>
      </c>
      <c r="N39" s="12">
        <v>2.23542814405775</v>
      </c>
      <c r="O39" s="12">
        <v>78.9517606671605</v>
      </c>
      <c r="P39" s="12">
        <v>0.0</v>
      </c>
      <c r="Q39" s="12">
        <v>59.5386662906172</v>
      </c>
      <c r="R39" s="12">
        <v>1.77777777777778</v>
      </c>
      <c r="S39" s="12">
        <v>27.8491531185663</v>
      </c>
      <c r="T39" s="12">
        <v>49.5614430853943</v>
      </c>
      <c r="U39" s="12">
        <v>130.0</v>
      </c>
      <c r="V39" s="12">
        <v>152.767888857925</v>
      </c>
      <c r="W39" s="12">
        <v>26.17031430302</v>
      </c>
    </row>
    <row r="40">
      <c r="A40" s="8">
        <v>41334.0</v>
      </c>
      <c r="B40" s="9">
        <f>IFERROR(__xludf.DUMMYFUNCTION("""COMPUTED_VALUE"""),223.0)</f>
        <v>223</v>
      </c>
      <c r="C40" s="12">
        <v>105.25651374488</v>
      </c>
      <c r="D40" s="12">
        <v>88.8089026985958</v>
      </c>
      <c r="E40" s="12">
        <v>91.0</v>
      </c>
      <c r="F40" s="12">
        <v>112.327967809016</v>
      </c>
      <c r="G40" s="12">
        <v>155.0</v>
      </c>
      <c r="H40" s="12">
        <v>268.487801657114</v>
      </c>
      <c r="I40" s="12">
        <v>150.250684803559</v>
      </c>
      <c r="J40" s="12">
        <v>197.776264263068</v>
      </c>
      <c r="K40" s="12">
        <v>219.55020481348</v>
      </c>
      <c r="L40" s="12">
        <v>9.0</v>
      </c>
      <c r="M40" s="12">
        <v>99.07101638396</v>
      </c>
      <c r="N40" s="12">
        <v>12.9962916791176</v>
      </c>
      <c r="O40" s="12">
        <v>133.983342818003</v>
      </c>
      <c r="P40" s="12">
        <v>0.0</v>
      </c>
      <c r="Q40" s="12">
        <v>116.825220837899</v>
      </c>
      <c r="R40" s="12">
        <v>97.815890871439</v>
      </c>
      <c r="S40" s="12">
        <v>93.3766755939605</v>
      </c>
      <c r="T40" s="12">
        <v>26.3530116333906</v>
      </c>
      <c r="U40" s="12">
        <v>38.75</v>
      </c>
      <c r="V40" s="12">
        <v>128.205882352941</v>
      </c>
      <c r="W40" s="12">
        <v>20.2528436922827</v>
      </c>
    </row>
    <row r="41">
      <c r="A41" s="8">
        <v>41365.0</v>
      </c>
      <c r="B41" s="9">
        <f>IFERROR(__xludf.DUMMYFUNCTION("""COMPUTED_VALUE"""),96.0)</f>
        <v>96</v>
      </c>
      <c r="C41" s="12">
        <v>186.242063492063</v>
      </c>
      <c r="D41" s="12">
        <v>22.1763074084989</v>
      </c>
      <c r="E41" s="12">
        <v>87.0</v>
      </c>
      <c r="F41" s="10">
        <v>128.295102248184</v>
      </c>
      <c r="G41" s="12">
        <v>155.0</v>
      </c>
      <c r="H41" s="12">
        <v>94.0109306625641</v>
      </c>
      <c r="I41" s="12">
        <v>152.171717172785</v>
      </c>
      <c r="J41" s="12">
        <v>41.7777777777778</v>
      </c>
      <c r="K41" s="12" t="s">
        <v>26</v>
      </c>
      <c r="L41" s="12">
        <v>-148.390470173343</v>
      </c>
      <c r="M41" s="12">
        <v>182.991784455843</v>
      </c>
      <c r="N41" s="12">
        <v>27.7777777777778</v>
      </c>
      <c r="O41" s="12">
        <v>124.152857369004</v>
      </c>
      <c r="P41" s="12">
        <v>5.13001859651401</v>
      </c>
      <c r="Q41" s="12">
        <v>160.235630048498</v>
      </c>
      <c r="R41" s="12">
        <v>27.7777777777778</v>
      </c>
      <c r="S41" s="12">
        <v>231.886302741186</v>
      </c>
      <c r="T41" s="12">
        <v>109.80216227969</v>
      </c>
      <c r="U41" s="12">
        <v>202.0</v>
      </c>
      <c r="V41" s="12">
        <v>130.557189542484</v>
      </c>
      <c r="W41" s="12">
        <v>89.9446144666291</v>
      </c>
    </row>
    <row r="42">
      <c r="A42" s="8">
        <v>41395.0</v>
      </c>
      <c r="B42" s="9"/>
      <c r="C42" s="12">
        <v>433.142857142857</v>
      </c>
      <c r="D42" s="12">
        <v>123.337946740289</v>
      </c>
      <c r="E42" s="12">
        <v>107.0</v>
      </c>
      <c r="F42" s="12">
        <v>134.875775626647</v>
      </c>
      <c r="G42" s="12">
        <v>155.0</v>
      </c>
      <c r="H42" s="12">
        <v>268.487801657114</v>
      </c>
      <c r="I42" s="12">
        <v>82.5147516706872</v>
      </c>
      <c r="J42" s="12">
        <v>13.0</v>
      </c>
      <c r="K42" s="12">
        <v>190.787292897701</v>
      </c>
      <c r="L42" s="12">
        <v>28.0</v>
      </c>
      <c r="M42" s="12">
        <v>25.3333333333333</v>
      </c>
      <c r="N42" s="12">
        <v>0.0</v>
      </c>
      <c r="O42" s="12">
        <v>86.130655391485</v>
      </c>
      <c r="P42" s="12">
        <v>4.30934406649849</v>
      </c>
      <c r="Q42" s="12">
        <v>193.344995895367</v>
      </c>
      <c r="R42" s="12">
        <v>37.230670456113</v>
      </c>
      <c r="S42" s="12">
        <v>178.968268160393</v>
      </c>
      <c r="T42" s="12">
        <v>281.863455208645</v>
      </c>
      <c r="U42" s="12">
        <v>15.0</v>
      </c>
      <c r="V42" s="12">
        <v>177.433823529412</v>
      </c>
      <c r="W42" s="12">
        <v>69.3990979918899</v>
      </c>
    </row>
    <row r="43">
      <c r="A43" s="8">
        <v>41426.0</v>
      </c>
      <c r="B43" s="9">
        <f>IFERROR(__xludf.DUMMYFUNCTION("""COMPUTED_VALUE"""),54.0)</f>
        <v>54</v>
      </c>
      <c r="C43" s="12">
        <v>110.0</v>
      </c>
      <c r="D43" s="12">
        <v>13.2849409478498</v>
      </c>
      <c r="E43" s="12">
        <v>78.0</v>
      </c>
      <c r="F43" s="12">
        <v>109.003494587293</v>
      </c>
      <c r="G43" s="12">
        <v>155.0</v>
      </c>
      <c r="H43" s="12">
        <v>268.487801657114</v>
      </c>
      <c r="I43" s="12">
        <v>136.591790889386</v>
      </c>
      <c r="J43" s="12">
        <v>10.0</v>
      </c>
      <c r="K43" s="12">
        <v>7.0</v>
      </c>
      <c r="L43" s="12">
        <v>14.0</v>
      </c>
      <c r="M43" s="12">
        <v>9.48220385347999</v>
      </c>
      <c r="N43" s="12">
        <v>2.1809055063978</v>
      </c>
      <c r="O43" s="12">
        <v>127.936822589065</v>
      </c>
      <c r="P43" s="12">
        <v>0.616996781928941</v>
      </c>
      <c r="Q43" s="12">
        <v>105.829473296634</v>
      </c>
      <c r="R43" s="12">
        <v>22.0</v>
      </c>
      <c r="S43" s="12">
        <v>73.2899709717875</v>
      </c>
      <c r="T43" s="12">
        <v>-6.49532817845965</v>
      </c>
      <c r="U43" s="12">
        <v>40.5</v>
      </c>
      <c r="V43" s="12">
        <v>140.122549019608</v>
      </c>
      <c r="W43" s="12">
        <v>69.5</v>
      </c>
    </row>
    <row r="44">
      <c r="A44" s="8">
        <v>41456.0</v>
      </c>
      <c r="B44" s="9"/>
      <c r="C44" s="12">
        <v>60.0</v>
      </c>
      <c r="D44" s="12">
        <v>62.3311992336642</v>
      </c>
      <c r="E44" s="12">
        <v>91.0</v>
      </c>
      <c r="F44" s="12">
        <v>128.79178536759</v>
      </c>
      <c r="G44" s="12">
        <v>155.0</v>
      </c>
      <c r="H44" s="12">
        <v>268.487801657114</v>
      </c>
      <c r="I44" s="12">
        <v>589.813012258138</v>
      </c>
      <c r="J44" s="12">
        <v>209.337619286425</v>
      </c>
      <c r="K44" s="12">
        <v>7.52679265933935</v>
      </c>
      <c r="L44" s="12">
        <v>-36.0</v>
      </c>
      <c r="M44" s="12">
        <v>23.7053741889502</v>
      </c>
      <c r="N44" s="12">
        <v>48.2600639012695</v>
      </c>
      <c r="O44" s="12">
        <v>61.8885350025949</v>
      </c>
      <c r="P44" s="12">
        <v>3.29187279339932</v>
      </c>
      <c r="Q44" s="12">
        <v>141.63850533307</v>
      </c>
      <c r="R44" s="12">
        <v>37.5</v>
      </c>
      <c r="S44" s="12">
        <v>117.954796890439</v>
      </c>
      <c r="T44" s="12">
        <v>256.297914274299</v>
      </c>
      <c r="U44" s="12">
        <v>57.75</v>
      </c>
      <c r="V44" s="12">
        <v>126.594103717597</v>
      </c>
      <c r="W44" s="12">
        <v>42.5494660572646</v>
      </c>
    </row>
    <row r="45">
      <c r="A45" s="8">
        <v>41487.0</v>
      </c>
      <c r="B45" s="9">
        <f>IFERROR(__xludf.DUMMYFUNCTION("""COMPUTED_VALUE"""),123.0)</f>
        <v>123</v>
      </c>
      <c r="C45" s="12">
        <v>93.3618949637468</v>
      </c>
      <c r="D45" s="12">
        <v>159.198317360576</v>
      </c>
      <c r="E45" s="12">
        <v>110.0</v>
      </c>
      <c r="F45" s="12">
        <v>115.838961902296</v>
      </c>
      <c r="G45" s="12">
        <v>155.0</v>
      </c>
      <c r="H45" s="12">
        <v>268.487801657114</v>
      </c>
      <c r="I45" s="12">
        <v>22.9000130601285</v>
      </c>
      <c r="J45" s="12">
        <v>137.790466392318</v>
      </c>
      <c r="K45" s="12">
        <v>62.0</v>
      </c>
      <c r="L45" s="12">
        <v>123.790466392318</v>
      </c>
      <c r="M45" s="12">
        <v>35.5555555555556</v>
      </c>
      <c r="N45" s="12">
        <v>137.988605122822</v>
      </c>
      <c r="O45" s="12">
        <v>100.767829595427</v>
      </c>
      <c r="P45" s="12">
        <v>0.369280601823641</v>
      </c>
      <c r="Q45" s="12">
        <v>270.896469464672</v>
      </c>
      <c r="R45" s="12">
        <v>11.7904663923182</v>
      </c>
      <c r="S45" s="12">
        <v>109.479502456188</v>
      </c>
      <c r="T45" s="12">
        <v>137.332337273194</v>
      </c>
      <c r="U45" s="12">
        <v>41.7904663923182</v>
      </c>
      <c r="V45" s="12">
        <v>87.2929604949585</v>
      </c>
      <c r="W45" s="12">
        <v>9.54174932014971</v>
      </c>
    </row>
    <row r="46">
      <c r="A46" s="8">
        <v>41518.0</v>
      </c>
      <c r="B46" s="9">
        <f>IFERROR(__xludf.DUMMYFUNCTION("""COMPUTED_VALUE"""),59.0)</f>
        <v>59</v>
      </c>
      <c r="C46" s="12">
        <v>178.327638154027</v>
      </c>
      <c r="D46" s="12">
        <v>53.4009666067342</v>
      </c>
      <c r="E46" s="12">
        <v>79.0</v>
      </c>
      <c r="F46" s="10">
        <v>211.272164967793</v>
      </c>
      <c r="G46" s="12">
        <v>155.0</v>
      </c>
      <c r="H46" s="12">
        <v>94.0109306625641</v>
      </c>
      <c r="I46" s="12">
        <v>116.611570711036</v>
      </c>
      <c r="J46" s="12">
        <v>138.248862536625</v>
      </c>
      <c r="K46" s="12" t="s">
        <v>26</v>
      </c>
      <c r="L46" s="12">
        <v>43.2919238683128</v>
      </c>
      <c r="M46" s="12">
        <v>36.2167508292638</v>
      </c>
      <c r="N46" s="12">
        <v>125.291923868313</v>
      </c>
      <c r="O46" s="12">
        <v>57.6518384274433</v>
      </c>
      <c r="P46" s="12">
        <v>2.83084545820334</v>
      </c>
      <c r="Q46" s="12">
        <v>158.12322700646</v>
      </c>
      <c r="R46" s="12">
        <v>125.291923868313</v>
      </c>
      <c r="S46" s="12">
        <v>121.117213524403</v>
      </c>
      <c r="T46" s="12">
        <v>162.291923868313</v>
      </c>
      <c r="U46" s="12">
        <v>128.791923868313</v>
      </c>
      <c r="V46" s="12">
        <v>127.470705560717</v>
      </c>
      <c r="W46" s="12">
        <v>135.459396788745</v>
      </c>
    </row>
    <row r="47">
      <c r="A47" s="8">
        <v>41548.0</v>
      </c>
      <c r="B47" s="9">
        <f>IFERROR(__xludf.DUMMYFUNCTION("""COMPUTED_VALUE"""),181.0)</f>
        <v>181</v>
      </c>
      <c r="C47" s="12">
        <v>157.357142857143</v>
      </c>
      <c r="D47" s="12">
        <v>227.448224609844</v>
      </c>
      <c r="E47" s="12">
        <v>104.0</v>
      </c>
      <c r="F47" s="12">
        <v>160.158237393307</v>
      </c>
      <c r="G47" s="12">
        <v>155.0</v>
      </c>
      <c r="H47" s="12">
        <v>268.487801657114</v>
      </c>
      <c r="I47" s="12">
        <v>77.4016579059086</v>
      </c>
      <c r="J47" s="12">
        <v>30.0</v>
      </c>
      <c r="K47" s="12">
        <v>7.72279243889909</v>
      </c>
      <c r="L47" s="12">
        <v>-34.0</v>
      </c>
      <c r="M47" s="12">
        <v>48.4049396224849</v>
      </c>
      <c r="N47" s="12">
        <v>11.4376377668863</v>
      </c>
      <c r="O47" s="12">
        <v>81.0090361889052</v>
      </c>
      <c r="P47" s="12">
        <v>2.30788907798104</v>
      </c>
      <c r="Q47" s="12">
        <v>196.059212343385</v>
      </c>
      <c r="R47" s="12">
        <v>49.89828552788</v>
      </c>
      <c r="S47" s="12">
        <v>504.403353446532</v>
      </c>
      <c r="T47" s="12">
        <v>283.7794163939</v>
      </c>
      <c r="U47" s="12">
        <v>71.75</v>
      </c>
      <c r="V47" s="12">
        <v>177.938843121307</v>
      </c>
      <c r="W47" s="12">
        <v>487.757118612118</v>
      </c>
    </row>
    <row r="48">
      <c r="A48" s="8">
        <v>41579.0</v>
      </c>
      <c r="B48" s="9"/>
      <c r="C48" s="12">
        <v>157.0</v>
      </c>
      <c r="D48" s="12">
        <v>251.511052503664</v>
      </c>
      <c r="E48" s="12">
        <v>414.327421737075</v>
      </c>
      <c r="F48" s="12">
        <v>186.732072539705</v>
      </c>
      <c r="G48" s="12">
        <v>177.287040898034</v>
      </c>
      <c r="H48" s="12">
        <v>268.487801657114</v>
      </c>
      <c r="I48" s="12">
        <v>70.3068693691808</v>
      </c>
      <c r="J48" s="12">
        <v>7.0</v>
      </c>
      <c r="K48" s="12">
        <v>3135.86881695253</v>
      </c>
      <c r="L48" s="12">
        <v>-108.845501397281</v>
      </c>
      <c r="M48" s="12">
        <v>112.484488546569</v>
      </c>
      <c r="N48" s="12">
        <v>64.7782742092668</v>
      </c>
      <c r="O48" s="12">
        <v>83.0194365606157</v>
      </c>
      <c r="P48" s="12">
        <v>6.42502373806449</v>
      </c>
      <c r="Q48" s="12">
        <v>135.307930673355</v>
      </c>
      <c r="R48" s="12">
        <v>40.7</v>
      </c>
      <c r="S48" s="12">
        <v>217.548840933644</v>
      </c>
      <c r="T48" s="12">
        <v>489.064492210466</v>
      </c>
      <c r="U48" s="12">
        <v>218.0</v>
      </c>
      <c r="V48" s="12">
        <v>234.441176470588</v>
      </c>
      <c r="W48" s="12">
        <v>290.262453444649</v>
      </c>
    </row>
    <row r="49">
      <c r="A49" s="8">
        <v>41609.0</v>
      </c>
      <c r="B49" s="9">
        <f>IFERROR(__xludf.DUMMYFUNCTION("""COMPUTED_VALUE"""),156.0)</f>
        <v>156</v>
      </c>
      <c r="C49" s="12">
        <v>302.821428571429</v>
      </c>
      <c r="D49" s="12">
        <v>287.979304030647</v>
      </c>
      <c r="E49" s="12">
        <v>78.0</v>
      </c>
      <c r="F49" s="12">
        <v>159.172067268202</v>
      </c>
      <c r="G49" s="12">
        <v>155.0</v>
      </c>
      <c r="H49" s="12">
        <v>268.487801657114</v>
      </c>
      <c r="I49" s="12">
        <v>93.8764956785833</v>
      </c>
      <c r="J49" s="12">
        <v>54.0</v>
      </c>
      <c r="K49" s="12">
        <v>84.2675998677358</v>
      </c>
      <c r="L49" s="12">
        <v>150.0</v>
      </c>
      <c r="M49" s="12">
        <v>0.0</v>
      </c>
      <c r="N49" s="12">
        <v>43.6386087198939</v>
      </c>
      <c r="O49" s="12">
        <v>82.4309359269067</v>
      </c>
      <c r="P49" s="12">
        <v>0.526626249557193</v>
      </c>
      <c r="Q49" s="12">
        <v>185.993378109266</v>
      </c>
      <c r="R49" s="12">
        <v>-206.7038441832</v>
      </c>
      <c r="S49" s="12">
        <v>57.1598472091662</v>
      </c>
      <c r="T49" s="12">
        <v>17.1</v>
      </c>
      <c r="U49" s="12">
        <v>4.0</v>
      </c>
      <c r="V49" s="12">
        <v>151.669117647059</v>
      </c>
      <c r="W49" s="12">
        <v>192.486779390581</v>
      </c>
    </row>
    <row r="50">
      <c r="A50" s="8">
        <v>41640.0</v>
      </c>
      <c r="B50" s="9"/>
      <c r="C50" s="12">
        <v>111.000810913006</v>
      </c>
      <c r="D50" s="12">
        <v>453.972144379932</v>
      </c>
      <c r="E50" s="12">
        <v>94.3971139541117</v>
      </c>
      <c r="F50" s="12">
        <v>266.413557864898</v>
      </c>
      <c r="G50" s="12">
        <v>198.346314492853</v>
      </c>
      <c r="H50" s="12">
        <v>268.487801657114</v>
      </c>
      <c r="I50" s="12">
        <v>89.271009134374</v>
      </c>
      <c r="J50" s="12">
        <v>185.754736546847</v>
      </c>
      <c r="K50" s="12">
        <v>28.6409132422115</v>
      </c>
      <c r="L50" s="12">
        <v>-131.0</v>
      </c>
      <c r="M50" s="12">
        <v>71.9274430987662</v>
      </c>
      <c r="N50" s="12">
        <v>10.290643019077</v>
      </c>
      <c r="O50" s="12">
        <v>54.961005707502</v>
      </c>
      <c r="P50" s="12">
        <v>1.06609704178651</v>
      </c>
      <c r="Q50" s="12">
        <v>251.21766483234</v>
      </c>
      <c r="R50" s="12">
        <v>111.017385444053</v>
      </c>
      <c r="S50" s="12">
        <v>205.327421737289</v>
      </c>
      <c r="T50" s="12">
        <v>216.504651298163</v>
      </c>
      <c r="U50" s="12">
        <v>183.0</v>
      </c>
      <c r="V50" s="12">
        <v>194.980392156863</v>
      </c>
      <c r="W50" s="12">
        <v>1.53936887812274</v>
      </c>
    </row>
    <row r="51">
      <c r="A51" s="8">
        <v>41671.0</v>
      </c>
      <c r="B51" s="9">
        <f>IFERROR(__xludf.DUMMYFUNCTION("""COMPUTED_VALUE"""),68.0)</f>
        <v>68</v>
      </c>
      <c r="C51" s="12">
        <v>402.366751175779</v>
      </c>
      <c r="D51" s="12">
        <v>225.707959116781</v>
      </c>
      <c r="E51" s="12">
        <v>85.0</v>
      </c>
      <c r="F51" s="10">
        <v>128.392086896764</v>
      </c>
      <c r="G51" s="12">
        <v>155.0</v>
      </c>
      <c r="H51" s="12">
        <v>268.487801657114</v>
      </c>
      <c r="I51" s="12">
        <v>134.126132596208</v>
      </c>
      <c r="J51" s="12">
        <v>324.473894032922</v>
      </c>
      <c r="K51" s="12" t="s">
        <v>26</v>
      </c>
      <c r="L51" s="12">
        <v>319.473894032922</v>
      </c>
      <c r="M51" s="12">
        <v>16.0631670234704</v>
      </c>
      <c r="N51" s="12">
        <v>321.371003319394</v>
      </c>
      <c r="O51" s="12">
        <v>25.6739329783497</v>
      </c>
      <c r="P51" s="12">
        <v>0.0</v>
      </c>
      <c r="Q51" s="12">
        <v>100.97526400641</v>
      </c>
      <c r="R51" s="12">
        <v>315.473894032922</v>
      </c>
      <c r="S51" s="12">
        <v>64.2385449008666</v>
      </c>
      <c r="T51" s="12">
        <v>326.473894032922</v>
      </c>
      <c r="U51" s="12">
        <v>325.473894032922</v>
      </c>
      <c r="V51" s="12">
        <v>136.302541394141</v>
      </c>
      <c r="W51" s="12">
        <v>-7.77875731258113</v>
      </c>
    </row>
    <row r="52">
      <c r="A52" s="8">
        <v>41699.0</v>
      </c>
      <c r="B52" s="9">
        <f>IFERROR(__xludf.DUMMYFUNCTION("""COMPUTED_VALUE"""),90.0)</f>
        <v>90</v>
      </c>
      <c r="C52" s="12">
        <v>59.0</v>
      </c>
      <c r="D52" s="12">
        <v>186.31492107827</v>
      </c>
      <c r="E52" s="12">
        <v>79.0</v>
      </c>
      <c r="F52" s="12">
        <v>146.808965915584</v>
      </c>
      <c r="G52" s="12">
        <v>155.0</v>
      </c>
      <c r="H52" s="12">
        <v>268.487801657114</v>
      </c>
      <c r="I52" s="12">
        <v>56.0226502375338</v>
      </c>
      <c r="J52" s="12">
        <v>138.055856221229</v>
      </c>
      <c r="K52" s="12">
        <v>6.0</v>
      </c>
      <c r="L52" s="12">
        <v>-10.0145899195778</v>
      </c>
      <c r="M52" s="12">
        <v>18.9058755844076</v>
      </c>
      <c r="N52" s="12">
        <v>15.6540550792553</v>
      </c>
      <c r="O52" s="12">
        <v>45.2602617063628</v>
      </c>
      <c r="P52" s="12">
        <v>0.0</v>
      </c>
      <c r="Q52" s="12">
        <v>203.405175196454</v>
      </c>
      <c r="R52" s="12">
        <v>0.0</v>
      </c>
      <c r="S52" s="12">
        <v>165.0</v>
      </c>
      <c r="T52" s="12">
        <v>73.5580802367749</v>
      </c>
      <c r="U52" s="12">
        <v>73.0</v>
      </c>
      <c r="V52" s="12">
        <v>104.242647058824</v>
      </c>
      <c r="W52" s="12">
        <v>240.234870162896</v>
      </c>
    </row>
    <row r="53">
      <c r="A53" s="8">
        <v>41730.0</v>
      </c>
      <c r="B53" s="9">
        <f>IFERROR(__xludf.DUMMYFUNCTION("""COMPUTED_VALUE"""),535.0)</f>
        <v>535</v>
      </c>
      <c r="C53" s="12">
        <v>552.0</v>
      </c>
      <c r="D53" s="12">
        <v>127.731671114855</v>
      </c>
      <c r="E53" s="12">
        <v>549.0</v>
      </c>
      <c r="F53" s="12">
        <v>283.051833719388</v>
      </c>
      <c r="G53" s="12">
        <v>155.0</v>
      </c>
      <c r="H53" s="12">
        <v>268.487801657114</v>
      </c>
      <c r="I53" s="12">
        <v>223.373012316575</v>
      </c>
      <c r="J53" s="12">
        <v>127.405162814814</v>
      </c>
      <c r="K53" s="12">
        <v>66.0</v>
      </c>
      <c r="L53" s="12">
        <v>54.4282801719944</v>
      </c>
      <c r="M53" s="12">
        <v>115.885024486162</v>
      </c>
      <c r="N53" s="12">
        <v>7.90871062766575</v>
      </c>
      <c r="O53" s="12">
        <v>85.9906115035531</v>
      </c>
      <c r="P53" s="12">
        <v>1.87392702912991</v>
      </c>
      <c r="Q53" s="12">
        <v>144.827595323297</v>
      </c>
      <c r="R53" s="12">
        <v>681.603989640073</v>
      </c>
      <c r="S53" s="12">
        <v>454.794092288786</v>
      </c>
      <c r="T53" s="12">
        <v>116.966177718342</v>
      </c>
      <c r="U53" s="12">
        <v>25.0</v>
      </c>
      <c r="V53" s="12">
        <v>537.698529411765</v>
      </c>
      <c r="W53" s="12">
        <v>97.6892421536085</v>
      </c>
    </row>
    <row r="54">
      <c r="A54" s="8">
        <v>41760.0</v>
      </c>
      <c r="B54" s="9">
        <f>IFERROR(__xludf.DUMMYFUNCTION("""COMPUTED_VALUE"""),1073.0)</f>
        <v>1073</v>
      </c>
      <c r="C54" s="12">
        <v>898.0</v>
      </c>
      <c r="D54" s="12">
        <v>144.999070253064</v>
      </c>
      <c r="E54" s="12">
        <v>815.34565954908</v>
      </c>
      <c r="F54" s="12">
        <v>431.690215395988</v>
      </c>
      <c r="G54" s="12">
        <v>472.637643406914</v>
      </c>
      <c r="H54" s="12">
        <v>94.0109306625641</v>
      </c>
      <c r="I54" s="12">
        <v>290.405693375633</v>
      </c>
      <c r="J54" s="12">
        <v>60.0</v>
      </c>
      <c r="K54" s="12">
        <v>247.845159311727</v>
      </c>
      <c r="L54" s="12">
        <v>450.223713114489</v>
      </c>
      <c r="M54" s="12">
        <v>599.462995189579</v>
      </c>
      <c r="N54" s="12">
        <v>702.259298479065</v>
      </c>
      <c r="O54" s="12">
        <v>44.4418731654685</v>
      </c>
      <c r="P54" s="12">
        <v>4.41760521187784</v>
      </c>
      <c r="Q54" s="12">
        <v>79.3545628618163</v>
      </c>
      <c r="R54" s="12">
        <v>5.4</v>
      </c>
      <c r="S54" s="12">
        <v>1040.58204436825</v>
      </c>
      <c r="T54" s="12">
        <v>72.0828809200263</v>
      </c>
      <c r="U54" s="12">
        <v>899.0</v>
      </c>
      <c r="V54" s="12">
        <v>719.55788467881</v>
      </c>
      <c r="W54" s="12">
        <v>1043.02440804249</v>
      </c>
    </row>
    <row r="55">
      <c r="A55" s="8">
        <v>41791.0</v>
      </c>
      <c r="B55" s="9"/>
      <c r="C55" s="12">
        <v>292.0</v>
      </c>
      <c r="D55" s="12">
        <v>544.676813874668</v>
      </c>
      <c r="E55" s="12">
        <v>79.0</v>
      </c>
      <c r="F55" s="12">
        <v>263.789171340985</v>
      </c>
      <c r="G55" s="12">
        <v>562.597051441023</v>
      </c>
      <c r="H55" s="12">
        <v>268.487801657114</v>
      </c>
      <c r="I55" s="12">
        <v>49.2127595518684</v>
      </c>
      <c r="J55" s="12">
        <v>565.0</v>
      </c>
      <c r="K55" s="12">
        <v>187.79394261837</v>
      </c>
      <c r="L55" s="12">
        <v>574.216799907131</v>
      </c>
      <c r="M55" s="12">
        <v>252.421537851411</v>
      </c>
      <c r="N55" s="12">
        <v>364.748171750111</v>
      </c>
      <c r="O55" s="12">
        <v>43.5464009102103</v>
      </c>
      <c r="P55" s="12">
        <v>78.8976033635379</v>
      </c>
      <c r="Q55" s="12">
        <v>142.319451314757</v>
      </c>
      <c r="R55" s="12">
        <v>56.2283063320812</v>
      </c>
      <c r="S55" s="12">
        <v>131.237932659809</v>
      </c>
      <c r="T55" s="12">
        <v>115.396303603435</v>
      </c>
      <c r="U55" s="12">
        <v>267.0</v>
      </c>
      <c r="V55" s="12">
        <v>407.042590481676</v>
      </c>
      <c r="W55" s="12">
        <v>179.395410741563</v>
      </c>
    </row>
    <row r="56">
      <c r="A56" s="8">
        <v>41821.0</v>
      </c>
      <c r="B56" s="9"/>
      <c r="C56" s="12">
        <v>523.0</v>
      </c>
      <c r="D56" s="12">
        <v>379.0</v>
      </c>
      <c r="E56" s="12">
        <v>300.0</v>
      </c>
      <c r="F56" s="10">
        <v>186.76465984813</v>
      </c>
      <c r="G56" s="12">
        <v>340.839534502009</v>
      </c>
      <c r="H56" s="12">
        <v>268.487801657114</v>
      </c>
      <c r="I56" s="12">
        <v>240.839582754151</v>
      </c>
      <c r="J56" s="12">
        <v>336.0</v>
      </c>
      <c r="K56" s="12" t="s">
        <v>26</v>
      </c>
      <c r="L56" s="12">
        <v>355.0</v>
      </c>
      <c r="M56" s="12">
        <v>338.351851851852</v>
      </c>
      <c r="N56" s="12">
        <v>272.0</v>
      </c>
      <c r="O56" s="12">
        <v>0.0</v>
      </c>
      <c r="P56" s="12">
        <v>0.0</v>
      </c>
      <c r="Q56" s="12">
        <v>130.457705192459</v>
      </c>
      <c r="R56" s="12">
        <v>26.7897392279959</v>
      </c>
      <c r="S56" s="12">
        <v>40.0</v>
      </c>
      <c r="T56" s="12">
        <v>274.238070858138</v>
      </c>
      <c r="U56" s="12">
        <v>265.0</v>
      </c>
      <c r="V56" s="12">
        <v>266.0</v>
      </c>
      <c r="W56" s="12">
        <v>163.744680265536</v>
      </c>
    </row>
    <row r="57">
      <c r="A57" s="8">
        <v>41852.0</v>
      </c>
      <c r="B57" s="9"/>
      <c r="C57" s="12">
        <v>342.0</v>
      </c>
      <c r="D57" s="12">
        <v>286.0</v>
      </c>
      <c r="E57" s="12">
        <v>89.0</v>
      </c>
      <c r="F57" s="10">
        <v>180.579474662945</v>
      </c>
      <c r="G57" s="12">
        <v>207.984632690207</v>
      </c>
      <c r="H57" s="12">
        <v>268.487801657114</v>
      </c>
      <c r="I57" s="12">
        <v>180.37037037037</v>
      </c>
      <c r="J57" s="12">
        <v>295.0</v>
      </c>
      <c r="K57" s="12" t="s">
        <v>26</v>
      </c>
      <c r="L57" s="12">
        <v>291.0</v>
      </c>
      <c r="M57" s="12">
        <v>290.0</v>
      </c>
      <c r="N57" s="12">
        <v>342.0</v>
      </c>
      <c r="O57" s="12">
        <v>0.0</v>
      </c>
      <c r="P57" s="12">
        <v>0.0</v>
      </c>
      <c r="Q57" s="12">
        <v>184.802984568241</v>
      </c>
      <c r="R57" s="12">
        <v>60.0</v>
      </c>
      <c r="S57" s="12">
        <v>75.0</v>
      </c>
      <c r="T57" s="12">
        <v>11.0</v>
      </c>
      <c r="U57" s="12">
        <v>325.0</v>
      </c>
      <c r="V57" s="12">
        <v>334.0</v>
      </c>
      <c r="W57" s="12">
        <v>90.6048507297142</v>
      </c>
    </row>
    <row r="58">
      <c r="A58" s="8">
        <v>41883.0</v>
      </c>
      <c r="B58" s="9">
        <f>IFERROR(__xludf.DUMMYFUNCTION("""COMPUTED_VALUE"""),22.0)</f>
        <v>22</v>
      </c>
      <c r="C58" s="12">
        <v>40.0</v>
      </c>
      <c r="D58" s="12">
        <v>340.0</v>
      </c>
      <c r="E58" s="12">
        <v>84.0</v>
      </c>
      <c r="F58" s="10">
        <v>207.690585774056</v>
      </c>
      <c r="G58" s="12">
        <v>400.342527069334</v>
      </c>
      <c r="H58" s="12">
        <v>268.487801657114</v>
      </c>
      <c r="I58" s="12">
        <v>99.2592592592593</v>
      </c>
      <c r="J58" s="12">
        <v>362.0</v>
      </c>
      <c r="K58" s="12" t="s">
        <v>26</v>
      </c>
      <c r="L58" s="12">
        <v>362.0</v>
      </c>
      <c r="M58" s="12">
        <v>-11.1111111111111</v>
      </c>
      <c r="N58" s="12">
        <v>0.0</v>
      </c>
      <c r="O58" s="12">
        <v>0.0</v>
      </c>
      <c r="P58" s="12">
        <v>0.0</v>
      </c>
      <c r="Q58" s="12">
        <v>172.422473621538</v>
      </c>
      <c r="R58" s="12">
        <v>3.0</v>
      </c>
      <c r="S58" s="12">
        <v>54.0</v>
      </c>
      <c r="T58" s="12">
        <v>-1.5</v>
      </c>
      <c r="U58" s="12">
        <v>9.75</v>
      </c>
      <c r="V58" s="12">
        <v>66.0</v>
      </c>
      <c r="W58" s="12">
        <v>55.2317240749628</v>
      </c>
    </row>
    <row r="59">
      <c r="A59" s="8">
        <v>41913.0</v>
      </c>
      <c r="B59" s="9">
        <f>IFERROR(__xludf.DUMMYFUNCTION("""COMPUTED_VALUE"""),202.0)</f>
        <v>202</v>
      </c>
      <c r="C59" s="12">
        <v>3881.0</v>
      </c>
      <c r="D59" s="12">
        <v>32.7967561794405</v>
      </c>
      <c r="E59" s="12">
        <v>101.0</v>
      </c>
      <c r="F59" s="10">
        <v>262.566688174502</v>
      </c>
      <c r="G59" s="12">
        <v>155.0</v>
      </c>
      <c r="H59" s="12">
        <v>268.487801657114</v>
      </c>
      <c r="I59" s="12">
        <v>205.318859652241</v>
      </c>
      <c r="J59" s="12">
        <v>32.0</v>
      </c>
      <c r="K59" s="12" t="s">
        <v>26</v>
      </c>
      <c r="L59" s="12">
        <v>17.0</v>
      </c>
      <c r="M59" s="12">
        <v>-2.6603282835775</v>
      </c>
      <c r="N59" s="12">
        <v>28.9991633808647</v>
      </c>
      <c r="O59" s="12">
        <v>9.62772486688112</v>
      </c>
      <c r="P59" s="12">
        <v>1.02068240876721</v>
      </c>
      <c r="Q59" s="12">
        <v>57.3588319010287</v>
      </c>
      <c r="R59" s="12">
        <v>30.0</v>
      </c>
      <c r="S59" s="12">
        <v>55.0</v>
      </c>
      <c r="T59" s="12">
        <v>1.903153959103</v>
      </c>
      <c r="U59" s="12">
        <v>54.0</v>
      </c>
      <c r="V59" s="12">
        <v>21.0</v>
      </c>
      <c r="W59" s="12">
        <v>253.518909020291</v>
      </c>
    </row>
    <row r="60">
      <c r="A60" s="8">
        <v>41944.0</v>
      </c>
      <c r="B60" s="9">
        <f>IFERROR(__xludf.DUMMYFUNCTION("""COMPUTED_VALUE"""),159.0)</f>
        <v>159</v>
      </c>
      <c r="C60" s="12">
        <v>105.0</v>
      </c>
      <c r="D60" s="12">
        <v>221.416407843986</v>
      </c>
      <c r="E60" s="12">
        <v>145.0</v>
      </c>
      <c r="F60" s="10">
        <v>182.702889718877</v>
      </c>
      <c r="G60" s="12">
        <v>179.683779888164</v>
      </c>
      <c r="H60" s="12">
        <v>94.0109306625641</v>
      </c>
      <c r="I60" s="12">
        <v>100.387453588206</v>
      </c>
      <c r="J60" s="12">
        <v>213.0</v>
      </c>
      <c r="K60" s="12" t="s">
        <v>26</v>
      </c>
      <c r="L60" s="12">
        <v>237.0</v>
      </c>
      <c r="M60" s="12">
        <v>104.877066961516</v>
      </c>
      <c r="N60" s="12">
        <v>49.1464129380897</v>
      </c>
      <c r="O60" s="12">
        <v>162.671433256422</v>
      </c>
      <c r="P60" s="12">
        <v>0.200466612418548</v>
      </c>
      <c r="Q60" s="12">
        <v>171.449552424954</v>
      </c>
      <c r="R60" s="12">
        <v>64.8</v>
      </c>
      <c r="S60" s="12">
        <v>124.766061908346</v>
      </c>
      <c r="T60" s="12">
        <v>-72.9078341624578</v>
      </c>
      <c r="U60" s="12">
        <v>67.0</v>
      </c>
      <c r="V60" s="12">
        <v>-5.89061026179573</v>
      </c>
      <c r="W60" s="12">
        <v>73.8990356778022</v>
      </c>
    </row>
    <row r="61">
      <c r="A61" s="8">
        <v>41974.0</v>
      </c>
      <c r="B61" s="9"/>
      <c r="C61" s="12">
        <v>3600.0</v>
      </c>
      <c r="D61" s="12">
        <v>253.129817694342</v>
      </c>
      <c r="E61" s="12">
        <v>85.0</v>
      </c>
      <c r="F61" s="10">
        <v>146.412452830455</v>
      </c>
      <c r="G61" s="12">
        <v>155.0</v>
      </c>
      <c r="H61" s="12">
        <v>268.487801657114</v>
      </c>
      <c r="I61" s="12">
        <v>264.256214342804</v>
      </c>
      <c r="J61" s="12">
        <v>1.0</v>
      </c>
      <c r="K61" s="12" t="s">
        <v>26</v>
      </c>
      <c r="L61" s="12">
        <v>42.9082645418995</v>
      </c>
      <c r="M61" s="12">
        <v>21.1965677813843</v>
      </c>
      <c r="N61" s="12">
        <v>57.2174174316563</v>
      </c>
      <c r="O61" s="12">
        <v>229.137705806488</v>
      </c>
      <c r="P61" s="12">
        <v>0.0</v>
      </c>
      <c r="Q61" s="12">
        <v>139.332063649987</v>
      </c>
      <c r="R61" s="12">
        <v>83.5</v>
      </c>
      <c r="S61" s="12">
        <v>228.503031436876</v>
      </c>
      <c r="T61" s="12">
        <v>-18.5360838309233</v>
      </c>
      <c r="U61" s="12">
        <v>16.2244567853295</v>
      </c>
      <c r="V61" s="12">
        <v>12.0</v>
      </c>
      <c r="W61" s="12">
        <v>87.4800567247276</v>
      </c>
    </row>
    <row r="62">
      <c r="A62" s="8">
        <v>42005.0</v>
      </c>
      <c r="B62" s="9">
        <f>IFERROR(__xludf.DUMMYFUNCTION("""COMPUTED_VALUE"""),49.0)</f>
        <v>49</v>
      </c>
      <c r="C62" s="12">
        <v>840.0</v>
      </c>
      <c r="D62" s="12">
        <v>209.791310456274</v>
      </c>
      <c r="E62" s="12">
        <v>124.0</v>
      </c>
      <c r="F62" s="10">
        <v>175.468369535674</v>
      </c>
      <c r="G62" s="12">
        <v>167.529091602739</v>
      </c>
      <c r="H62" s="12">
        <v>268.487801657114</v>
      </c>
      <c r="I62" s="12">
        <v>151.208601967235</v>
      </c>
      <c r="J62" s="12">
        <v>185.0</v>
      </c>
      <c r="K62" s="12" t="s">
        <v>26</v>
      </c>
      <c r="L62" s="12">
        <v>178.0</v>
      </c>
      <c r="M62" s="12">
        <v>-26.5</v>
      </c>
      <c r="N62" s="12">
        <v>7.0</v>
      </c>
      <c r="O62" s="12">
        <v>128.904538495464</v>
      </c>
      <c r="P62" s="12">
        <v>0.18165853207722</v>
      </c>
      <c r="Q62" s="12">
        <v>129.835937310443</v>
      </c>
      <c r="R62" s="12">
        <v>0.0</v>
      </c>
      <c r="S62" s="12">
        <v>156.998358011655</v>
      </c>
      <c r="T62" s="12">
        <v>11.0</v>
      </c>
      <c r="U62" s="12">
        <v>10.0</v>
      </c>
      <c r="V62" s="12">
        <v>-13.0</v>
      </c>
      <c r="W62" s="12">
        <v>49.5355112784705</v>
      </c>
    </row>
    <row r="63">
      <c r="A63" s="8">
        <v>42036.0</v>
      </c>
      <c r="B63" s="9">
        <f>IFERROR(__xludf.DUMMYFUNCTION("""COMPUTED_VALUE"""),40.0)</f>
        <v>40</v>
      </c>
      <c r="C63" s="12">
        <v>940.476837935708</v>
      </c>
      <c r="D63" s="12">
        <v>-18.7701142114006</v>
      </c>
      <c r="E63" s="12">
        <v>77.0</v>
      </c>
      <c r="F63" s="12">
        <v>148.09799318478</v>
      </c>
      <c r="G63" s="12">
        <v>155.0</v>
      </c>
      <c r="H63" s="12">
        <v>268.487801657114</v>
      </c>
      <c r="I63" s="12">
        <v>91.6035513992376</v>
      </c>
      <c r="J63" s="12">
        <v>18.0</v>
      </c>
      <c r="K63" s="12">
        <v>51.0</v>
      </c>
      <c r="L63" s="12">
        <v>85.0</v>
      </c>
      <c r="M63" s="12">
        <v>-72.0</v>
      </c>
      <c r="N63" s="12">
        <v>0.0</v>
      </c>
      <c r="O63" s="12">
        <v>82.2175677248691</v>
      </c>
      <c r="P63" s="12">
        <v>0.602776038256229</v>
      </c>
      <c r="Q63" s="12">
        <v>106.224101784763</v>
      </c>
      <c r="R63" s="12">
        <v>0.0638883745678867</v>
      </c>
      <c r="S63" s="12">
        <v>31.6967663771724</v>
      </c>
      <c r="T63" s="12">
        <v>268.384778025937</v>
      </c>
      <c r="U63" s="12">
        <v>14.5</v>
      </c>
      <c r="V63" s="12">
        <v>-6.91595177685355</v>
      </c>
      <c r="W63" s="12">
        <v>36.0666322574125</v>
      </c>
    </row>
    <row r="64">
      <c r="A64" s="8">
        <v>42064.0</v>
      </c>
      <c r="B64" s="9">
        <f>IFERROR(__xludf.DUMMYFUNCTION("""COMPUTED_VALUE"""),19.0)</f>
        <v>19</v>
      </c>
      <c r="C64" s="12">
        <v>392.0</v>
      </c>
      <c r="D64" s="12">
        <v>275.546298292696</v>
      </c>
      <c r="E64" s="12">
        <v>111.0</v>
      </c>
      <c r="F64" s="10">
        <v>165.616514929575</v>
      </c>
      <c r="G64" s="12">
        <v>170.368122683879</v>
      </c>
      <c r="H64" s="12">
        <v>268.487801657114</v>
      </c>
      <c r="I64" s="12">
        <v>257.40817091507</v>
      </c>
      <c r="J64" s="12">
        <v>30.0</v>
      </c>
      <c r="K64" s="12" t="s">
        <v>26</v>
      </c>
      <c r="L64" s="12">
        <v>11.0</v>
      </c>
      <c r="M64" s="12">
        <v>-15.0</v>
      </c>
      <c r="N64" s="12">
        <v>0.0</v>
      </c>
      <c r="O64" s="12">
        <v>71.2747350186749</v>
      </c>
      <c r="P64" s="12">
        <v>0.1651441200702</v>
      </c>
      <c r="Q64" s="12">
        <v>148.12458670551</v>
      </c>
      <c r="R64" s="12">
        <v>-0.393944839280575</v>
      </c>
      <c r="S64" s="12">
        <v>29.4357005814859</v>
      </c>
      <c r="T64" s="12">
        <v>132.519553626674</v>
      </c>
      <c r="U64" s="12">
        <v>43.75</v>
      </c>
      <c r="V64" s="12">
        <v>-4.16611458114719</v>
      </c>
      <c r="W64" s="12">
        <v>0.713540562657187</v>
      </c>
    </row>
    <row r="65">
      <c r="A65" s="8">
        <v>42095.0</v>
      </c>
      <c r="B65" s="9">
        <f>IFERROR(__xludf.DUMMYFUNCTION("""COMPUTED_VALUE"""),71.0)</f>
        <v>71</v>
      </c>
      <c r="C65" s="12">
        <v>532.0</v>
      </c>
      <c r="D65" s="12">
        <v>35.1971354752953</v>
      </c>
      <c r="E65" s="12">
        <v>129.0</v>
      </c>
      <c r="F65" s="12">
        <v>218.061000007766</v>
      </c>
      <c r="G65" s="12">
        <v>155.0</v>
      </c>
      <c r="H65" s="12">
        <v>94.0109306625641</v>
      </c>
      <c r="I65" s="12">
        <v>82.4922062715503</v>
      </c>
      <c r="J65" s="12">
        <v>29.0</v>
      </c>
      <c r="K65" s="12">
        <v>63.0</v>
      </c>
      <c r="L65" s="12">
        <v>92.0</v>
      </c>
      <c r="M65" s="12">
        <v>48.0</v>
      </c>
      <c r="N65" s="12">
        <v>28.0</v>
      </c>
      <c r="O65" s="12">
        <v>325.559051468688</v>
      </c>
      <c r="P65" s="12">
        <v>0.28074500411934</v>
      </c>
      <c r="Q65" s="12">
        <v>188.766561451067</v>
      </c>
      <c r="R65" s="12">
        <v>0.0</v>
      </c>
      <c r="S65" s="12">
        <v>136.1047591762</v>
      </c>
      <c r="T65" s="12">
        <v>62.0565299551102</v>
      </c>
      <c r="U65" s="12">
        <v>54.0</v>
      </c>
      <c r="V65" s="12">
        <v>21.4246350562193</v>
      </c>
      <c r="W65" s="12">
        <v>63.1614154933582</v>
      </c>
    </row>
    <row r="66">
      <c r="A66" s="8">
        <v>42125.0</v>
      </c>
      <c r="B66" s="9"/>
      <c r="C66" s="12">
        <v>900.0</v>
      </c>
      <c r="D66" s="12">
        <v>86.8654494089277</v>
      </c>
      <c r="E66" s="12">
        <v>124.0</v>
      </c>
      <c r="F66" s="12">
        <v>179.876096059213</v>
      </c>
      <c r="G66" s="12">
        <v>155.0</v>
      </c>
      <c r="H66" s="12">
        <v>268.487801657114</v>
      </c>
      <c r="I66" s="12">
        <v>131.131111249594</v>
      </c>
      <c r="J66" s="12">
        <v>25.0</v>
      </c>
      <c r="K66" s="12">
        <v>4121.39161201126</v>
      </c>
      <c r="L66" s="12">
        <v>56.0</v>
      </c>
      <c r="M66" s="12">
        <v>0.0</v>
      </c>
      <c r="N66" s="12">
        <v>124.0</v>
      </c>
      <c r="O66" s="12">
        <v>204.599923057156</v>
      </c>
      <c r="P66" s="12">
        <v>0.0</v>
      </c>
      <c r="Q66" s="12">
        <v>204.390642928537</v>
      </c>
      <c r="R66" s="12">
        <v>60.4083753685588</v>
      </c>
      <c r="S66" s="12">
        <v>114.447167770136</v>
      </c>
      <c r="T66" s="12">
        <v>6.41732383782796</v>
      </c>
      <c r="U66" s="12">
        <v>28.0</v>
      </c>
      <c r="V66" s="12">
        <v>-3.4547684118372</v>
      </c>
      <c r="W66" s="12">
        <v>-63.8062899647696</v>
      </c>
    </row>
    <row r="67">
      <c r="A67" s="8">
        <v>42156.0</v>
      </c>
      <c r="B67" s="9">
        <f>IFERROR(__xludf.DUMMYFUNCTION("""COMPUTED_VALUE"""),96.0)</f>
        <v>96</v>
      </c>
      <c r="C67" s="12">
        <v>134.058661659444</v>
      </c>
      <c r="D67" s="12">
        <v>134.004144808433</v>
      </c>
      <c r="E67" s="12">
        <v>111.0</v>
      </c>
      <c r="F67" s="12">
        <v>164.4328107297</v>
      </c>
      <c r="G67" s="12">
        <v>155.0</v>
      </c>
      <c r="H67" s="12">
        <v>268.487801657114</v>
      </c>
      <c r="I67" s="12">
        <v>87.7130126683698</v>
      </c>
      <c r="J67" s="12">
        <v>36.0</v>
      </c>
      <c r="K67" s="12">
        <v>113.068684220314</v>
      </c>
      <c r="L67" s="12">
        <v>97.0</v>
      </c>
      <c r="M67" s="12">
        <v>0.0</v>
      </c>
      <c r="N67" s="12">
        <v>38.0</v>
      </c>
      <c r="O67" s="12">
        <v>688.082298608209</v>
      </c>
      <c r="P67" s="12">
        <v>0.155969446732966</v>
      </c>
      <c r="Q67" s="12">
        <v>170.190382656352</v>
      </c>
      <c r="R67" s="12">
        <v>4.22556328443543</v>
      </c>
      <c r="S67" s="12">
        <v>81.5651746984138</v>
      </c>
      <c r="T67" s="12">
        <v>74.7169111064848</v>
      </c>
      <c r="U67" s="12">
        <v>108.0</v>
      </c>
      <c r="V67" s="12">
        <v>-1.46302113293649</v>
      </c>
      <c r="W67" s="12">
        <v>-24.4591805259313</v>
      </c>
    </row>
    <row r="68">
      <c r="A68" s="8">
        <v>42186.0</v>
      </c>
      <c r="B68" s="9">
        <f>IFERROR(__xludf.DUMMYFUNCTION("""COMPUTED_VALUE"""),11.0)</f>
        <v>11</v>
      </c>
      <c r="C68" s="12">
        <v>1885.56972861425</v>
      </c>
      <c r="D68" s="12">
        <v>34.460904664636</v>
      </c>
      <c r="E68" s="12">
        <v>188.0</v>
      </c>
      <c r="F68" s="12">
        <v>108.431384948157</v>
      </c>
      <c r="G68" s="12">
        <v>155.0</v>
      </c>
      <c r="H68" s="12">
        <v>268.487801657114</v>
      </c>
      <c r="I68" s="12">
        <v>241.839332935285</v>
      </c>
      <c r="J68" s="12">
        <v>55.9713265079349</v>
      </c>
      <c r="K68" s="12">
        <v>149.378506481647</v>
      </c>
      <c r="L68" s="12">
        <v>32.0</v>
      </c>
      <c r="M68" s="12">
        <v>157.555555555556</v>
      </c>
      <c r="N68" s="12">
        <v>2.0</v>
      </c>
      <c r="O68" s="12">
        <v>44.1582615559323</v>
      </c>
      <c r="P68" s="12">
        <v>0.0674338490286649</v>
      </c>
      <c r="Q68" s="12">
        <v>124.428400044636</v>
      </c>
      <c r="R68" s="12">
        <v>0.784692296179168</v>
      </c>
      <c r="S68" s="12">
        <v>231.135261930905</v>
      </c>
      <c r="T68" s="12">
        <v>134.912955651503</v>
      </c>
      <c r="U68" s="12">
        <v>206.540749555478</v>
      </c>
      <c r="V68" s="12">
        <v>-2.96318506218492</v>
      </c>
      <c r="W68" s="12">
        <v>32.0</v>
      </c>
    </row>
    <row r="69">
      <c r="A69" s="8">
        <v>42217.0</v>
      </c>
      <c r="B69" s="9">
        <f>IFERROR(__xludf.DUMMYFUNCTION("""COMPUTED_VALUE"""),83.0)</f>
        <v>83</v>
      </c>
      <c r="C69" s="12">
        <v>26.0</v>
      </c>
      <c r="D69" s="12">
        <v>13.9325429333975</v>
      </c>
      <c r="E69" s="12">
        <v>77.0</v>
      </c>
      <c r="F69" s="12">
        <v>123.209817117701</v>
      </c>
      <c r="G69" s="12">
        <v>196.323853844949</v>
      </c>
      <c r="H69" s="12">
        <v>94.0109306625641</v>
      </c>
      <c r="I69" s="12">
        <v>331.960908379574</v>
      </c>
      <c r="J69" s="12">
        <v>288.566604293886</v>
      </c>
      <c r="K69" s="12">
        <v>181.588414788246</v>
      </c>
      <c r="L69" s="12">
        <v>171.151383007515</v>
      </c>
      <c r="M69" s="12">
        <v>162.612305881965</v>
      </c>
      <c r="N69" s="12">
        <v>22.0</v>
      </c>
      <c r="O69" s="12">
        <v>45.0360478734163</v>
      </c>
      <c r="P69" s="12">
        <v>0.0</v>
      </c>
      <c r="Q69" s="12">
        <v>141.844364856248</v>
      </c>
      <c r="R69" s="12">
        <v>0.0</v>
      </c>
      <c r="S69" s="12">
        <v>75.8386990583832</v>
      </c>
      <c r="T69" s="12">
        <v>256.341655662181</v>
      </c>
      <c r="U69" s="12">
        <v>376.418682512841</v>
      </c>
      <c r="V69" s="12">
        <v>-15.3444463479294</v>
      </c>
      <c r="W69" s="12">
        <v>31.3709801767767</v>
      </c>
    </row>
    <row r="70">
      <c r="A70" s="8">
        <v>42248.0</v>
      </c>
      <c r="B70" s="9">
        <f>IFERROR(__xludf.DUMMYFUNCTION("""COMPUTED_VALUE"""),1219.0)</f>
        <v>1219</v>
      </c>
      <c r="C70" s="12">
        <v>439.0</v>
      </c>
      <c r="D70" s="12">
        <v>1408.30522381479</v>
      </c>
      <c r="E70" s="12">
        <v>922.147747151285</v>
      </c>
      <c r="F70" s="12">
        <v>602.861066943544</v>
      </c>
      <c r="G70" s="12">
        <v>155.0</v>
      </c>
      <c r="H70" s="12">
        <v>169.920281878751</v>
      </c>
      <c r="I70" s="12">
        <v>578.87683218417</v>
      </c>
      <c r="J70" s="12">
        <v>273.0</v>
      </c>
      <c r="K70" s="12">
        <v>1526.17544715223</v>
      </c>
      <c r="L70" s="12">
        <v>488.0</v>
      </c>
      <c r="M70" s="12">
        <v>151.525561166395</v>
      </c>
      <c r="N70" s="12">
        <v>231.0</v>
      </c>
      <c r="O70" s="12">
        <v>116.353271458805</v>
      </c>
      <c r="P70" s="12">
        <v>0.01926681400819</v>
      </c>
      <c r="Q70" s="12">
        <v>308.987784906277</v>
      </c>
      <c r="R70" s="12">
        <v>231.0</v>
      </c>
      <c r="S70" s="12">
        <v>374.499153905301</v>
      </c>
      <c r="T70" s="12">
        <v>375.992686762386</v>
      </c>
      <c r="U70" s="12">
        <v>409.236116186124</v>
      </c>
      <c r="V70" s="12">
        <v>227.570186172297</v>
      </c>
      <c r="W70" s="12">
        <v>828.0</v>
      </c>
    </row>
    <row r="71">
      <c r="A71" s="8">
        <v>42278.0</v>
      </c>
      <c r="B71" s="9">
        <f>IFERROR(__xludf.DUMMYFUNCTION("""COMPUTED_VALUE"""),7202.0)</f>
        <v>7202</v>
      </c>
      <c r="C71" s="12">
        <v>5720.11029342042</v>
      </c>
      <c r="D71" s="12">
        <v>1084.88094090191</v>
      </c>
      <c r="E71" s="12">
        <v>7170.10889524422</v>
      </c>
      <c r="F71" s="12">
        <v>346.955551873944</v>
      </c>
      <c r="G71" s="12">
        <v>7124.59465416044</v>
      </c>
      <c r="H71" s="12">
        <v>6894.72149728717</v>
      </c>
      <c r="I71" s="12">
        <v>479.446802320856</v>
      </c>
      <c r="J71" s="12">
        <v>4514.08333333333</v>
      </c>
      <c r="K71" s="12">
        <v>7202.01083527932</v>
      </c>
      <c r="L71" s="12">
        <v>4500.08333333333</v>
      </c>
      <c r="M71" s="12">
        <v>7186.42688044875</v>
      </c>
      <c r="N71" s="12">
        <v>4477.08333333333</v>
      </c>
      <c r="O71" s="12">
        <v>7064.82402222002</v>
      </c>
      <c r="P71" s="12">
        <v>0.0</v>
      </c>
      <c r="Q71" s="12">
        <v>7202.00105461822</v>
      </c>
      <c r="R71" s="12">
        <v>4477.08333333333</v>
      </c>
      <c r="S71" s="12">
        <v>7201.99135870432</v>
      </c>
      <c r="T71" s="12">
        <v>4625.63162234983</v>
      </c>
      <c r="U71" s="12">
        <v>4647.83324697196</v>
      </c>
      <c r="V71" s="12">
        <v>4480.14122056237</v>
      </c>
      <c r="W71" s="12">
        <v>5915.0</v>
      </c>
    </row>
    <row r="72">
      <c r="A72" s="8">
        <v>42309.0</v>
      </c>
      <c r="B72" s="9">
        <f>IFERROR(__xludf.DUMMYFUNCTION("""COMPUTED_VALUE"""),20.0)</f>
        <v>20</v>
      </c>
      <c r="C72" s="12">
        <v>2810.92445583798</v>
      </c>
      <c r="D72" s="12">
        <v>2056.71393115425</v>
      </c>
      <c r="E72" s="12">
        <v>372.268557611023</v>
      </c>
      <c r="F72" s="12">
        <v>112.133852948592</v>
      </c>
      <c r="G72" s="12">
        <v>176.02865367359</v>
      </c>
      <c r="H72" s="12">
        <v>268.487801657114</v>
      </c>
      <c r="I72" s="12">
        <v>406.242918325739</v>
      </c>
      <c r="J72" s="12">
        <v>33.0</v>
      </c>
      <c r="K72" s="12">
        <v>91.7350240986697</v>
      </c>
      <c r="L72" s="12">
        <v>108.0</v>
      </c>
      <c r="M72" s="12">
        <v>3.0</v>
      </c>
      <c r="N72" s="12">
        <v>3.0</v>
      </c>
      <c r="O72" s="12">
        <v>589.928626485798</v>
      </c>
      <c r="P72" s="12">
        <v>25.5106379478441</v>
      </c>
      <c r="Q72" s="12">
        <v>14.8754803949856</v>
      </c>
      <c r="R72" s="12">
        <v>0.0</v>
      </c>
      <c r="S72" s="12">
        <v>346.406765163439</v>
      </c>
      <c r="T72" s="12">
        <v>304.598587162936</v>
      </c>
      <c r="U72" s="12">
        <v>83.2190694949908</v>
      </c>
      <c r="V72" s="12">
        <v>229.53160241479</v>
      </c>
      <c r="W72" s="12">
        <v>1918.0</v>
      </c>
    </row>
    <row r="73">
      <c r="A73" s="8">
        <v>42339.0</v>
      </c>
      <c r="B73" s="9">
        <f>IFERROR(__xludf.DUMMYFUNCTION("""COMPUTED_VALUE"""),279.0)</f>
        <v>279</v>
      </c>
      <c r="C73" s="12">
        <v>223.7</v>
      </c>
      <c r="D73" s="12">
        <v>1977.43307901567</v>
      </c>
      <c r="E73" s="12">
        <v>124.0</v>
      </c>
      <c r="F73" s="12">
        <v>375.764662993635</v>
      </c>
      <c r="G73" s="12">
        <v>155.0</v>
      </c>
      <c r="H73" s="12">
        <v>268.487801657114</v>
      </c>
      <c r="I73" s="12">
        <v>802.05954396494</v>
      </c>
      <c r="J73" s="12">
        <v>10.0</v>
      </c>
      <c r="K73" s="12">
        <v>93.8254960775375</v>
      </c>
      <c r="L73" s="12">
        <v>57.0</v>
      </c>
      <c r="M73" s="12">
        <v>0.0</v>
      </c>
      <c r="N73" s="12">
        <v>0.0</v>
      </c>
      <c r="O73" s="12">
        <v>43.4425089270424</v>
      </c>
      <c r="P73" s="12">
        <v>0.0</v>
      </c>
      <c r="Q73" s="12">
        <v>271.537947442715</v>
      </c>
      <c r="R73" s="12">
        <v>-1492.23076923077</v>
      </c>
      <c r="S73" s="12">
        <v>107.369454901996</v>
      </c>
      <c r="T73" s="12">
        <v>231.279721580992</v>
      </c>
      <c r="U73" s="12">
        <v>148.698832160115</v>
      </c>
      <c r="V73" s="12">
        <v>20.5724425778275</v>
      </c>
      <c r="W73" s="12">
        <v>3031.0</v>
      </c>
    </row>
    <row r="74">
      <c r="A74" s="8">
        <v>42370.0</v>
      </c>
      <c r="B74" s="9"/>
      <c r="C74" s="12">
        <v>238.0</v>
      </c>
      <c r="D74" s="12">
        <v>1939.52899167427</v>
      </c>
      <c r="E74" s="12">
        <v>130.0</v>
      </c>
      <c r="F74" s="12">
        <v>180.828115797451</v>
      </c>
      <c r="G74" s="12">
        <v>155.0</v>
      </c>
      <c r="H74" s="12">
        <v>268.487801657114</v>
      </c>
      <c r="I74" s="12">
        <v>331.921952826152</v>
      </c>
      <c r="J74" s="12">
        <v>84.0</v>
      </c>
      <c r="K74" s="12">
        <v>0.0</v>
      </c>
      <c r="L74" s="12">
        <v>59.0</v>
      </c>
      <c r="M74" s="12">
        <v>0.0</v>
      </c>
      <c r="N74" s="12">
        <v>0.0</v>
      </c>
      <c r="O74" s="12">
        <v>3.71624716076543</v>
      </c>
      <c r="P74" s="12">
        <v>0.0454146330193049</v>
      </c>
      <c r="Q74" s="12">
        <v>97.8696508700322</v>
      </c>
      <c r="R74" s="12">
        <v>191.418298968823</v>
      </c>
      <c r="S74" s="12">
        <v>3.01567015756083</v>
      </c>
      <c r="T74" s="12">
        <v>244.0</v>
      </c>
      <c r="U74" s="12">
        <v>819.405570962627</v>
      </c>
      <c r="V74" s="12">
        <v>-38.3611158698235</v>
      </c>
      <c r="W74" s="12">
        <v>185.290213693854</v>
      </c>
    </row>
    <row r="75">
      <c r="A75" s="8">
        <v>42401.0</v>
      </c>
      <c r="B75" s="9">
        <f>IFERROR(__xludf.DUMMYFUNCTION("""COMPUTED_VALUE"""),193.0)</f>
        <v>193</v>
      </c>
      <c r="C75" s="12">
        <v>149.348101658113</v>
      </c>
      <c r="D75" s="12">
        <v>133.737562505811</v>
      </c>
      <c r="E75" s="12">
        <v>148.0</v>
      </c>
      <c r="F75" s="12">
        <v>207.100865013783</v>
      </c>
      <c r="G75" s="12">
        <v>155.385559387286</v>
      </c>
      <c r="H75" s="12">
        <v>268.487801657114</v>
      </c>
      <c r="I75" s="12">
        <v>166.688035565349</v>
      </c>
      <c r="J75" s="12">
        <v>19.0</v>
      </c>
      <c r="K75" s="12">
        <v>0.0</v>
      </c>
      <c r="L75" s="12">
        <v>92.0</v>
      </c>
      <c r="M75" s="12">
        <v>52.0</v>
      </c>
      <c r="N75" s="12">
        <v>0.0</v>
      </c>
      <c r="O75" s="12">
        <v>123.50594999166</v>
      </c>
      <c r="P75" s="12">
        <v>0.0623877786931866</v>
      </c>
      <c r="Q75" s="12">
        <v>154.109276642622</v>
      </c>
      <c r="R75" s="12">
        <v>0.0</v>
      </c>
      <c r="S75" s="12">
        <v>122.351643756495</v>
      </c>
      <c r="T75" s="12">
        <v>192.818407636101</v>
      </c>
      <c r="U75" s="12">
        <v>102.087412985243</v>
      </c>
      <c r="V75" s="12">
        <v>42.7610300124932</v>
      </c>
      <c r="W75" s="12">
        <v>237.181744105618</v>
      </c>
    </row>
    <row r="76">
      <c r="A76" s="8">
        <v>42430.0</v>
      </c>
      <c r="B76" s="9">
        <f>IFERROR(__xludf.DUMMYFUNCTION("""COMPUTED_VALUE"""),237.0)</f>
        <v>237</v>
      </c>
      <c r="C76" s="12">
        <v>186.220328003337</v>
      </c>
      <c r="D76" s="12">
        <v>325.923170369834</v>
      </c>
      <c r="E76" s="12">
        <v>253.0</v>
      </c>
      <c r="F76" s="12">
        <v>236.950104137632</v>
      </c>
      <c r="G76" s="12">
        <v>277.836785560732</v>
      </c>
      <c r="H76" s="12">
        <v>268.487801657114</v>
      </c>
      <c r="I76" s="12">
        <v>103.583451206943</v>
      </c>
      <c r="J76" s="12">
        <v>60.0</v>
      </c>
      <c r="K76" s="12">
        <v>1.0</v>
      </c>
      <c r="L76" s="12">
        <v>168.0</v>
      </c>
      <c r="M76" s="12">
        <v>64.6666666666667</v>
      </c>
      <c r="N76" s="12">
        <v>7.07653114376658</v>
      </c>
      <c r="O76" s="12">
        <v>192.896531451652</v>
      </c>
      <c r="P76" s="12">
        <v>0.966093102410669</v>
      </c>
      <c r="Q76" s="12">
        <v>90.7408848942341</v>
      </c>
      <c r="R76" s="12">
        <v>53.196527614086</v>
      </c>
      <c r="S76" s="12">
        <v>112.683729364585</v>
      </c>
      <c r="T76" s="12">
        <v>108.082511986011</v>
      </c>
      <c r="U76" s="12">
        <v>6.75</v>
      </c>
      <c r="V76" s="12">
        <v>36.7362357611071</v>
      </c>
      <c r="W76" s="12">
        <v>267.596394615146</v>
      </c>
    </row>
    <row r="77">
      <c r="A77" s="8">
        <v>42461.0</v>
      </c>
      <c r="B77" s="9">
        <f>IFERROR(__xludf.DUMMYFUNCTION("""COMPUTED_VALUE"""),290.0)</f>
        <v>290</v>
      </c>
      <c r="C77" s="12">
        <v>758.270659710935</v>
      </c>
      <c r="D77" s="12">
        <v>42.4188013645143</v>
      </c>
      <c r="E77" s="12">
        <v>216.0</v>
      </c>
      <c r="F77" s="12">
        <v>176.450450150265</v>
      </c>
      <c r="G77" s="12">
        <v>177.400424211638</v>
      </c>
      <c r="H77" s="12">
        <v>268.487801657114</v>
      </c>
      <c r="I77" s="12">
        <v>143.027062584916</v>
      </c>
      <c r="J77" s="12">
        <v>39.0</v>
      </c>
      <c r="K77" s="12">
        <v>1.0</v>
      </c>
      <c r="L77" s="12">
        <v>292.0</v>
      </c>
      <c r="M77" s="12">
        <v>0.0</v>
      </c>
      <c r="N77" s="12">
        <v>0.0</v>
      </c>
      <c r="O77" s="12">
        <v>364.397592169879</v>
      </c>
      <c r="P77" s="12">
        <v>21.8747149042985</v>
      </c>
      <c r="Q77" s="12">
        <v>224.553516143972</v>
      </c>
      <c r="R77" s="12">
        <v>194.433387949689</v>
      </c>
      <c r="S77" s="12">
        <v>78.2445785036454</v>
      </c>
      <c r="T77" s="12">
        <v>299.051281332921</v>
      </c>
      <c r="U77" s="12">
        <v>268.75</v>
      </c>
      <c r="V77" s="12">
        <v>49.9110455979849</v>
      </c>
      <c r="W77" s="12">
        <v>433.728642050605</v>
      </c>
    </row>
    <row r="78">
      <c r="A78" s="8">
        <v>42491.0</v>
      </c>
      <c r="B78" s="9">
        <f>IFERROR(__xludf.DUMMYFUNCTION("""COMPUTED_VALUE"""),646.0)</f>
        <v>646</v>
      </c>
      <c r="C78" s="12">
        <v>3771.18320473251</v>
      </c>
      <c r="D78" s="12">
        <v>503.789394753648</v>
      </c>
      <c r="E78" s="12">
        <v>681.055566794783</v>
      </c>
      <c r="F78" s="12">
        <v>237.431378865706</v>
      </c>
      <c r="G78" s="12">
        <v>452.724873828334</v>
      </c>
      <c r="H78" s="12">
        <v>268.487801657114</v>
      </c>
      <c r="I78" s="12">
        <v>301.274807473506</v>
      </c>
      <c r="J78" s="12">
        <v>3629.58320473251</v>
      </c>
      <c r="K78" s="12">
        <v>707.354313773672</v>
      </c>
      <c r="L78" s="12">
        <v>3652.58320473251</v>
      </c>
      <c r="M78" s="12">
        <v>176.888888888889</v>
      </c>
      <c r="N78" s="12">
        <v>3684.88320473251</v>
      </c>
      <c r="O78" s="12">
        <v>130.932555061338</v>
      </c>
      <c r="P78" s="12">
        <v>0.0917467333723332</v>
      </c>
      <c r="Q78" s="12">
        <v>112.678910819716</v>
      </c>
      <c r="R78" s="12">
        <v>3673.01320473251</v>
      </c>
      <c r="S78" s="12">
        <v>815.208107352554</v>
      </c>
      <c r="T78" s="12">
        <v>3664.74380685785</v>
      </c>
      <c r="U78" s="12">
        <v>3650.58320473251</v>
      </c>
      <c r="V78" s="12">
        <v>120.797489215601</v>
      </c>
      <c r="W78" s="12">
        <v>425.904378030341</v>
      </c>
    </row>
    <row r="79">
      <c r="A79" s="8">
        <v>42522.0</v>
      </c>
      <c r="B79" s="9">
        <f>IFERROR(__xludf.DUMMYFUNCTION("""COMPUTED_VALUE"""),3548.0)</f>
        <v>3548</v>
      </c>
      <c r="C79" s="12">
        <v>4670.08333333333</v>
      </c>
      <c r="D79" s="12">
        <v>3552.1117351027</v>
      </c>
      <c r="E79" s="12">
        <v>3531.0</v>
      </c>
      <c r="F79" s="12">
        <v>3550.02274564564</v>
      </c>
      <c r="G79" s="12">
        <v>3493.24926749524</v>
      </c>
      <c r="H79" s="12">
        <v>3251.43712445946</v>
      </c>
      <c r="I79" s="12">
        <v>3351.56461463666</v>
      </c>
      <c r="J79" s="12">
        <v>3217.08333333333</v>
      </c>
      <c r="K79" s="12">
        <v>4.02159748828999</v>
      </c>
      <c r="L79" s="12">
        <v>3028.08333333333</v>
      </c>
      <c r="M79" s="12">
        <v>9171.50233853561</v>
      </c>
      <c r="N79" s="12">
        <v>3548.05061123653</v>
      </c>
      <c r="O79" s="12">
        <v>338.456241225052</v>
      </c>
      <c r="P79" s="12">
        <v>1.24775557386373</v>
      </c>
      <c r="Q79" s="12">
        <v>3185.74258398365</v>
      </c>
      <c r="R79" s="12">
        <v>3531.95372825695</v>
      </c>
      <c r="S79" s="12">
        <v>3178.29777333004</v>
      </c>
      <c r="T79" s="12">
        <v>3154.41004175089</v>
      </c>
      <c r="U79" s="12">
        <v>1508.06529380123</v>
      </c>
      <c r="V79" s="12">
        <v>3379.09708845706</v>
      </c>
      <c r="W79" s="12">
        <v>3341.15699469082</v>
      </c>
    </row>
    <row r="80">
      <c r="A80" s="8">
        <v>42552.0</v>
      </c>
      <c r="B80" s="9">
        <f>IFERROR(__xludf.DUMMYFUNCTION("""COMPUTED_VALUE"""),522.0)</f>
        <v>522</v>
      </c>
      <c r="C80" s="12">
        <v>552.5</v>
      </c>
      <c r="D80" s="12">
        <v>624.748116629564</v>
      </c>
      <c r="E80" s="12">
        <v>273.0</v>
      </c>
      <c r="F80" s="12">
        <v>254.69365135793</v>
      </c>
      <c r="G80" s="12">
        <v>191.232799192177</v>
      </c>
      <c r="H80" s="12">
        <v>268.487801657114</v>
      </c>
      <c r="I80" s="12">
        <v>293.762371468882</v>
      </c>
      <c r="J80" s="12">
        <v>60.0</v>
      </c>
      <c r="K80" s="12">
        <v>1.0</v>
      </c>
      <c r="L80" s="12">
        <v>293.0</v>
      </c>
      <c r="M80" s="12">
        <v>155.87037037037</v>
      </c>
      <c r="N80" s="12">
        <v>1.0</v>
      </c>
      <c r="O80" s="12">
        <v>1053.54301751164</v>
      </c>
      <c r="P80" s="12">
        <v>0.0</v>
      </c>
      <c r="Q80" s="12">
        <v>522.666528364519</v>
      </c>
      <c r="R80" s="12">
        <v>475.893163408058</v>
      </c>
      <c r="S80" s="12">
        <v>267.024438845984</v>
      </c>
      <c r="T80" s="12">
        <v>432.737454408021</v>
      </c>
      <c r="U80" s="12">
        <v>818.552972456027</v>
      </c>
      <c r="V80" s="12">
        <v>-16.0</v>
      </c>
      <c r="W80" s="12">
        <v>98.9666868802527</v>
      </c>
    </row>
    <row r="81">
      <c r="A81" s="8">
        <v>42583.0</v>
      </c>
      <c r="B81" s="9">
        <f>IFERROR(__xludf.DUMMYFUNCTION("""COMPUTED_VALUE"""),277.0)</f>
        <v>277</v>
      </c>
      <c r="C81" s="12">
        <v>7639.5</v>
      </c>
      <c r="D81" s="12">
        <v>135.084282169686</v>
      </c>
      <c r="E81" s="12">
        <v>249.0</v>
      </c>
      <c r="F81" s="12">
        <v>423.273301312562</v>
      </c>
      <c r="G81" s="12">
        <v>155.0</v>
      </c>
      <c r="H81" s="12">
        <v>268.487801657114</v>
      </c>
      <c r="I81" s="12">
        <v>702.310422400991</v>
      </c>
      <c r="J81" s="12">
        <v>105.0</v>
      </c>
      <c r="K81" s="12">
        <v>2.77112528074893</v>
      </c>
      <c r="L81" s="12">
        <v>26.0</v>
      </c>
      <c r="M81" s="12">
        <v>110.437034654683</v>
      </c>
      <c r="N81" s="12">
        <v>16.8746554873012</v>
      </c>
      <c r="O81" s="12">
        <v>199.325803311805</v>
      </c>
      <c r="P81" s="12">
        <v>0.0</v>
      </c>
      <c r="Q81" s="12">
        <v>146.178557914192</v>
      </c>
      <c r="R81" s="12">
        <v>263.952104052694</v>
      </c>
      <c r="S81" s="12">
        <v>195.813861883746</v>
      </c>
      <c r="T81" s="12">
        <v>389.458389806582</v>
      </c>
      <c r="U81" s="12">
        <v>199.25</v>
      </c>
      <c r="V81" s="12">
        <v>28.3333333333333</v>
      </c>
      <c r="W81" s="12">
        <v>398.0</v>
      </c>
    </row>
    <row r="82">
      <c r="A82" s="8">
        <v>42614.0</v>
      </c>
      <c r="B82" s="9">
        <f>IFERROR(__xludf.DUMMYFUNCTION("""COMPUTED_VALUE"""),209.0)</f>
        <v>209</v>
      </c>
      <c r="C82" s="12">
        <v>448.135523834019</v>
      </c>
      <c r="D82" s="12">
        <v>62.573243677971</v>
      </c>
      <c r="E82" s="12">
        <v>268.0</v>
      </c>
      <c r="F82" s="12">
        <v>467.76686898104</v>
      </c>
      <c r="G82" s="12">
        <v>286.396080860951</v>
      </c>
      <c r="H82" s="12">
        <v>268.487801657114</v>
      </c>
      <c r="I82" s="12">
        <v>1078.71561372326</v>
      </c>
      <c r="J82" s="12">
        <v>268.57832681475</v>
      </c>
      <c r="K82" s="12">
        <v>1.56395457877944</v>
      </c>
      <c r="L82" s="12">
        <v>16.6355238340192</v>
      </c>
      <c r="M82" s="12">
        <v>-2.43333333333332</v>
      </c>
      <c r="N82" s="12">
        <v>9.6355238340192</v>
      </c>
      <c r="O82" s="12">
        <v>186.979764401842</v>
      </c>
      <c r="P82" s="12">
        <v>0.03302882401404</v>
      </c>
      <c r="Q82" s="12">
        <v>249.144094834344</v>
      </c>
      <c r="R82" s="12">
        <v>172.727080718462</v>
      </c>
      <c r="S82" s="12">
        <v>215.40378339644</v>
      </c>
      <c r="T82" s="12">
        <v>321.894786259846</v>
      </c>
      <c r="U82" s="12">
        <v>69.1355238340192</v>
      </c>
      <c r="V82" s="12">
        <v>-5.86615025084594</v>
      </c>
      <c r="W82" s="12">
        <v>410.5</v>
      </c>
    </row>
    <row r="83">
      <c r="A83" s="8">
        <v>42644.0</v>
      </c>
      <c r="B83" s="9"/>
      <c r="C83" s="12">
        <v>11.1205443592463</v>
      </c>
      <c r="D83" s="12">
        <v>157.061389674055</v>
      </c>
      <c r="E83" s="12">
        <v>136.0</v>
      </c>
      <c r="F83" s="12">
        <v>655.997132101876</v>
      </c>
      <c r="G83" s="12">
        <v>155.0</v>
      </c>
      <c r="H83" s="12">
        <v>268.487801657114</v>
      </c>
      <c r="I83" s="12">
        <v>1009.95188417111</v>
      </c>
      <c r="J83" s="12">
        <v>253.749351278561</v>
      </c>
      <c r="K83" s="12">
        <v>130.308916985989</v>
      </c>
      <c r="L83" s="12">
        <v>16.0</v>
      </c>
      <c r="M83" s="12">
        <v>16.0</v>
      </c>
      <c r="N83" s="12">
        <v>16.0</v>
      </c>
      <c r="O83" s="12">
        <v>316.6890363577</v>
      </c>
      <c r="P83" s="12">
        <v>0.0908292660386099</v>
      </c>
      <c r="Q83" s="12">
        <v>179.602510875019</v>
      </c>
      <c r="R83" s="12">
        <v>232.672206372808</v>
      </c>
      <c r="S83" s="12">
        <v>251.744095750869</v>
      </c>
      <c r="T83" s="12">
        <v>354.537036349616</v>
      </c>
      <c r="U83" s="12">
        <v>22.5</v>
      </c>
      <c r="V83" s="12">
        <v>40.5</v>
      </c>
      <c r="W83" s="12">
        <v>74.5</v>
      </c>
    </row>
    <row r="84">
      <c r="A84" s="8">
        <v>42675.0</v>
      </c>
      <c r="B84" s="9">
        <f>IFERROR(__xludf.DUMMYFUNCTION("""COMPUTED_VALUE"""),252.0)</f>
        <v>252</v>
      </c>
      <c r="C84" s="12">
        <v>243.011723155711</v>
      </c>
      <c r="D84" s="12">
        <v>152.281217008269</v>
      </c>
      <c r="E84" s="12">
        <v>211.0</v>
      </c>
      <c r="F84" s="12">
        <v>148.283199950997</v>
      </c>
      <c r="G84" s="12">
        <v>155.0</v>
      </c>
      <c r="H84" s="12">
        <v>268.487801657114</v>
      </c>
      <c r="I84" s="12">
        <v>130.666961826747</v>
      </c>
      <c r="J84" s="12">
        <v>18.0</v>
      </c>
      <c r="K84" s="12">
        <v>1823.36799187692</v>
      </c>
      <c r="L84" s="12">
        <v>43.0</v>
      </c>
      <c r="M84" s="12">
        <v>110.0</v>
      </c>
      <c r="N84" s="12">
        <v>137.0</v>
      </c>
      <c r="O84" s="12">
        <v>36.7003310209917</v>
      </c>
      <c r="P84" s="12">
        <v>0.0</v>
      </c>
      <c r="Q84" s="12">
        <v>135.073864017216</v>
      </c>
      <c r="R84" s="12">
        <v>399.59094854571</v>
      </c>
      <c r="S84" s="12">
        <v>39.3852577908091</v>
      </c>
      <c r="T84" s="12">
        <v>354.362326780301</v>
      </c>
      <c r="U84" s="12">
        <v>494.0</v>
      </c>
      <c r="V84" s="12">
        <v>79.3333333333333</v>
      </c>
      <c r="W84" s="12">
        <v>539.0</v>
      </c>
    </row>
    <row r="85">
      <c r="A85" s="8">
        <v>42705.0</v>
      </c>
      <c r="B85" s="9">
        <f>IFERROR(__xludf.DUMMYFUNCTION("""COMPUTED_VALUE"""),198.0)</f>
        <v>198</v>
      </c>
      <c r="C85" s="12">
        <v>165.576388888889</v>
      </c>
      <c r="D85" s="12">
        <v>20.4759736819361</v>
      </c>
      <c r="E85" s="12">
        <v>253.0</v>
      </c>
      <c r="F85" s="12">
        <v>194.113784637161</v>
      </c>
      <c r="G85" s="12">
        <v>155.0</v>
      </c>
      <c r="H85" s="12">
        <v>268.487801657114</v>
      </c>
      <c r="I85" s="12">
        <v>293.365318315884</v>
      </c>
      <c r="J85" s="12">
        <v>201.23316693846</v>
      </c>
      <c r="K85" s="12">
        <v>360.924493335844</v>
      </c>
      <c r="L85" s="12">
        <v>31.0763888888889</v>
      </c>
      <c r="M85" s="12">
        <v>126.0</v>
      </c>
      <c r="N85" s="12">
        <v>100.076388888889</v>
      </c>
      <c r="O85" s="12">
        <v>266.437483763107</v>
      </c>
      <c r="P85" s="12">
        <v>0.122023155385203</v>
      </c>
      <c r="Q85" s="12">
        <v>402.2405113939</v>
      </c>
      <c r="R85" s="12">
        <v>142.696388888889</v>
      </c>
      <c r="S85" s="12">
        <v>909.501076895821</v>
      </c>
      <c r="T85" s="12">
        <v>653.780451828438</v>
      </c>
      <c r="U85" s="12">
        <v>100.076388888889</v>
      </c>
      <c r="V85" s="12">
        <v>-42.6666666666667</v>
      </c>
      <c r="W85" s="12">
        <v>-753.461498510919</v>
      </c>
    </row>
    <row r="86">
      <c r="A86" s="8">
        <v>42736.0</v>
      </c>
      <c r="B86" s="9">
        <f>IFERROR(__xludf.DUMMYFUNCTION("""COMPUTED_VALUE"""),958.0)</f>
        <v>958</v>
      </c>
      <c r="C86" s="12">
        <v>390.0</v>
      </c>
      <c r="D86" s="12">
        <v>1264.8737387979</v>
      </c>
      <c r="E86" s="12">
        <v>590.0</v>
      </c>
      <c r="F86" s="12">
        <v>120.731173396835</v>
      </c>
      <c r="G86" s="12">
        <v>297.218535596885</v>
      </c>
      <c r="H86" s="12">
        <v>268.487801657114</v>
      </c>
      <c r="I86" s="12">
        <v>856.477309506997</v>
      </c>
      <c r="J86" s="12">
        <v>648.799213884399</v>
      </c>
      <c r="K86" s="12">
        <v>209.242214620113</v>
      </c>
      <c r="L86" s="12">
        <v>666.036265564311</v>
      </c>
      <c r="M86" s="12">
        <v>894.522341498847</v>
      </c>
      <c r="N86" s="12">
        <v>95.0</v>
      </c>
      <c r="O86" s="12">
        <v>228.136590420733</v>
      </c>
      <c r="P86" s="12">
        <v>2.42761856503194</v>
      </c>
      <c r="Q86" s="12">
        <v>398.364272271477</v>
      </c>
      <c r="R86" s="12">
        <v>817.403897308656</v>
      </c>
      <c r="S86" s="12">
        <v>524.577509321722</v>
      </c>
      <c r="T86" s="12">
        <v>426.881595598773</v>
      </c>
      <c r="U86" s="12">
        <v>819.26959906266</v>
      </c>
      <c r="V86" s="12">
        <v>126.545918225156</v>
      </c>
      <c r="W86" s="12">
        <v>86.2551960585922</v>
      </c>
    </row>
    <row r="87">
      <c r="A87" s="8">
        <v>42767.0</v>
      </c>
      <c r="B87" s="9">
        <f>IFERROR(__xludf.DUMMYFUNCTION("""COMPUTED_VALUE"""),3443.0)</f>
        <v>3443</v>
      </c>
      <c r="C87" s="12">
        <v>4712.80218024617</v>
      </c>
      <c r="D87" s="12">
        <v>3187.38066490186</v>
      </c>
      <c r="E87" s="12">
        <v>3847.15609432178</v>
      </c>
      <c r="F87" s="12">
        <v>3573.47586310542</v>
      </c>
      <c r="G87" s="12">
        <v>2810.12000224525</v>
      </c>
      <c r="H87" s="12">
        <v>643.253027502865</v>
      </c>
      <c r="I87" s="12">
        <v>3442.91245108325</v>
      </c>
      <c r="J87" s="12">
        <v>1004.22675561568</v>
      </c>
      <c r="K87" s="12">
        <v>847.865233898163</v>
      </c>
      <c r="L87" s="12">
        <v>1466.56221209505</v>
      </c>
      <c r="M87" s="12">
        <v>3934.93428553721</v>
      </c>
      <c r="N87" s="12">
        <v>3207.92837861409</v>
      </c>
      <c r="O87" s="12">
        <v>3144.00421156804</v>
      </c>
      <c r="P87" s="12">
        <v>0.0</v>
      </c>
      <c r="Q87" s="12">
        <v>3443.004894976</v>
      </c>
      <c r="R87" s="12">
        <v>3085.75372569035</v>
      </c>
      <c r="S87" s="12">
        <v>3191.32509326665</v>
      </c>
      <c r="T87" s="12">
        <v>3461.09791305516</v>
      </c>
      <c r="U87" s="12">
        <v>3814.09601537411</v>
      </c>
      <c r="V87" s="12">
        <v>3048.29536280416</v>
      </c>
      <c r="W87" s="12">
        <v>2617.47882877195</v>
      </c>
    </row>
    <row r="88">
      <c r="A88" s="8">
        <v>42795.0</v>
      </c>
      <c r="B88" s="9">
        <f>IFERROR(__xludf.DUMMYFUNCTION("""COMPUTED_VALUE"""),48938.0)</f>
        <v>48938</v>
      </c>
      <c r="C88" s="12">
        <v>61969.895550951</v>
      </c>
      <c r="D88" s="12">
        <v>48856.8318507812</v>
      </c>
      <c r="E88" s="12">
        <v>32879.0056863904</v>
      </c>
      <c r="F88" s="12">
        <v>49177.278857797</v>
      </c>
      <c r="G88" s="12">
        <v>28085.3086973865</v>
      </c>
      <c r="H88" s="12">
        <v>48937.9995551273</v>
      </c>
      <c r="I88" s="12">
        <v>48936.850028698</v>
      </c>
      <c r="J88" s="12">
        <v>47758.3312576819</v>
      </c>
      <c r="K88" s="12">
        <v>48939.0143050427</v>
      </c>
      <c r="L88" s="12">
        <v>48025.3432735128</v>
      </c>
      <c r="M88" s="12">
        <v>48937.959802626</v>
      </c>
      <c r="N88" s="12">
        <v>48938.2768278495</v>
      </c>
      <c r="O88" s="12">
        <v>48938.2086667606</v>
      </c>
      <c r="P88" s="12">
        <v>48823.0700374538</v>
      </c>
      <c r="Q88" s="12">
        <v>48867.8846717945</v>
      </c>
      <c r="R88" s="12">
        <v>48504.0456990805</v>
      </c>
      <c r="S88" s="12">
        <v>48905.7134325862</v>
      </c>
      <c r="T88" s="12">
        <v>48904.0983236606</v>
      </c>
      <c r="U88" s="12">
        <v>48944.4999111465</v>
      </c>
      <c r="V88" s="12">
        <v>48738.142883813</v>
      </c>
      <c r="W88" s="12">
        <v>41338.2914515968</v>
      </c>
    </row>
    <row r="89">
      <c r="A89" s="8">
        <v>42826.0</v>
      </c>
      <c r="B89" s="9">
        <f>IFERROR(__xludf.DUMMYFUNCTION("""COMPUTED_VALUE"""),8584.0)</f>
        <v>8584</v>
      </c>
      <c r="C89" s="12">
        <v>8664.20889353799</v>
      </c>
      <c r="D89" s="12">
        <v>29114.0404141537</v>
      </c>
      <c r="E89" s="12">
        <v>7967.90551398018</v>
      </c>
      <c r="F89" s="12">
        <v>8603.39672157084</v>
      </c>
      <c r="G89" s="12">
        <v>6689.67166011474</v>
      </c>
      <c r="H89" s="12">
        <v>628.859427502865</v>
      </c>
      <c r="I89" s="12">
        <v>8827.62431995659</v>
      </c>
      <c r="J89" s="12">
        <v>8037.88899982702</v>
      </c>
      <c r="K89" s="12">
        <v>10783.1118006697</v>
      </c>
      <c r="L89" s="12">
        <v>10657.507779118</v>
      </c>
      <c r="M89" s="12">
        <v>8627.95132115144</v>
      </c>
      <c r="N89" s="12">
        <v>8621.93993959047</v>
      </c>
      <c r="O89" s="12">
        <v>8627.42317266672</v>
      </c>
      <c r="P89" s="12">
        <v>4905.74370678534</v>
      </c>
      <c r="Q89" s="12">
        <v>8574.54751560009</v>
      </c>
      <c r="R89" s="12">
        <v>13884.2952500057</v>
      </c>
      <c r="S89" s="12">
        <v>8683.67396591533</v>
      </c>
      <c r="T89" s="12">
        <v>7381.54401628417</v>
      </c>
      <c r="U89" s="12">
        <v>8628.72217725039</v>
      </c>
      <c r="V89" s="12">
        <v>5800.78044148049</v>
      </c>
      <c r="W89" s="12">
        <v>8732.05346781205</v>
      </c>
    </row>
    <row r="90">
      <c r="A90" s="8">
        <v>42856.0</v>
      </c>
      <c r="B90" s="9">
        <f>IFERROR(__xludf.DUMMYFUNCTION("""COMPUTED_VALUE"""),4355.0)</f>
        <v>4355</v>
      </c>
      <c r="C90" s="12">
        <v>5412.73193735776</v>
      </c>
      <c r="D90" s="12">
        <v>14513.0315369399</v>
      </c>
      <c r="E90" s="12">
        <v>4885.4595394552</v>
      </c>
      <c r="F90" s="12">
        <v>4291.09123222388</v>
      </c>
      <c r="G90" s="12">
        <v>5643.22794971607</v>
      </c>
      <c r="H90" s="12">
        <v>841.536227502865</v>
      </c>
      <c r="I90" s="12">
        <v>4351.86469620968</v>
      </c>
      <c r="J90" s="12">
        <v>3847.07406607062</v>
      </c>
      <c r="K90" s="12">
        <v>3116.49489601389</v>
      </c>
      <c r="L90" s="12">
        <v>5232.72376941383</v>
      </c>
      <c r="M90" s="12">
        <v>4522.79611274683</v>
      </c>
      <c r="N90" s="12">
        <v>4327.40014433535</v>
      </c>
      <c r="O90" s="12">
        <v>4389.20944572838</v>
      </c>
      <c r="P90" s="12">
        <v>16.5556980370375</v>
      </c>
      <c r="Q90" s="12">
        <v>4117.23188324024</v>
      </c>
      <c r="R90" s="12">
        <v>3927.92168097773</v>
      </c>
      <c r="S90" s="12">
        <v>5317.6144165742</v>
      </c>
      <c r="T90" s="12">
        <v>4106.82267280317</v>
      </c>
      <c r="U90" s="12">
        <v>4507.86344254547</v>
      </c>
      <c r="V90" s="12">
        <v>612.56069457951</v>
      </c>
      <c r="W90" s="12">
        <v>5268.00193315053</v>
      </c>
    </row>
    <row r="91">
      <c r="A91" s="8">
        <v>42887.0</v>
      </c>
      <c r="B91" s="9">
        <f>IFERROR(__xludf.DUMMYFUNCTION("""COMPUTED_VALUE"""),7065.0)</f>
        <v>7065</v>
      </c>
      <c r="C91" s="12">
        <v>6906.0</v>
      </c>
      <c r="D91" s="12">
        <v>11279.2433355301</v>
      </c>
      <c r="E91" s="12">
        <v>7289.34532153397</v>
      </c>
      <c r="F91" s="12">
        <v>7157.82527123434</v>
      </c>
      <c r="G91" s="12">
        <v>7327.27081892275</v>
      </c>
      <c r="H91" s="12">
        <v>1783.7849207068</v>
      </c>
      <c r="I91" s="12">
        <v>7035.10742280391</v>
      </c>
      <c r="J91" s="12">
        <v>6841.71111691442</v>
      </c>
      <c r="K91" s="12">
        <v>587.51351713413</v>
      </c>
      <c r="L91" s="12">
        <v>3121.09080968059</v>
      </c>
      <c r="M91" s="12">
        <v>7065.00176019546</v>
      </c>
      <c r="N91" s="12">
        <v>7065.22227207249</v>
      </c>
      <c r="O91" s="12">
        <v>7064.73215798221</v>
      </c>
      <c r="P91" s="12">
        <v>0.0</v>
      </c>
      <c r="Q91" s="12">
        <v>7122.04667293504</v>
      </c>
      <c r="R91" s="12">
        <v>7085.73620564914</v>
      </c>
      <c r="S91" s="12">
        <v>7065.0409989503</v>
      </c>
      <c r="T91" s="12">
        <v>7163.35945214436</v>
      </c>
      <c r="U91" s="12">
        <v>7106.39580950569</v>
      </c>
      <c r="V91" s="12">
        <v>2709.52216692103</v>
      </c>
      <c r="W91" s="12">
        <v>7178.80232821994</v>
      </c>
    </row>
    <row r="92">
      <c r="A92" s="8">
        <v>42917.0</v>
      </c>
      <c r="B92" s="9">
        <f>IFERROR(__xludf.DUMMYFUNCTION("""COMPUTED_VALUE"""),9969.0)</f>
        <v>9969</v>
      </c>
      <c r="C92" s="12">
        <v>14935.8656988223</v>
      </c>
      <c r="D92" s="12">
        <v>14181.6967963977</v>
      </c>
      <c r="E92" s="12">
        <v>9947.89425386232</v>
      </c>
      <c r="F92" s="12">
        <v>9372.13920377677</v>
      </c>
      <c r="G92" s="12">
        <v>8904.22810136978</v>
      </c>
      <c r="H92" s="12">
        <v>1945.72502750286</v>
      </c>
      <c r="I92" s="12">
        <v>9995.71694338477</v>
      </c>
      <c r="J92" s="12">
        <v>10240.454182614</v>
      </c>
      <c r="K92" s="12">
        <v>5939.7158395052</v>
      </c>
      <c r="L92" s="12">
        <v>12815.5396077144</v>
      </c>
      <c r="M92" s="12">
        <v>3254.59690150289</v>
      </c>
      <c r="N92" s="12">
        <v>1866.88140648889</v>
      </c>
      <c r="O92" s="12">
        <v>2394.63999436615</v>
      </c>
      <c r="P92" s="12">
        <v>0.0</v>
      </c>
      <c r="Q92" s="12">
        <v>2927.65691896164</v>
      </c>
      <c r="R92" s="12">
        <v>499.962363611801</v>
      </c>
      <c r="S92" s="12">
        <v>2904.22897453856</v>
      </c>
      <c r="T92" s="12">
        <v>3039.93539409247</v>
      </c>
      <c r="U92" s="12">
        <v>3805.58489840901</v>
      </c>
      <c r="V92" s="12">
        <v>4104.68786132032</v>
      </c>
      <c r="W92" s="12">
        <v>12822.0852259697</v>
      </c>
    </row>
    <row r="93">
      <c r="A93" s="8">
        <v>42948.0</v>
      </c>
      <c r="B93" s="9">
        <f>IFERROR(__xludf.DUMMYFUNCTION("""COMPUTED_VALUE"""),1656.0)</f>
        <v>1656</v>
      </c>
      <c r="C93" s="12">
        <v>1509.96772150308</v>
      </c>
      <c r="D93" s="12">
        <v>7515.99019837166</v>
      </c>
      <c r="E93" s="12">
        <v>1293.16687819504</v>
      </c>
      <c r="F93" s="12">
        <v>1068.58381364982</v>
      </c>
      <c r="G93" s="12">
        <v>2391.61540611342</v>
      </c>
      <c r="H93" s="12">
        <v>795.559267502865</v>
      </c>
      <c r="I93" s="12">
        <v>1373.6961391328</v>
      </c>
      <c r="J93" s="12">
        <v>1369.25841759325</v>
      </c>
      <c r="K93" s="12">
        <v>1605.63092690706</v>
      </c>
      <c r="L93" s="12">
        <v>8880.84037319987</v>
      </c>
      <c r="M93" s="12">
        <v>596.50920120971</v>
      </c>
      <c r="N93" s="12">
        <v>244.841437119466</v>
      </c>
      <c r="O93" s="12">
        <v>1766.78039779792</v>
      </c>
      <c r="P93" s="12">
        <v>350.083515332814</v>
      </c>
      <c r="Q93" s="12">
        <v>772.649443821529</v>
      </c>
      <c r="R93" s="12">
        <v>648.78000820673</v>
      </c>
      <c r="S93" s="12">
        <v>2413.94898468613</v>
      </c>
      <c r="T93" s="12">
        <v>1481.57095065918</v>
      </c>
      <c r="U93" s="12">
        <v>1766.08070127078</v>
      </c>
      <c r="V93" s="12">
        <v>893.653181010866</v>
      </c>
      <c r="W93" s="12">
        <v>1744.38304690818</v>
      </c>
    </row>
    <row r="94">
      <c r="A94" s="14">
        <v>42979.0</v>
      </c>
      <c r="B94" s="9">
        <f>IFERROR(__xludf.DUMMYFUNCTION("""COMPUTED_VALUE"""),915.0)</f>
        <v>915</v>
      </c>
      <c r="C94" s="12">
        <v>950.646517229621</v>
      </c>
      <c r="D94" s="12">
        <v>2290.17696799431</v>
      </c>
      <c r="E94" s="12">
        <v>856.80150736923</v>
      </c>
      <c r="F94" s="12">
        <v>138.496116601935</v>
      </c>
      <c r="G94" s="12">
        <v>998.727086788356</v>
      </c>
      <c r="H94" s="12">
        <v>727.762467502865</v>
      </c>
      <c r="I94" s="12">
        <v>895.944308108147</v>
      </c>
      <c r="J94" s="12">
        <v>2854.67490343552</v>
      </c>
      <c r="K94" s="12">
        <v>1257.5254227519</v>
      </c>
      <c r="L94" s="12">
        <v>1151.12998471521</v>
      </c>
      <c r="M94" s="12">
        <v>908.617322518835</v>
      </c>
      <c r="N94" s="12">
        <v>917.976761914545</v>
      </c>
      <c r="O94" s="12">
        <v>1077.15902304124</v>
      </c>
      <c r="P94" s="12">
        <v>10.0517721082728</v>
      </c>
      <c r="Q94" s="12">
        <v>817.703091993079</v>
      </c>
      <c r="R94" s="12">
        <v>8822.35083520721</v>
      </c>
      <c r="S94" s="12">
        <v>1800.24045314086</v>
      </c>
      <c r="T94" s="12">
        <v>3210.12411962481</v>
      </c>
      <c r="U94" s="12">
        <v>972.497498729301</v>
      </c>
      <c r="V94" s="12">
        <v>-1.66019887171248</v>
      </c>
      <c r="W94" s="12">
        <v>1128.22264724283</v>
      </c>
    </row>
    <row r="95">
      <c r="A95" s="14">
        <v>43009.0</v>
      </c>
      <c r="B95" s="9">
        <f>IFERROR(__xludf.DUMMYFUNCTION("""COMPUTED_VALUE"""),208.0)</f>
        <v>208</v>
      </c>
      <c r="C95" s="12">
        <v>80790.7884954489</v>
      </c>
      <c r="D95" s="12">
        <v>6513.21720337732</v>
      </c>
      <c r="E95" s="12">
        <v>1327.0</v>
      </c>
      <c r="F95" s="12">
        <v>223.872195848552</v>
      </c>
      <c r="G95" s="12">
        <v>155.0</v>
      </c>
      <c r="H95" s="12">
        <v>710.229667502865</v>
      </c>
      <c r="I95" s="12">
        <v>827.532470273374</v>
      </c>
      <c r="J95" s="12">
        <v>705.660099641394</v>
      </c>
      <c r="K95" s="12">
        <v>9273.0</v>
      </c>
      <c r="L95" s="12">
        <v>10519.2273965037</v>
      </c>
      <c r="M95" s="12">
        <v>1252.07571183832</v>
      </c>
      <c r="N95" s="12">
        <v>1234.31212376977</v>
      </c>
      <c r="O95" s="12">
        <v>15055.7773060606</v>
      </c>
      <c r="P95" s="12">
        <v>3.23957715537709</v>
      </c>
      <c r="Q95" s="12">
        <v>962.811381599311</v>
      </c>
      <c r="R95" s="12">
        <v>3574.22327759544</v>
      </c>
      <c r="S95" s="12">
        <v>692.041156382599</v>
      </c>
      <c r="T95" s="12">
        <v>964.166931679418</v>
      </c>
      <c r="U95" s="12">
        <v>1909.58853039342</v>
      </c>
      <c r="V95" s="12">
        <v>257.892601446712</v>
      </c>
      <c r="W95" s="12">
        <v>1006.98773531864</v>
      </c>
    </row>
    <row r="96">
      <c r="A96" s="14">
        <v>43040.0</v>
      </c>
      <c r="B96" s="9">
        <f>IFERROR(__xludf.DUMMYFUNCTION("""COMPUTED_VALUE"""),376.0)</f>
        <v>376</v>
      </c>
      <c r="C96" s="12">
        <v>3568.40292470485</v>
      </c>
      <c r="D96" s="12">
        <v>18469.2571596656</v>
      </c>
      <c r="E96" s="12">
        <v>9522.1336725547</v>
      </c>
      <c r="F96" s="12">
        <v>11471.3368279347</v>
      </c>
      <c r="G96" s="12">
        <v>663.507342349817</v>
      </c>
      <c r="H96" s="12">
        <v>372.616227502865</v>
      </c>
      <c r="I96" s="12">
        <v>11632.0252680041</v>
      </c>
      <c r="J96" s="12">
        <v>7538.41702999757</v>
      </c>
      <c r="K96" s="12">
        <v>16441.4593937358</v>
      </c>
      <c r="L96" s="12">
        <v>13711.2776320646</v>
      </c>
      <c r="M96" s="12">
        <v>13669.9350899773</v>
      </c>
      <c r="N96" s="12">
        <v>13702.5004591036</v>
      </c>
      <c r="O96" s="12">
        <v>7042.02753373824</v>
      </c>
      <c r="P96" s="12">
        <v>0.0</v>
      </c>
      <c r="Q96" s="12">
        <v>7983.34988730858</v>
      </c>
      <c r="R96" s="12">
        <v>34773.2336496175</v>
      </c>
      <c r="S96" s="12">
        <v>5189.02083847718</v>
      </c>
      <c r="T96" s="12">
        <v>2713.4357892811</v>
      </c>
      <c r="U96" s="12">
        <v>14373.5984076705</v>
      </c>
      <c r="V96" s="12">
        <v>680.420152643486</v>
      </c>
      <c r="W96" s="12">
        <v>44215.0800163813</v>
      </c>
    </row>
    <row r="97">
      <c r="A97" s="14">
        <v>43070.0</v>
      </c>
      <c r="B97" s="9">
        <f>IFERROR(__xludf.DUMMYFUNCTION("""COMPUTED_VALUE"""),132.0)</f>
        <v>132</v>
      </c>
      <c r="C97" s="12">
        <v>3734.6217422218</v>
      </c>
      <c r="D97" s="12">
        <v>6806.82252701761</v>
      </c>
      <c r="E97" s="12">
        <v>2202.9751941311</v>
      </c>
      <c r="F97" s="12">
        <v>932.698671791966</v>
      </c>
      <c r="G97" s="12">
        <v>1217.7231007854</v>
      </c>
      <c r="H97" s="12">
        <v>268.487801657114</v>
      </c>
      <c r="I97" s="12">
        <v>1079.57939215268</v>
      </c>
      <c r="J97" s="12">
        <v>245.703703703704</v>
      </c>
      <c r="K97" s="12">
        <v>1842.80752950907</v>
      </c>
      <c r="L97" s="12">
        <v>4587.34494197028</v>
      </c>
      <c r="M97" s="12">
        <v>4311.13171070513</v>
      </c>
      <c r="N97" s="12">
        <v>23412.7037037037</v>
      </c>
      <c r="O97" s="12">
        <v>1788.45581915061</v>
      </c>
      <c r="P97" s="12">
        <v>0.0</v>
      </c>
      <c r="Q97" s="12">
        <v>2370.60965107304</v>
      </c>
      <c r="R97" s="12">
        <v>14300.6327919426</v>
      </c>
      <c r="S97" s="12">
        <v>1682.27698338443</v>
      </c>
      <c r="T97" s="12">
        <v>4643.47233835099</v>
      </c>
      <c r="U97" s="12">
        <v>27580.1636979146</v>
      </c>
      <c r="V97" s="12">
        <v>23486.7107944815</v>
      </c>
      <c r="W97" s="12">
        <v>25402.0053594471</v>
      </c>
    </row>
    <row r="98">
      <c r="A98" s="19">
        <v>43101.0</v>
      </c>
      <c r="B98" s="9">
        <f>IFERROR(__xludf.DUMMYFUNCTION("""COMPUTED_VALUE"""),2732.0)</f>
        <v>2732</v>
      </c>
      <c r="C98" s="12">
        <v>209010.158871464</v>
      </c>
      <c r="D98" s="12">
        <v>37222.6222001487</v>
      </c>
      <c r="E98" s="12">
        <v>3648.96237828007</v>
      </c>
      <c r="F98" s="12">
        <v>55790.1191636972</v>
      </c>
      <c r="G98" s="12">
        <v>32032.7175675465</v>
      </c>
      <c r="H98" s="12">
        <v>443.066787502865</v>
      </c>
      <c r="I98" s="12">
        <v>14115.8265862685</v>
      </c>
      <c r="J98" s="12">
        <v>32004.3047839506</v>
      </c>
      <c r="K98" s="12">
        <v>1104.58958560228</v>
      </c>
      <c r="L98" s="12">
        <v>43912.1681700613</v>
      </c>
      <c r="M98" s="12">
        <v>12235.0455346146</v>
      </c>
      <c r="N98" s="12">
        <v>49923.8649983474</v>
      </c>
      <c r="O98" s="12">
        <v>11263.7461961731</v>
      </c>
      <c r="P98" s="12">
        <v>0.0</v>
      </c>
      <c r="Q98" s="12">
        <v>4219.48218153545</v>
      </c>
      <c r="R98" s="12">
        <v>4473.61005688525</v>
      </c>
      <c r="S98" s="12">
        <v>2743.20374185213</v>
      </c>
      <c r="T98" s="12">
        <v>5941.7061369081</v>
      </c>
      <c r="U98" s="12">
        <v>16342.8941252286</v>
      </c>
      <c r="V98" s="12">
        <v>4143.00820595771</v>
      </c>
      <c r="W98" s="12">
        <v>99895.5678228608</v>
      </c>
    </row>
    <row r="99">
      <c r="A99" s="19">
        <v>43132.0</v>
      </c>
      <c r="B99" s="9">
        <f>IFERROR(__xludf.DUMMYFUNCTION("""COMPUTED_VALUE"""),9624.0)</f>
        <v>9624</v>
      </c>
      <c r="C99" s="12">
        <v>47739.5261931583</v>
      </c>
      <c r="D99" s="12">
        <v>6521.53542171598</v>
      </c>
      <c r="E99" s="12">
        <v>2087.84308140248</v>
      </c>
      <c r="F99" s="12">
        <v>11835.3906098946</v>
      </c>
      <c r="G99" s="12">
        <v>5111.16117503824</v>
      </c>
      <c r="H99" s="12">
        <v>268.487801657114</v>
      </c>
      <c r="I99" s="12">
        <v>6703.62524446614</v>
      </c>
      <c r="J99" s="12">
        <v>4741.27339837721</v>
      </c>
      <c r="K99" s="12">
        <v>822.746867954731</v>
      </c>
      <c r="L99" s="12">
        <v>10902.3312968975</v>
      </c>
      <c r="M99" s="12">
        <v>6543.67890280111</v>
      </c>
      <c r="N99" s="12">
        <v>11305.1632526664</v>
      </c>
      <c r="O99" s="12">
        <v>7899.57505174858</v>
      </c>
      <c r="P99" s="12">
        <v>118441.186760619</v>
      </c>
      <c r="Q99" s="12">
        <v>3356.47456626627</v>
      </c>
      <c r="R99" s="12">
        <v>27603.1050251241</v>
      </c>
      <c r="S99" s="12">
        <v>1869.01784023389</v>
      </c>
      <c r="T99" s="12">
        <v>2531.34391279415</v>
      </c>
      <c r="U99" s="12">
        <v>8079.67317520151</v>
      </c>
      <c r="V99" s="12">
        <v>1616.80030580607</v>
      </c>
      <c r="W99" s="12">
        <v>9868.63942470345</v>
      </c>
    </row>
    <row r="100">
      <c r="A100" s="15">
        <v>43160.0</v>
      </c>
      <c r="B100" s="9">
        <f>IFERROR(__xludf.DUMMYFUNCTION("""COMPUTED_VALUE"""),157.0)</f>
        <v>157</v>
      </c>
      <c r="C100" s="12">
        <v>235554.370147681</v>
      </c>
      <c r="D100" s="12">
        <v>15093.6634862532</v>
      </c>
      <c r="E100" s="12">
        <v>2224.0</v>
      </c>
      <c r="F100" s="12">
        <v>25107.9594527094</v>
      </c>
      <c r="G100" s="12">
        <v>20371.4095744388</v>
      </c>
      <c r="H100" s="12">
        <v>268.487801657114</v>
      </c>
      <c r="I100" s="12">
        <v>1160.99838545454</v>
      </c>
      <c r="J100" s="12">
        <v>17102.0</v>
      </c>
      <c r="K100" s="12">
        <v>3106.0</v>
      </c>
      <c r="L100" s="12">
        <v>19352.9715355548</v>
      </c>
      <c r="M100" s="12">
        <v>7269.56166863871</v>
      </c>
      <c r="N100" s="12">
        <v>22417.5477618725</v>
      </c>
      <c r="O100" s="12">
        <v>10298.214012959</v>
      </c>
      <c r="P100" s="12">
        <v>3811.48225278819</v>
      </c>
      <c r="Q100" s="12">
        <v>4684.45915146768</v>
      </c>
      <c r="R100" s="12">
        <v>13257.4903981658</v>
      </c>
      <c r="S100" s="12">
        <v>7151.97096561312</v>
      </c>
      <c r="T100" s="12">
        <v>9168.42336484174</v>
      </c>
      <c r="U100" s="12">
        <v>2409.60292792501</v>
      </c>
      <c r="V100" s="12">
        <v>5237.01572282219</v>
      </c>
      <c r="W100" s="12">
        <v>1634.67552976756</v>
      </c>
    </row>
    <row r="101">
      <c r="A101" s="15">
        <v>43191.0</v>
      </c>
      <c r="B101" s="18">
        <f>IFERROR(__xludf.DUMMYFUNCTION("""COMPUTED_VALUE"""),5359.0)</f>
        <v>5359</v>
      </c>
      <c r="C101" s="12">
        <v>49421.0143676365</v>
      </c>
      <c r="D101" s="12">
        <v>485.977564142133</v>
      </c>
      <c r="E101" s="12">
        <v>7319.24166097102</v>
      </c>
      <c r="F101" s="12">
        <v>9452.88606523281</v>
      </c>
      <c r="G101" s="12">
        <v>4950.42177166084</v>
      </c>
      <c r="H101" s="12">
        <v>277.577187502865</v>
      </c>
      <c r="I101" s="12">
        <v>9492.01194329199</v>
      </c>
      <c r="J101" s="12">
        <v>8203.20386857836</v>
      </c>
      <c r="K101" s="12">
        <v>1388.67029285331</v>
      </c>
      <c r="L101" s="12">
        <v>10211.9013590312</v>
      </c>
      <c r="M101" s="12">
        <v>9762.81474762257</v>
      </c>
      <c r="N101" s="12">
        <v>9761.31601326406</v>
      </c>
      <c r="O101" s="12">
        <v>7111.80833812188</v>
      </c>
      <c r="P101" s="12">
        <v>1.66015714037237</v>
      </c>
      <c r="Q101" s="12">
        <v>5438.75159567223</v>
      </c>
      <c r="R101" s="12">
        <v>2082.24561847031</v>
      </c>
      <c r="S101" s="12">
        <v>11940.2937308989</v>
      </c>
      <c r="T101" s="12">
        <v>3690.71464589561</v>
      </c>
      <c r="U101" s="12">
        <v>9922.54020867333</v>
      </c>
      <c r="V101" s="12">
        <v>4372.1729173175</v>
      </c>
      <c r="W101" s="12">
        <v>7914.60569966601</v>
      </c>
    </row>
    <row r="102">
      <c r="A102" s="48">
        <v>43221.0</v>
      </c>
      <c r="B102" s="18">
        <f>IFERROR(__xludf.DUMMYFUNCTION("""COMPUTED_VALUE"""),36677.0)</f>
        <v>36677</v>
      </c>
      <c r="C102" s="12">
        <v>321359.577231959</v>
      </c>
      <c r="D102" s="12">
        <v>748.656285247473</v>
      </c>
      <c r="E102" s="12">
        <v>68779.3073733929</v>
      </c>
      <c r="F102" s="12">
        <v>432200.339171972</v>
      </c>
      <c r="G102" s="12">
        <v>3188.91018293086</v>
      </c>
      <c r="H102" s="12">
        <v>163466.450310254</v>
      </c>
      <c r="I102" s="12">
        <v>437359.533614781</v>
      </c>
      <c r="J102" s="12">
        <v>21285.0799347084</v>
      </c>
      <c r="K102" s="12">
        <v>1181.0</v>
      </c>
      <c r="L102" s="12">
        <v>29991.3557039739</v>
      </c>
      <c r="M102" s="12">
        <v>29420.5300081738</v>
      </c>
      <c r="N102" s="12">
        <v>29253.0674515917</v>
      </c>
      <c r="O102" s="12">
        <v>44944.0391701688</v>
      </c>
      <c r="P102" s="12">
        <v>19.1677275361479</v>
      </c>
      <c r="Q102" s="12">
        <v>13837.5248240755</v>
      </c>
      <c r="R102" s="12">
        <v>26762.5934630749</v>
      </c>
      <c r="S102" s="12">
        <v>4624.25746457936</v>
      </c>
      <c r="T102" s="12">
        <v>399.505586727226</v>
      </c>
      <c r="U102" s="12">
        <v>33740.5285150715</v>
      </c>
      <c r="V102" s="12">
        <v>4920.28741864394</v>
      </c>
      <c r="W102" s="12">
        <v>30021.9740372061</v>
      </c>
    </row>
    <row r="103">
      <c r="A103" s="15">
        <v>43252.0</v>
      </c>
      <c r="B103" s="18">
        <f>IFERROR(__xludf.DUMMYFUNCTION("""COMPUTED_VALUE"""),487.0)</f>
        <v>487</v>
      </c>
      <c r="C103" s="7">
        <v>789728.447949247</v>
      </c>
      <c r="D103" s="7">
        <v>3577.91329830314</v>
      </c>
      <c r="E103" s="7">
        <v>161548.919497367</v>
      </c>
      <c r="F103" s="7">
        <v>92861.5617357716</v>
      </c>
      <c r="G103" s="7">
        <v>6146.57367180751</v>
      </c>
      <c r="H103" s="7">
        <v>2424.99696539686</v>
      </c>
      <c r="I103" s="7">
        <v>86257.3030223544</v>
      </c>
      <c r="J103" s="7">
        <v>115710.999092559</v>
      </c>
      <c r="K103" s="7">
        <v>28265.1067014086</v>
      </c>
      <c r="L103" s="7">
        <v>126396.779552315</v>
      </c>
      <c r="M103" s="7">
        <v>124457.03582767</v>
      </c>
      <c r="N103" s="7">
        <v>124372.789084812</v>
      </c>
      <c r="O103" s="7">
        <v>239399.88953829</v>
      </c>
      <c r="P103" s="7">
        <v>628.464664866815</v>
      </c>
      <c r="Q103" s="7">
        <v>193873.819885766</v>
      </c>
      <c r="R103" s="7">
        <v>1041144.52352951</v>
      </c>
      <c r="S103" s="7">
        <v>314285.944537412</v>
      </c>
      <c r="T103" s="7">
        <v>53671.5952034345</v>
      </c>
      <c r="U103" s="7">
        <v>127527.296929734</v>
      </c>
      <c r="V103" s="7">
        <v>30948.6875551475</v>
      </c>
      <c r="W103" s="7">
        <v>34109.0054728691</v>
      </c>
    </row>
    <row r="104">
      <c r="A104" s="15">
        <v>43282.0</v>
      </c>
      <c r="B104" s="18">
        <f>IFERROR(__xludf.DUMMYFUNCTION("""COMPUTED_VALUE"""),405.0)</f>
        <v>405</v>
      </c>
      <c r="C104" s="7">
        <v>187243.071984251</v>
      </c>
      <c r="D104" s="7">
        <v>3124.38069473963</v>
      </c>
      <c r="E104" s="7">
        <v>9663.525703149</v>
      </c>
      <c r="F104" s="7">
        <v>16221.4969964432</v>
      </c>
      <c r="G104" s="7">
        <v>6998.68263977092</v>
      </c>
      <c r="H104" s="7">
        <v>5690.44537849223</v>
      </c>
      <c r="I104" s="7">
        <v>10507.4490557953</v>
      </c>
      <c r="J104" s="7">
        <v>9838.14728691932</v>
      </c>
      <c r="K104" s="7">
        <v>970.752851247787</v>
      </c>
      <c r="L104" s="7">
        <v>15242.2074814048</v>
      </c>
      <c r="M104" s="7">
        <v>11523.0384349808</v>
      </c>
      <c r="N104" s="7">
        <v>11545.5637357518</v>
      </c>
      <c r="O104" s="7">
        <v>14035.5032637577</v>
      </c>
      <c r="P104" s="7">
        <v>26.3097519955171</v>
      </c>
      <c r="Q104" s="7">
        <v>12561.0013454865</v>
      </c>
      <c r="R104" s="7">
        <v>6614.49543020978</v>
      </c>
      <c r="S104" s="7">
        <v>6817.30148572564</v>
      </c>
      <c r="T104" s="7">
        <v>4756.05474717302</v>
      </c>
      <c r="U104" s="7">
        <v>14124.3753728787</v>
      </c>
      <c r="V104" s="7">
        <v>3552.16799212437</v>
      </c>
      <c r="W104" s="7">
        <v>35713.8503083348</v>
      </c>
    </row>
    <row r="105">
      <c r="A105" s="17">
        <v>43313.0</v>
      </c>
      <c r="B105" s="18"/>
      <c r="C105" s="7">
        <v>14590.6995140063</v>
      </c>
      <c r="D105" s="7">
        <v>2378.60495908265</v>
      </c>
      <c r="E105" s="7">
        <v>24664.7109118781</v>
      </c>
      <c r="F105" s="7">
        <v>10349.4994858282</v>
      </c>
      <c r="G105" s="7">
        <v>7896.60814793194</v>
      </c>
      <c r="H105" s="7">
        <v>3272.30911205548</v>
      </c>
      <c r="I105" s="7">
        <v>6201.18017466709</v>
      </c>
      <c r="J105" s="7">
        <v>15977.6497026616</v>
      </c>
      <c r="K105" s="7">
        <v>9919.04202859211</v>
      </c>
      <c r="L105" s="7">
        <v>19839.349877312</v>
      </c>
      <c r="M105" s="7">
        <v>17597.7140022997</v>
      </c>
      <c r="N105" s="7">
        <v>17545.1312664933</v>
      </c>
      <c r="O105" s="7">
        <v>10271.4573800718</v>
      </c>
      <c r="P105" s="7">
        <v>31.6076671141025</v>
      </c>
      <c r="Q105" s="7">
        <v>17692.9379870302</v>
      </c>
      <c r="R105" s="7">
        <v>2195.38513393097</v>
      </c>
      <c r="S105" s="7">
        <v>42688.5293431356</v>
      </c>
      <c r="T105" s="7">
        <v>10744.7503071954</v>
      </c>
      <c r="U105" s="7">
        <v>18532.1549223137</v>
      </c>
      <c r="V105" s="7">
        <v>3975.35132948997</v>
      </c>
      <c r="W105" s="7">
        <v>23994.1101496879</v>
      </c>
    </row>
    <row r="106">
      <c r="A106" s="15">
        <v>43344.0</v>
      </c>
      <c r="B106" s="18"/>
    </row>
    <row r="107">
      <c r="A107" s="15">
        <v>43374.0</v>
      </c>
      <c r="B107" s="18"/>
    </row>
    <row r="108">
      <c r="A108" s="15">
        <v>43405.0</v>
      </c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328</v>
      </c>
      <c r="D1" s="3" t="s">
        <v>329</v>
      </c>
      <c r="E1" s="3" t="s">
        <v>330</v>
      </c>
      <c r="F1" s="3" t="s">
        <v>331</v>
      </c>
      <c r="G1" s="3" t="s">
        <v>332</v>
      </c>
      <c r="H1" s="3" t="s">
        <v>333</v>
      </c>
      <c r="I1" s="3" t="s">
        <v>334</v>
      </c>
      <c r="J1" s="3" t="s">
        <v>335</v>
      </c>
      <c r="K1" s="3" t="s">
        <v>336</v>
      </c>
      <c r="L1" s="4" t="s">
        <v>337</v>
      </c>
      <c r="M1" s="4" t="s">
        <v>338</v>
      </c>
      <c r="N1" s="4" t="s">
        <v>339</v>
      </c>
      <c r="O1" s="4" t="s">
        <v>340</v>
      </c>
      <c r="P1" s="4" t="s">
        <v>341</v>
      </c>
      <c r="Q1" s="4" t="s">
        <v>342</v>
      </c>
      <c r="R1" s="3" t="s">
        <v>343</v>
      </c>
      <c r="S1" s="4" t="s">
        <v>344</v>
      </c>
      <c r="T1" s="4" t="s">
        <v>345</v>
      </c>
      <c r="U1" s="5" t="s">
        <v>346</v>
      </c>
      <c r="V1" s="6" t="s">
        <v>347</v>
      </c>
      <c r="W1" s="7" t="s">
        <v>348</v>
      </c>
      <c r="X1" s="7" t="s">
        <v>349</v>
      </c>
    </row>
    <row r="2">
      <c r="A2" s="8">
        <v>40179.0</v>
      </c>
      <c r="B2" s="9">
        <f>IFERROR(__xludf.DUMMYFUNCTION("IMPORTRANGE(""https://docs.google.com/spreadsheets/d/1oPTPmoJ9phtMOkp-nMB7WHnPESomLzqUj9t0gcE9bYA"",""Current Region!R2:R150"")"),57.0)</f>
        <v>57</v>
      </c>
      <c r="C2" s="10" t="s">
        <v>26</v>
      </c>
      <c r="D2" s="10" t="s">
        <v>26</v>
      </c>
      <c r="E2" s="10" t="s">
        <v>26</v>
      </c>
      <c r="F2" s="10" t="s">
        <v>26</v>
      </c>
      <c r="G2" s="10" t="s">
        <v>26</v>
      </c>
      <c r="H2" s="10" t="s">
        <v>26</v>
      </c>
      <c r="I2" s="10" t="s">
        <v>26</v>
      </c>
      <c r="J2" s="10" t="s">
        <v>26</v>
      </c>
      <c r="K2" s="10" t="s">
        <v>26</v>
      </c>
      <c r="L2" s="11" t="s">
        <v>26</v>
      </c>
      <c r="M2" s="10" t="s">
        <v>26</v>
      </c>
      <c r="N2" s="10" t="s">
        <v>26</v>
      </c>
      <c r="O2" s="10" t="s">
        <v>26</v>
      </c>
      <c r="P2" s="10" t="s">
        <v>26</v>
      </c>
      <c r="Q2" s="10" t="s">
        <v>26</v>
      </c>
      <c r="R2" s="10" t="s">
        <v>26</v>
      </c>
      <c r="S2" s="10" t="s">
        <v>26</v>
      </c>
      <c r="T2" s="10" t="s">
        <v>26</v>
      </c>
      <c r="U2" s="10" t="s">
        <v>26</v>
      </c>
      <c r="V2" s="7" t="s">
        <v>26</v>
      </c>
      <c r="W2" s="7" t="s">
        <v>26</v>
      </c>
      <c r="X2" s="7" t="s">
        <v>26</v>
      </c>
    </row>
    <row r="3">
      <c r="A3" s="8">
        <v>40210.0</v>
      </c>
      <c r="B3" s="9">
        <f>IFERROR(__xludf.DUMMYFUNCTION("""COMPUTED_VALUE"""),252.0)</f>
        <v>252</v>
      </c>
      <c r="C3" s="10" t="s">
        <v>26</v>
      </c>
      <c r="D3" s="10" t="s">
        <v>26</v>
      </c>
      <c r="E3" s="10" t="s">
        <v>26</v>
      </c>
      <c r="F3" s="10" t="s">
        <v>26</v>
      </c>
      <c r="G3" s="10" t="s">
        <v>26</v>
      </c>
      <c r="H3" s="10" t="s">
        <v>26</v>
      </c>
      <c r="I3" s="10" t="s">
        <v>26</v>
      </c>
      <c r="J3" s="10" t="s">
        <v>26</v>
      </c>
      <c r="K3" s="10" t="s">
        <v>26</v>
      </c>
      <c r="L3" s="11" t="s">
        <v>26</v>
      </c>
      <c r="M3" s="10" t="s">
        <v>26</v>
      </c>
      <c r="N3" s="10" t="s">
        <v>26</v>
      </c>
      <c r="O3" s="10" t="s">
        <v>26</v>
      </c>
      <c r="P3" s="10" t="s">
        <v>26</v>
      </c>
      <c r="Q3" s="10" t="s">
        <v>26</v>
      </c>
      <c r="R3" s="10" t="s">
        <v>26</v>
      </c>
      <c r="S3" s="10" t="s">
        <v>26</v>
      </c>
      <c r="T3" s="10" t="s">
        <v>26</v>
      </c>
      <c r="U3" s="10" t="s">
        <v>26</v>
      </c>
      <c r="V3" s="7" t="s">
        <v>26</v>
      </c>
      <c r="W3" s="7" t="s">
        <v>26</v>
      </c>
      <c r="X3" s="7" t="s">
        <v>26</v>
      </c>
    </row>
    <row r="4">
      <c r="A4" s="8">
        <v>40238.0</v>
      </c>
      <c r="B4" s="9">
        <f>IFERROR(__xludf.DUMMYFUNCTION("""COMPUTED_VALUE"""),66.0)</f>
        <v>66</v>
      </c>
      <c r="C4" s="10" t="s">
        <v>26</v>
      </c>
      <c r="D4" s="10" t="s">
        <v>26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26</v>
      </c>
      <c r="J4" s="10" t="s">
        <v>26</v>
      </c>
      <c r="K4" s="10" t="s">
        <v>26</v>
      </c>
      <c r="L4" s="11" t="s">
        <v>26</v>
      </c>
      <c r="M4" s="10" t="s">
        <v>26</v>
      </c>
      <c r="N4" s="10" t="s">
        <v>26</v>
      </c>
      <c r="O4" s="10" t="s">
        <v>26</v>
      </c>
      <c r="P4" s="10" t="s">
        <v>26</v>
      </c>
      <c r="Q4" s="10" t="s">
        <v>26</v>
      </c>
      <c r="R4" s="10" t="s">
        <v>26</v>
      </c>
      <c r="S4" s="10" t="s">
        <v>26</v>
      </c>
      <c r="T4" s="10" t="s">
        <v>26</v>
      </c>
      <c r="U4" s="10" t="s">
        <v>26</v>
      </c>
      <c r="V4" s="7" t="s">
        <v>26</v>
      </c>
      <c r="W4" s="7" t="s">
        <v>26</v>
      </c>
      <c r="X4" s="7" t="s">
        <v>26</v>
      </c>
    </row>
    <row r="5">
      <c r="A5" s="8">
        <v>40269.0</v>
      </c>
      <c r="B5" s="9">
        <f>IFERROR(__xludf.DUMMYFUNCTION("""COMPUTED_VALUE"""),221.0)</f>
        <v>221</v>
      </c>
      <c r="C5" s="10" t="s">
        <v>26</v>
      </c>
      <c r="D5" s="10" t="s">
        <v>26</v>
      </c>
      <c r="E5" s="10" t="s">
        <v>26</v>
      </c>
      <c r="F5" s="10" t="s">
        <v>26</v>
      </c>
      <c r="G5" s="10" t="s">
        <v>26</v>
      </c>
      <c r="H5" s="10" t="s">
        <v>26</v>
      </c>
      <c r="I5" s="10" t="s">
        <v>26</v>
      </c>
      <c r="J5" s="10" t="s">
        <v>26</v>
      </c>
      <c r="K5" s="10" t="s">
        <v>26</v>
      </c>
      <c r="L5" s="11" t="s">
        <v>26</v>
      </c>
      <c r="M5" s="10" t="s">
        <v>26</v>
      </c>
      <c r="N5" s="10" t="s">
        <v>26</v>
      </c>
      <c r="O5" s="10" t="s">
        <v>26</v>
      </c>
      <c r="P5" s="10" t="s">
        <v>26</v>
      </c>
      <c r="Q5" s="10" t="s">
        <v>26</v>
      </c>
      <c r="R5" s="10" t="s">
        <v>26</v>
      </c>
      <c r="S5" s="10" t="s">
        <v>26</v>
      </c>
      <c r="T5" s="10" t="s">
        <v>26</v>
      </c>
      <c r="U5" s="10" t="s">
        <v>26</v>
      </c>
      <c r="V5" s="7" t="s">
        <v>26</v>
      </c>
      <c r="W5" s="7" t="s">
        <v>26</v>
      </c>
      <c r="X5" s="7" t="s">
        <v>26</v>
      </c>
    </row>
    <row r="6">
      <c r="A6" s="8">
        <v>40299.0</v>
      </c>
      <c r="B6" s="9">
        <f>IFERROR(__xludf.DUMMYFUNCTION("""COMPUTED_VALUE"""),345.0)</f>
        <v>345</v>
      </c>
      <c r="C6" s="10" t="s">
        <v>26</v>
      </c>
      <c r="D6" s="10" t="s">
        <v>26</v>
      </c>
      <c r="E6" s="10" t="s">
        <v>26</v>
      </c>
      <c r="F6" s="10" t="s">
        <v>26</v>
      </c>
      <c r="G6" s="10" t="s">
        <v>26</v>
      </c>
      <c r="H6" s="10" t="s">
        <v>26</v>
      </c>
      <c r="I6" s="10" t="s">
        <v>26</v>
      </c>
      <c r="J6" s="10" t="s">
        <v>26</v>
      </c>
      <c r="K6" s="10" t="s">
        <v>26</v>
      </c>
      <c r="L6" s="11" t="s">
        <v>26</v>
      </c>
      <c r="M6" s="10" t="s">
        <v>26</v>
      </c>
      <c r="N6" s="10" t="s">
        <v>26</v>
      </c>
      <c r="O6" s="10" t="s">
        <v>26</v>
      </c>
      <c r="P6" s="10" t="s">
        <v>26</v>
      </c>
      <c r="Q6" s="10" t="s">
        <v>26</v>
      </c>
      <c r="R6" s="10" t="s">
        <v>26</v>
      </c>
      <c r="S6" s="10" t="s">
        <v>26</v>
      </c>
      <c r="T6" s="10" t="s">
        <v>26</v>
      </c>
      <c r="U6" s="10" t="s">
        <v>26</v>
      </c>
      <c r="V6" s="7" t="s">
        <v>26</v>
      </c>
      <c r="W6" s="7" t="s">
        <v>26</v>
      </c>
      <c r="X6" s="7" t="s">
        <v>26</v>
      </c>
    </row>
    <row r="7">
      <c r="A7" s="8">
        <v>40330.0</v>
      </c>
      <c r="B7" s="9">
        <f>IFERROR(__xludf.DUMMYFUNCTION("""COMPUTED_VALUE"""),525.0)</f>
        <v>525</v>
      </c>
      <c r="C7" s="10" t="s">
        <v>26</v>
      </c>
      <c r="D7" s="10" t="s">
        <v>26</v>
      </c>
      <c r="E7" s="10" t="s">
        <v>26</v>
      </c>
      <c r="F7" s="10" t="s">
        <v>26</v>
      </c>
      <c r="G7" s="10" t="s">
        <v>26</v>
      </c>
      <c r="H7" s="10" t="s">
        <v>26</v>
      </c>
      <c r="I7" s="10" t="s">
        <v>26</v>
      </c>
      <c r="J7" s="10" t="s">
        <v>26</v>
      </c>
      <c r="K7" s="10" t="s">
        <v>26</v>
      </c>
      <c r="L7" s="11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  <c r="R7" s="10" t="s">
        <v>26</v>
      </c>
      <c r="S7" s="10" t="s">
        <v>26</v>
      </c>
      <c r="T7" s="10" t="s">
        <v>26</v>
      </c>
      <c r="U7" s="10" t="s">
        <v>26</v>
      </c>
      <c r="V7" s="7" t="s">
        <v>26</v>
      </c>
      <c r="W7" s="7" t="s">
        <v>26</v>
      </c>
      <c r="X7" s="7" t="s">
        <v>26</v>
      </c>
    </row>
    <row r="8">
      <c r="A8" s="8">
        <v>40360.0</v>
      </c>
      <c r="B8" s="9">
        <f>IFERROR(__xludf.DUMMYFUNCTION("""COMPUTED_VALUE"""),234.0)</f>
        <v>234</v>
      </c>
      <c r="C8" s="10" t="s">
        <v>26</v>
      </c>
      <c r="D8" s="10" t="s">
        <v>26</v>
      </c>
      <c r="E8" s="10" t="s">
        <v>26</v>
      </c>
      <c r="F8" s="10" t="s">
        <v>26</v>
      </c>
      <c r="G8" s="10" t="s">
        <v>26</v>
      </c>
      <c r="H8" s="10" t="s">
        <v>26</v>
      </c>
      <c r="I8" s="10" t="s">
        <v>26</v>
      </c>
      <c r="J8" s="10" t="s">
        <v>26</v>
      </c>
      <c r="K8" s="10" t="s">
        <v>26</v>
      </c>
      <c r="L8" s="11" t="s">
        <v>26</v>
      </c>
      <c r="M8" s="10" t="s">
        <v>26</v>
      </c>
      <c r="N8" s="10" t="s">
        <v>26</v>
      </c>
      <c r="O8" s="10" t="s">
        <v>26</v>
      </c>
      <c r="P8" s="10" t="s">
        <v>26</v>
      </c>
      <c r="Q8" s="10" t="s">
        <v>26</v>
      </c>
      <c r="R8" s="10" t="s">
        <v>26</v>
      </c>
      <c r="S8" s="10" t="s">
        <v>26</v>
      </c>
      <c r="T8" s="10" t="s">
        <v>26</v>
      </c>
      <c r="U8" s="10" t="s">
        <v>26</v>
      </c>
      <c r="V8" s="7" t="s">
        <v>26</v>
      </c>
      <c r="W8" s="7" t="s">
        <v>26</v>
      </c>
      <c r="X8" s="7" t="s">
        <v>26</v>
      </c>
    </row>
    <row r="9">
      <c r="A9" s="8">
        <v>40391.0</v>
      </c>
      <c r="B9" s="9">
        <f>IFERROR(__xludf.DUMMYFUNCTION("""COMPUTED_VALUE"""),259.0)</f>
        <v>259</v>
      </c>
      <c r="C9" s="10" t="s">
        <v>26</v>
      </c>
      <c r="D9" s="10" t="s">
        <v>26</v>
      </c>
      <c r="E9" s="10" t="s">
        <v>26</v>
      </c>
      <c r="F9" s="10" t="s">
        <v>26</v>
      </c>
      <c r="G9" s="10" t="s">
        <v>26</v>
      </c>
      <c r="H9" s="10" t="s">
        <v>26</v>
      </c>
      <c r="I9" s="10" t="s">
        <v>26</v>
      </c>
      <c r="J9" s="10" t="s">
        <v>26</v>
      </c>
      <c r="K9" s="10" t="s">
        <v>26</v>
      </c>
      <c r="L9" s="11" t="s">
        <v>26</v>
      </c>
      <c r="M9" s="10" t="s">
        <v>26</v>
      </c>
      <c r="N9" s="10" t="s">
        <v>26</v>
      </c>
      <c r="O9" s="10" t="s">
        <v>26</v>
      </c>
      <c r="P9" s="10" t="s">
        <v>26</v>
      </c>
      <c r="Q9" s="10" t="s">
        <v>26</v>
      </c>
      <c r="R9" s="10" t="s">
        <v>26</v>
      </c>
      <c r="S9" s="10" t="s">
        <v>26</v>
      </c>
      <c r="T9" s="10" t="s">
        <v>26</v>
      </c>
      <c r="U9" s="10" t="s">
        <v>26</v>
      </c>
      <c r="V9" s="7" t="s">
        <v>26</v>
      </c>
      <c r="W9" s="7" t="s">
        <v>26</v>
      </c>
      <c r="X9" s="7" t="s">
        <v>26</v>
      </c>
    </row>
    <row r="10">
      <c r="A10" s="8">
        <v>40422.0</v>
      </c>
      <c r="B10" s="9">
        <f>IFERROR(__xludf.DUMMYFUNCTION("""COMPUTED_VALUE"""),38.0)</f>
        <v>38</v>
      </c>
      <c r="C10" s="10" t="s">
        <v>26</v>
      </c>
      <c r="D10" s="10" t="s">
        <v>26</v>
      </c>
      <c r="E10" s="10" t="s">
        <v>26</v>
      </c>
      <c r="F10" s="10" t="s">
        <v>26</v>
      </c>
      <c r="G10" s="10" t="s">
        <v>26</v>
      </c>
      <c r="H10" s="10" t="s">
        <v>26</v>
      </c>
      <c r="I10" s="10" t="s">
        <v>26</v>
      </c>
      <c r="J10" s="10" t="s">
        <v>26</v>
      </c>
      <c r="K10" s="10" t="s">
        <v>26</v>
      </c>
      <c r="L10" s="11" t="s">
        <v>26</v>
      </c>
      <c r="M10" s="10" t="s">
        <v>26</v>
      </c>
      <c r="N10" s="10" t="s">
        <v>26</v>
      </c>
      <c r="O10" s="10" t="s">
        <v>26</v>
      </c>
      <c r="P10" s="10" t="s">
        <v>26</v>
      </c>
      <c r="Q10" s="10" t="s">
        <v>26</v>
      </c>
      <c r="R10" s="10" t="s">
        <v>26</v>
      </c>
      <c r="S10" s="10" t="s">
        <v>26</v>
      </c>
      <c r="T10" s="10" t="s">
        <v>26</v>
      </c>
      <c r="U10" s="10" t="s">
        <v>26</v>
      </c>
      <c r="V10" s="7" t="s">
        <v>26</v>
      </c>
      <c r="W10" s="7" t="s">
        <v>26</v>
      </c>
      <c r="X10" s="7" t="s">
        <v>26</v>
      </c>
    </row>
    <row r="11">
      <c r="A11" s="8">
        <v>40452.0</v>
      </c>
      <c r="B11" s="9">
        <f>IFERROR(__xludf.DUMMYFUNCTION("""COMPUTED_VALUE"""),335.0)</f>
        <v>335</v>
      </c>
      <c r="C11" s="10" t="s">
        <v>26</v>
      </c>
      <c r="D11" s="10" t="s">
        <v>26</v>
      </c>
      <c r="E11" s="10" t="s">
        <v>26</v>
      </c>
      <c r="F11" s="10" t="s">
        <v>26</v>
      </c>
      <c r="G11" s="10" t="s">
        <v>26</v>
      </c>
      <c r="H11" s="10" t="s">
        <v>26</v>
      </c>
      <c r="I11" s="10" t="s">
        <v>26</v>
      </c>
      <c r="J11" s="10" t="s">
        <v>26</v>
      </c>
      <c r="K11" s="10" t="s">
        <v>26</v>
      </c>
      <c r="L11" s="11" t="s">
        <v>26</v>
      </c>
      <c r="M11" s="10" t="s">
        <v>26</v>
      </c>
      <c r="N11" s="10" t="s">
        <v>26</v>
      </c>
      <c r="O11" s="10" t="s">
        <v>26</v>
      </c>
      <c r="P11" s="10" t="s">
        <v>26</v>
      </c>
      <c r="Q11" s="10" t="s">
        <v>26</v>
      </c>
      <c r="R11" s="10" t="s">
        <v>26</v>
      </c>
      <c r="S11" s="10" t="s">
        <v>26</v>
      </c>
      <c r="T11" s="10" t="s">
        <v>26</v>
      </c>
      <c r="U11" s="10" t="s">
        <v>26</v>
      </c>
      <c r="V11" s="7" t="s">
        <v>26</v>
      </c>
      <c r="W11" s="7" t="s">
        <v>26</v>
      </c>
      <c r="X11" s="7" t="s">
        <v>26</v>
      </c>
    </row>
    <row r="12">
      <c r="A12" s="8">
        <v>40483.0</v>
      </c>
      <c r="B12" s="9">
        <f>IFERROR(__xludf.DUMMYFUNCTION("""COMPUTED_VALUE"""),158.0)</f>
        <v>158</v>
      </c>
      <c r="C12" s="10" t="s">
        <v>26</v>
      </c>
      <c r="D12" s="10" t="s">
        <v>26</v>
      </c>
      <c r="E12" s="10" t="s">
        <v>26</v>
      </c>
      <c r="F12" s="10" t="s">
        <v>26</v>
      </c>
      <c r="G12" s="10" t="s">
        <v>26</v>
      </c>
      <c r="H12" s="10" t="s">
        <v>26</v>
      </c>
      <c r="I12" s="10" t="s">
        <v>26</v>
      </c>
      <c r="J12" s="10" t="s">
        <v>26</v>
      </c>
      <c r="K12" s="10" t="s">
        <v>26</v>
      </c>
      <c r="L12" s="11" t="s">
        <v>26</v>
      </c>
      <c r="M12" s="10" t="s">
        <v>26</v>
      </c>
      <c r="N12" s="10" t="s">
        <v>26</v>
      </c>
      <c r="O12" s="10" t="s">
        <v>26</v>
      </c>
      <c r="P12" s="10" t="s">
        <v>26</v>
      </c>
      <c r="Q12" s="10" t="s">
        <v>26</v>
      </c>
      <c r="R12" s="10" t="s">
        <v>26</v>
      </c>
      <c r="S12" s="10" t="s">
        <v>26</v>
      </c>
      <c r="T12" s="10" t="s">
        <v>26</v>
      </c>
      <c r="U12" s="10" t="s">
        <v>26</v>
      </c>
      <c r="V12" s="7" t="s">
        <v>26</v>
      </c>
      <c r="W12" s="7" t="s">
        <v>26</v>
      </c>
      <c r="X12" s="7" t="s">
        <v>26</v>
      </c>
    </row>
    <row r="13">
      <c r="A13" s="8">
        <v>40513.0</v>
      </c>
      <c r="B13" s="9">
        <f>IFERROR(__xludf.DUMMYFUNCTION("""COMPUTED_VALUE"""),128.0)</f>
        <v>128</v>
      </c>
      <c r="C13" s="10" t="s">
        <v>26</v>
      </c>
      <c r="D13" s="10" t="s">
        <v>26</v>
      </c>
      <c r="E13" s="10" t="s">
        <v>26</v>
      </c>
      <c r="F13" s="10" t="s">
        <v>26</v>
      </c>
      <c r="G13" s="10" t="s">
        <v>26</v>
      </c>
      <c r="H13" s="10" t="s">
        <v>26</v>
      </c>
      <c r="I13" s="10" t="s">
        <v>26</v>
      </c>
      <c r="J13" s="10" t="s">
        <v>26</v>
      </c>
      <c r="K13" s="10" t="s">
        <v>26</v>
      </c>
      <c r="L13" s="11" t="s">
        <v>26</v>
      </c>
      <c r="M13" s="10" t="s">
        <v>26</v>
      </c>
      <c r="N13" s="10" t="s">
        <v>26</v>
      </c>
      <c r="O13" s="10" t="s">
        <v>26</v>
      </c>
      <c r="P13" s="10" t="s">
        <v>26</v>
      </c>
      <c r="Q13" s="10" t="s">
        <v>26</v>
      </c>
      <c r="R13" s="10" t="s">
        <v>26</v>
      </c>
      <c r="S13" s="10" t="s">
        <v>26</v>
      </c>
      <c r="T13" s="10" t="s">
        <v>26</v>
      </c>
      <c r="U13" s="10" t="s">
        <v>26</v>
      </c>
      <c r="V13" s="7" t="s">
        <v>26</v>
      </c>
      <c r="W13" s="7" t="s">
        <v>26</v>
      </c>
      <c r="X13" s="7" t="s">
        <v>26</v>
      </c>
    </row>
    <row r="14">
      <c r="A14" s="8">
        <v>40544.0</v>
      </c>
      <c r="B14" s="9">
        <f>IFERROR(__xludf.DUMMYFUNCTION("""COMPUTED_VALUE"""),86.0)</f>
        <v>86</v>
      </c>
      <c r="C14" s="10" t="s">
        <v>26</v>
      </c>
      <c r="D14" s="10" t="s">
        <v>26</v>
      </c>
      <c r="E14" s="10" t="s">
        <v>26</v>
      </c>
      <c r="F14" s="10" t="s">
        <v>26</v>
      </c>
      <c r="G14" s="10" t="s">
        <v>26</v>
      </c>
      <c r="H14" s="10" t="s">
        <v>26</v>
      </c>
      <c r="I14" s="10" t="s">
        <v>26</v>
      </c>
      <c r="J14" s="10" t="s">
        <v>26</v>
      </c>
      <c r="K14" s="10" t="s">
        <v>26</v>
      </c>
      <c r="L14" s="11" t="s">
        <v>26</v>
      </c>
      <c r="M14" s="10" t="s">
        <v>26</v>
      </c>
      <c r="N14" s="10" t="s">
        <v>26</v>
      </c>
      <c r="O14" s="10" t="s">
        <v>26</v>
      </c>
      <c r="P14" s="10" t="s">
        <v>26</v>
      </c>
      <c r="Q14" s="10" t="s">
        <v>26</v>
      </c>
      <c r="R14" s="10" t="s">
        <v>26</v>
      </c>
      <c r="S14" s="10" t="s">
        <v>26</v>
      </c>
      <c r="T14" s="10" t="s">
        <v>26</v>
      </c>
      <c r="U14" s="10" t="s">
        <v>26</v>
      </c>
      <c r="V14" s="7" t="s">
        <v>26</v>
      </c>
      <c r="W14" s="7" t="s">
        <v>26</v>
      </c>
      <c r="X14" s="7" t="s">
        <v>26</v>
      </c>
    </row>
    <row r="15">
      <c r="A15" s="8">
        <v>40575.0</v>
      </c>
      <c r="B15" s="9">
        <f>IFERROR(__xludf.DUMMYFUNCTION("""COMPUTED_VALUE"""),93.0)</f>
        <v>93</v>
      </c>
      <c r="C15" s="10" t="s">
        <v>26</v>
      </c>
      <c r="D15" s="10" t="s">
        <v>26</v>
      </c>
      <c r="E15" s="10" t="s">
        <v>26</v>
      </c>
      <c r="F15" s="10" t="s">
        <v>26</v>
      </c>
      <c r="G15" s="10" t="s">
        <v>26</v>
      </c>
      <c r="H15" s="10" t="s">
        <v>26</v>
      </c>
      <c r="I15" s="10" t="s">
        <v>26</v>
      </c>
      <c r="J15" s="10" t="s">
        <v>26</v>
      </c>
      <c r="K15" s="10" t="s">
        <v>26</v>
      </c>
      <c r="L15" s="11" t="s">
        <v>26</v>
      </c>
      <c r="M15" s="10" t="s">
        <v>26</v>
      </c>
      <c r="N15" s="10" t="s">
        <v>26</v>
      </c>
      <c r="O15" s="10" t="s">
        <v>26</v>
      </c>
      <c r="P15" s="10" t="s">
        <v>26</v>
      </c>
      <c r="Q15" s="10" t="s">
        <v>26</v>
      </c>
      <c r="R15" s="10" t="s">
        <v>26</v>
      </c>
      <c r="S15" s="10" t="s">
        <v>26</v>
      </c>
      <c r="T15" s="10" t="s">
        <v>26</v>
      </c>
      <c r="U15" s="10" t="s">
        <v>26</v>
      </c>
      <c r="V15" s="7" t="s">
        <v>26</v>
      </c>
      <c r="W15" s="7" t="s">
        <v>26</v>
      </c>
      <c r="X15" s="7" t="s">
        <v>26</v>
      </c>
    </row>
    <row r="16">
      <c r="A16" s="8">
        <v>40603.0</v>
      </c>
      <c r="B16" s="9">
        <f>IFERROR(__xludf.DUMMYFUNCTION("""COMPUTED_VALUE"""),105.0)</f>
        <v>105</v>
      </c>
      <c r="C16" s="10" t="s">
        <v>26</v>
      </c>
      <c r="D16" s="10" t="s">
        <v>26</v>
      </c>
      <c r="E16" s="10" t="s">
        <v>26</v>
      </c>
      <c r="F16" s="10" t="s">
        <v>26</v>
      </c>
      <c r="G16" s="10" t="s">
        <v>26</v>
      </c>
      <c r="H16" s="10" t="s">
        <v>26</v>
      </c>
      <c r="I16" s="10" t="s">
        <v>26</v>
      </c>
      <c r="J16" s="10" t="s">
        <v>26</v>
      </c>
      <c r="K16" s="10" t="s">
        <v>26</v>
      </c>
      <c r="L16" s="11" t="s">
        <v>26</v>
      </c>
      <c r="M16" s="10" t="s">
        <v>26</v>
      </c>
      <c r="N16" s="10" t="s">
        <v>26</v>
      </c>
      <c r="O16" s="10" t="s">
        <v>26</v>
      </c>
      <c r="P16" s="10" t="s">
        <v>26</v>
      </c>
      <c r="Q16" s="10" t="s">
        <v>26</v>
      </c>
      <c r="R16" s="10" t="s">
        <v>26</v>
      </c>
      <c r="S16" s="10" t="s">
        <v>26</v>
      </c>
      <c r="T16" s="10" t="s">
        <v>26</v>
      </c>
      <c r="U16" s="10" t="s">
        <v>26</v>
      </c>
      <c r="V16" s="7" t="s">
        <v>26</v>
      </c>
      <c r="W16" s="7" t="s">
        <v>26</v>
      </c>
      <c r="X16" s="7" t="s">
        <v>26</v>
      </c>
    </row>
    <row r="17">
      <c r="A17" s="8">
        <v>40634.0</v>
      </c>
      <c r="B17" s="9">
        <f>IFERROR(__xludf.DUMMYFUNCTION("""COMPUTED_VALUE"""),153.0)</f>
        <v>153</v>
      </c>
      <c r="C17" s="10" t="s">
        <v>26</v>
      </c>
      <c r="D17" s="10" t="s">
        <v>26</v>
      </c>
      <c r="E17" s="10" t="s">
        <v>26</v>
      </c>
      <c r="F17" s="10" t="s">
        <v>26</v>
      </c>
      <c r="G17" s="10" t="s">
        <v>26</v>
      </c>
      <c r="H17" s="10" t="s">
        <v>26</v>
      </c>
      <c r="I17" s="10" t="s">
        <v>26</v>
      </c>
      <c r="J17" s="10" t="s">
        <v>26</v>
      </c>
      <c r="K17" s="10" t="s">
        <v>26</v>
      </c>
      <c r="L17" s="11" t="s">
        <v>26</v>
      </c>
      <c r="M17" s="10" t="s">
        <v>26</v>
      </c>
      <c r="N17" s="10" t="s">
        <v>26</v>
      </c>
      <c r="O17" s="10" t="s">
        <v>26</v>
      </c>
      <c r="P17" s="10" t="s">
        <v>26</v>
      </c>
      <c r="Q17" s="10" t="s">
        <v>26</v>
      </c>
      <c r="R17" s="10" t="s">
        <v>26</v>
      </c>
      <c r="S17" s="10" t="s">
        <v>26</v>
      </c>
      <c r="T17" s="10" t="s">
        <v>26</v>
      </c>
      <c r="U17" s="10" t="s">
        <v>26</v>
      </c>
      <c r="V17" s="7" t="s">
        <v>26</v>
      </c>
      <c r="W17" s="7" t="s">
        <v>26</v>
      </c>
      <c r="X17" s="7" t="s">
        <v>26</v>
      </c>
    </row>
    <row r="18">
      <c r="A18" s="8">
        <v>40664.0</v>
      </c>
      <c r="B18" s="9">
        <f>IFERROR(__xludf.DUMMYFUNCTION("""COMPUTED_VALUE"""),83.0)</f>
        <v>83</v>
      </c>
      <c r="C18" s="10" t="s">
        <v>26</v>
      </c>
      <c r="D18" s="10" t="s">
        <v>26</v>
      </c>
      <c r="E18" s="10" t="s">
        <v>26</v>
      </c>
      <c r="F18" s="10" t="s">
        <v>26</v>
      </c>
      <c r="G18" s="10" t="s">
        <v>26</v>
      </c>
      <c r="H18" s="10" t="s">
        <v>26</v>
      </c>
      <c r="I18" s="10" t="s">
        <v>26</v>
      </c>
      <c r="J18" s="10" t="s">
        <v>26</v>
      </c>
      <c r="K18" s="10" t="s">
        <v>26</v>
      </c>
      <c r="L18" s="11" t="s">
        <v>26</v>
      </c>
      <c r="M18" s="10" t="s">
        <v>26</v>
      </c>
      <c r="N18" s="10" t="s">
        <v>26</v>
      </c>
      <c r="O18" s="10" t="s">
        <v>26</v>
      </c>
      <c r="P18" s="10" t="s">
        <v>26</v>
      </c>
      <c r="Q18" s="10" t="s">
        <v>26</v>
      </c>
      <c r="R18" s="10" t="s">
        <v>26</v>
      </c>
      <c r="S18" s="10" t="s">
        <v>26</v>
      </c>
      <c r="T18" s="10" t="s">
        <v>26</v>
      </c>
      <c r="U18" s="10" t="s">
        <v>26</v>
      </c>
      <c r="V18" s="7" t="s">
        <v>26</v>
      </c>
      <c r="W18" s="7" t="s">
        <v>26</v>
      </c>
      <c r="X18" s="7" t="s">
        <v>26</v>
      </c>
    </row>
    <row r="19">
      <c r="A19" s="8">
        <v>40695.0</v>
      </c>
      <c r="B19" s="9">
        <f>IFERROR(__xludf.DUMMYFUNCTION("""COMPUTED_VALUE"""),100.0)</f>
        <v>100</v>
      </c>
      <c r="C19" s="10" t="s">
        <v>26</v>
      </c>
      <c r="D19" s="10" t="s">
        <v>26</v>
      </c>
      <c r="E19" s="10" t="s">
        <v>26</v>
      </c>
      <c r="F19" s="10" t="s">
        <v>26</v>
      </c>
      <c r="G19" s="10" t="s">
        <v>26</v>
      </c>
      <c r="H19" s="10" t="s">
        <v>26</v>
      </c>
      <c r="I19" s="10" t="s">
        <v>26</v>
      </c>
      <c r="J19" s="10" t="s">
        <v>26</v>
      </c>
      <c r="K19" s="10" t="s">
        <v>26</v>
      </c>
      <c r="L19" s="11" t="s">
        <v>26</v>
      </c>
      <c r="M19" s="10" t="s">
        <v>26</v>
      </c>
      <c r="N19" s="10" t="s">
        <v>26</v>
      </c>
      <c r="O19" s="10" t="s">
        <v>26</v>
      </c>
      <c r="P19" s="10" t="s">
        <v>26</v>
      </c>
      <c r="Q19" s="10" t="s">
        <v>26</v>
      </c>
      <c r="R19" s="10" t="s">
        <v>26</v>
      </c>
      <c r="S19" s="10" t="s">
        <v>26</v>
      </c>
      <c r="T19" s="10" t="s">
        <v>26</v>
      </c>
      <c r="U19" s="10" t="s">
        <v>26</v>
      </c>
      <c r="V19" s="7" t="s">
        <v>26</v>
      </c>
      <c r="W19" s="7" t="s">
        <v>26</v>
      </c>
      <c r="X19" s="7" t="s">
        <v>26</v>
      </c>
    </row>
    <row r="20">
      <c r="A20" s="8">
        <v>40725.0</v>
      </c>
      <c r="B20" s="9">
        <f>IFERROR(__xludf.DUMMYFUNCTION("""COMPUTED_VALUE"""),99.0)</f>
        <v>99</v>
      </c>
      <c r="C20" s="10" t="s">
        <v>26</v>
      </c>
      <c r="D20" s="10" t="s">
        <v>26</v>
      </c>
      <c r="E20" s="10" t="s">
        <v>26</v>
      </c>
      <c r="F20" s="10" t="s">
        <v>26</v>
      </c>
      <c r="G20" s="10" t="s">
        <v>26</v>
      </c>
      <c r="H20" s="10" t="s">
        <v>26</v>
      </c>
      <c r="I20" s="10" t="s">
        <v>26</v>
      </c>
      <c r="J20" s="10" t="s">
        <v>26</v>
      </c>
      <c r="K20" s="10" t="s">
        <v>26</v>
      </c>
      <c r="L20" s="11" t="s">
        <v>26</v>
      </c>
      <c r="M20" s="10" t="s">
        <v>26</v>
      </c>
      <c r="N20" s="10" t="s">
        <v>26</v>
      </c>
      <c r="O20" s="10" t="s">
        <v>26</v>
      </c>
      <c r="P20" s="10" t="s">
        <v>26</v>
      </c>
      <c r="Q20" s="10" t="s">
        <v>26</v>
      </c>
      <c r="R20" s="10" t="s">
        <v>26</v>
      </c>
      <c r="S20" s="10" t="s">
        <v>26</v>
      </c>
      <c r="T20" s="10" t="s">
        <v>26</v>
      </c>
      <c r="U20" s="10" t="s">
        <v>26</v>
      </c>
      <c r="V20" s="7" t="s">
        <v>26</v>
      </c>
      <c r="W20" s="7" t="s">
        <v>26</v>
      </c>
      <c r="X20" s="7" t="s">
        <v>26</v>
      </c>
    </row>
    <row r="21">
      <c r="A21" s="8">
        <v>40756.0</v>
      </c>
      <c r="B21" s="9">
        <f>IFERROR(__xludf.DUMMYFUNCTION("""COMPUTED_VALUE"""),57.0)</f>
        <v>57</v>
      </c>
      <c r="C21" s="12">
        <v>97.4864677771049</v>
      </c>
      <c r="D21" s="12">
        <v>112.0</v>
      </c>
      <c r="E21" s="12">
        <v>108.95</v>
      </c>
      <c r="F21" s="12">
        <v>106.857141652297</v>
      </c>
      <c r="G21" s="12">
        <v>104.0</v>
      </c>
      <c r="H21" s="12">
        <v>93.5499662363384</v>
      </c>
      <c r="I21" s="12">
        <v>-309.384585427685</v>
      </c>
      <c r="J21" s="12">
        <v>112.0</v>
      </c>
      <c r="K21" s="12">
        <v>88.2887579338229</v>
      </c>
      <c r="L21" s="13">
        <v>112.0</v>
      </c>
      <c r="M21" s="12">
        <v>105.481584538534</v>
      </c>
      <c r="N21" s="12">
        <v>97.584951575864</v>
      </c>
      <c r="O21" s="12">
        <v>97.852941151437</v>
      </c>
      <c r="P21" s="12">
        <v>106.85625241977</v>
      </c>
      <c r="Q21" s="12">
        <v>97.8529419447355</v>
      </c>
      <c r="R21" s="12">
        <v>96.5196749108565</v>
      </c>
      <c r="S21" s="12">
        <v>-2043.97526490568</v>
      </c>
      <c r="T21" s="12">
        <v>98.8687822426986</v>
      </c>
      <c r="U21" s="12">
        <v>97.8529410656966</v>
      </c>
      <c r="V21" s="7">
        <v>97.8529467215731</v>
      </c>
      <c r="W21" s="7">
        <v>106.857142696362</v>
      </c>
      <c r="X21" s="7">
        <v>106.741943495133</v>
      </c>
    </row>
    <row r="22">
      <c r="A22" s="8">
        <v>40787.0</v>
      </c>
      <c r="B22" s="9">
        <f>IFERROR(__xludf.DUMMYFUNCTION("""COMPUTED_VALUE"""),142.0)</f>
        <v>142</v>
      </c>
      <c r="C22" s="12">
        <v>96.4762028043505</v>
      </c>
      <c r="D22" s="12">
        <v>112.0</v>
      </c>
      <c r="E22" s="12">
        <v>109.6</v>
      </c>
      <c r="F22" s="12">
        <v>106.857141652297</v>
      </c>
      <c r="G22" s="12">
        <v>104.0</v>
      </c>
      <c r="H22" s="12">
        <v>95.0252663574252</v>
      </c>
      <c r="I22" s="12">
        <v>216.886379303541</v>
      </c>
      <c r="J22" s="12">
        <v>112.0</v>
      </c>
      <c r="K22" s="12">
        <v>94.7287037999182</v>
      </c>
      <c r="L22" s="13">
        <v>112.0</v>
      </c>
      <c r="M22" s="12">
        <v>141.990439080747</v>
      </c>
      <c r="N22" s="12">
        <v>97.584951575864</v>
      </c>
      <c r="O22" s="12">
        <v>97.852941151437</v>
      </c>
      <c r="P22" s="12">
        <v>14179.5</v>
      </c>
      <c r="Q22" s="12">
        <v>97.8529419447355</v>
      </c>
      <c r="R22" s="12">
        <v>96.5305031376664</v>
      </c>
      <c r="S22" s="12">
        <v>-1395.187626872</v>
      </c>
      <c r="T22" s="12">
        <v>97.7391560893674</v>
      </c>
      <c r="U22" s="12">
        <v>97.8529410656966</v>
      </c>
      <c r="V22" s="7">
        <v>97.8529467215731</v>
      </c>
      <c r="W22" s="7">
        <v>106.857142696362</v>
      </c>
      <c r="X22" s="7">
        <v>106.741943495133</v>
      </c>
    </row>
    <row r="23">
      <c r="A23" s="8">
        <v>40817.0</v>
      </c>
      <c r="B23" s="9">
        <f>IFERROR(__xludf.DUMMYFUNCTION("""COMPUTED_VALUE"""),127.0)</f>
        <v>127</v>
      </c>
      <c r="C23" s="12">
        <v>96.4762028043505</v>
      </c>
      <c r="D23" s="12">
        <v>75.0</v>
      </c>
      <c r="E23" s="12">
        <v>113.453347915769</v>
      </c>
      <c r="F23" s="12">
        <v>106.857141652297</v>
      </c>
      <c r="G23" s="12">
        <v>104.0</v>
      </c>
      <c r="H23" s="12">
        <v>95.2463352252994</v>
      </c>
      <c r="I23" s="12">
        <v>9.23823759137662</v>
      </c>
      <c r="J23" s="12">
        <v>75.0</v>
      </c>
      <c r="K23" s="12">
        <v>97.3104164264218</v>
      </c>
      <c r="L23" s="13">
        <v>75.0</v>
      </c>
      <c r="M23" s="12">
        <v>253.414765718734</v>
      </c>
      <c r="N23" s="12">
        <v>98.8056447852017</v>
      </c>
      <c r="O23" s="12">
        <v>252.517276695495</v>
      </c>
      <c r="P23" s="12">
        <v>9488.66666666667</v>
      </c>
      <c r="Q23" s="12">
        <v>97.8529419447355</v>
      </c>
      <c r="R23" s="12">
        <v>103.43327141249</v>
      </c>
      <c r="S23" s="12">
        <v>-1798.187626872</v>
      </c>
      <c r="T23" s="12">
        <v>98.3904720696665</v>
      </c>
      <c r="U23" s="12">
        <v>97.8529410656966</v>
      </c>
      <c r="V23" s="7">
        <v>97.8529467215731</v>
      </c>
      <c r="W23" s="7">
        <v>106.857142696362</v>
      </c>
      <c r="X23" s="7">
        <v>106.741943495133</v>
      </c>
    </row>
    <row r="24">
      <c r="A24" s="8">
        <v>40848.0</v>
      </c>
      <c r="B24" s="9">
        <f>IFERROR(__xludf.DUMMYFUNCTION("""COMPUTED_VALUE"""),122.0)</f>
        <v>122</v>
      </c>
      <c r="C24" s="12">
        <v>96.4762028043505</v>
      </c>
      <c r="D24" s="12">
        <v>75.0</v>
      </c>
      <c r="E24" s="12">
        <v>207.896567600739</v>
      </c>
      <c r="F24" s="12">
        <v>106.857141652297</v>
      </c>
      <c r="G24" s="12">
        <v>104.0</v>
      </c>
      <c r="H24" s="12">
        <v>100.313398828106</v>
      </c>
      <c r="I24" s="12">
        <v>9.23823759137662</v>
      </c>
      <c r="J24" s="12">
        <v>75.0</v>
      </c>
      <c r="K24" s="12">
        <v>92.7847657196209</v>
      </c>
      <c r="L24" s="13">
        <v>75.0</v>
      </c>
      <c r="M24" s="12">
        <v>260.654289008238</v>
      </c>
      <c r="N24" s="12">
        <v>97.584951575864</v>
      </c>
      <c r="O24" s="12">
        <v>97.852941151437</v>
      </c>
      <c r="P24" s="12">
        <v>14432.0</v>
      </c>
      <c r="Q24" s="12">
        <v>97.8529419447355</v>
      </c>
      <c r="R24" s="12">
        <v>90.9708527581108</v>
      </c>
      <c r="S24" s="12">
        <v>-1504.187626872</v>
      </c>
      <c r="T24" s="12">
        <v>97.7391560893674</v>
      </c>
      <c r="U24" s="12">
        <v>97.8529410656966</v>
      </c>
      <c r="V24" s="7">
        <v>97.8529467215731</v>
      </c>
      <c r="W24" s="7">
        <v>106.857142696362</v>
      </c>
      <c r="X24" s="7">
        <v>106.741943495133</v>
      </c>
    </row>
    <row r="25">
      <c r="A25" s="8">
        <v>40878.0</v>
      </c>
      <c r="B25" s="9">
        <f>IFERROR(__xludf.DUMMYFUNCTION("""COMPUTED_VALUE"""),31.0)</f>
        <v>31</v>
      </c>
      <c r="C25" s="12">
        <v>96.4762028043505</v>
      </c>
      <c r="D25" s="12">
        <v>75.0</v>
      </c>
      <c r="E25" s="12">
        <v>112.0</v>
      </c>
      <c r="F25" s="12">
        <v>106.857141652297</v>
      </c>
      <c r="G25" s="12">
        <v>104.0</v>
      </c>
      <c r="H25" s="12">
        <v>121.773316674194</v>
      </c>
      <c r="I25" s="12">
        <v>9.23823759137662</v>
      </c>
      <c r="J25" s="12">
        <v>75.0</v>
      </c>
      <c r="K25" s="12">
        <v>102.006263846251</v>
      </c>
      <c r="L25" s="13">
        <v>75.0</v>
      </c>
      <c r="M25" s="12">
        <v>76.0421221464861</v>
      </c>
      <c r="N25" s="12">
        <v>102.386678055394</v>
      </c>
      <c r="O25" s="12">
        <v>97.852941151437</v>
      </c>
      <c r="P25" s="12">
        <v>1369.0</v>
      </c>
      <c r="Q25" s="12">
        <v>97.8529419447355</v>
      </c>
      <c r="R25" s="12">
        <v>92.9312762094147</v>
      </c>
      <c r="S25" s="12">
        <v>-2006.187626872</v>
      </c>
      <c r="T25" s="12">
        <v>97.4928772343168</v>
      </c>
      <c r="U25" s="12">
        <v>97.8529410656966</v>
      </c>
      <c r="V25" s="7">
        <v>97.8529467215731</v>
      </c>
      <c r="W25" s="7">
        <v>106.857142696362</v>
      </c>
      <c r="X25" s="7">
        <v>106.741943495133</v>
      </c>
    </row>
    <row r="26">
      <c r="A26" s="8">
        <v>40909.0</v>
      </c>
      <c r="B26" s="9">
        <f>IFERROR(__xludf.DUMMYFUNCTION("""COMPUTED_VALUE"""),310.0)</f>
        <v>310</v>
      </c>
      <c r="C26" s="12">
        <v>418.880658223873</v>
      </c>
      <c r="D26" s="12">
        <v>112.0</v>
      </c>
      <c r="E26" s="12">
        <v>105.0</v>
      </c>
      <c r="F26" s="12">
        <v>106.857141652297</v>
      </c>
      <c r="G26" s="12">
        <v>104.0</v>
      </c>
      <c r="H26" s="12">
        <v>106.991644441557</v>
      </c>
      <c r="I26" s="12">
        <v>13.3319248464315</v>
      </c>
      <c r="J26" s="12">
        <v>112.0</v>
      </c>
      <c r="K26" s="12">
        <v>93.0129577869414</v>
      </c>
      <c r="L26" s="13">
        <v>112.0</v>
      </c>
      <c r="M26" s="12">
        <v>94.5167764362452</v>
      </c>
      <c r="N26" s="12">
        <v>97.584951575864</v>
      </c>
      <c r="O26" s="12">
        <v>97.852941151437</v>
      </c>
      <c r="P26" s="12">
        <v>106.85625241977</v>
      </c>
      <c r="Q26" s="12">
        <v>97.8529419447355</v>
      </c>
      <c r="R26" s="12">
        <v>88.019837929788</v>
      </c>
      <c r="S26" s="12">
        <v>-1957.187626872</v>
      </c>
      <c r="T26" s="12">
        <v>97.4928772343168</v>
      </c>
      <c r="U26" s="12">
        <v>97.8529410656966</v>
      </c>
      <c r="V26" s="7">
        <v>97.8529467215731</v>
      </c>
      <c r="W26" s="7">
        <v>106.857142696362</v>
      </c>
      <c r="X26" s="7">
        <v>106.741943495133</v>
      </c>
    </row>
    <row r="27">
      <c r="A27" s="8">
        <v>40940.0</v>
      </c>
      <c r="B27" s="9">
        <f>IFERROR(__xludf.DUMMYFUNCTION("""COMPUTED_VALUE"""),372.0)</f>
        <v>372</v>
      </c>
      <c r="C27" s="12">
        <v>347.141943318074</v>
      </c>
      <c r="D27" s="12">
        <v>112.0</v>
      </c>
      <c r="E27" s="12">
        <v>105.212002350849</v>
      </c>
      <c r="F27" s="12">
        <v>106.857141652297</v>
      </c>
      <c r="G27" s="12">
        <v>104.0</v>
      </c>
      <c r="H27" s="12">
        <v>102.058287999</v>
      </c>
      <c r="I27" s="12">
        <v>30.9854471666503</v>
      </c>
      <c r="J27" s="12">
        <v>112.0</v>
      </c>
      <c r="K27" s="12">
        <v>97.2206057944839</v>
      </c>
      <c r="L27" s="13">
        <v>112.0</v>
      </c>
      <c r="M27" s="12">
        <v>81.0632264504507</v>
      </c>
      <c r="N27" s="12">
        <v>97.584951575864</v>
      </c>
      <c r="O27" s="12">
        <v>97.852941151437</v>
      </c>
      <c r="P27" s="12">
        <v>6552.0</v>
      </c>
      <c r="Q27" s="12">
        <v>97.8529419447355</v>
      </c>
      <c r="R27" s="12">
        <v>88.0196778992841</v>
      </c>
      <c r="S27" s="12">
        <v>-2310.187626872</v>
      </c>
      <c r="T27" s="12">
        <v>98.8687822426986</v>
      </c>
      <c r="U27" s="12">
        <v>97.8529410656966</v>
      </c>
      <c r="V27" s="7">
        <v>97.8529467215731</v>
      </c>
      <c r="W27" s="7">
        <v>106.857142696362</v>
      </c>
      <c r="X27" s="7">
        <v>106.741943495133</v>
      </c>
    </row>
    <row r="28">
      <c r="A28" s="8">
        <v>40969.0</v>
      </c>
      <c r="B28" s="9">
        <f>IFERROR(__xludf.DUMMYFUNCTION("""COMPUTED_VALUE"""),87.0)</f>
        <v>87</v>
      </c>
      <c r="C28" s="12">
        <v>170.021529964445</v>
      </c>
      <c r="D28" s="12">
        <v>99.0</v>
      </c>
      <c r="E28" s="12">
        <v>105.028953613688</v>
      </c>
      <c r="F28" s="12">
        <v>106.857141652297</v>
      </c>
      <c r="G28" s="12">
        <v>104.0</v>
      </c>
      <c r="H28" s="12">
        <v>95.2300234666314</v>
      </c>
      <c r="I28" s="12">
        <v>30.9854471666503</v>
      </c>
      <c r="J28" s="12">
        <v>99.0</v>
      </c>
      <c r="K28" s="12">
        <v>95.8854094864282</v>
      </c>
      <c r="L28" s="13">
        <v>99.0</v>
      </c>
      <c r="M28" s="12">
        <v>77.1882856345841</v>
      </c>
      <c r="N28" s="12">
        <v>97.584951575864</v>
      </c>
      <c r="O28" s="12">
        <v>97.852941151437</v>
      </c>
      <c r="P28" s="12">
        <v>611.630370696165</v>
      </c>
      <c r="Q28" s="12">
        <v>97.8529419447355</v>
      </c>
      <c r="R28" s="12">
        <v>97.8204088703591</v>
      </c>
      <c r="S28" s="12">
        <v>97.8529397175208</v>
      </c>
      <c r="T28" s="12">
        <v>97.4928772343168</v>
      </c>
      <c r="U28" s="12">
        <v>97.8529410656966</v>
      </c>
      <c r="V28" s="7">
        <v>97.8529467215731</v>
      </c>
      <c r="W28" s="7">
        <v>106.857142696362</v>
      </c>
      <c r="X28" s="7">
        <v>106.741943495133</v>
      </c>
    </row>
    <row r="29">
      <c r="A29" s="8">
        <v>41000.0</v>
      </c>
      <c r="B29" s="9">
        <f>IFERROR(__xludf.DUMMYFUNCTION("""COMPUTED_VALUE"""),125.0)</f>
        <v>125</v>
      </c>
      <c r="C29" s="12">
        <v>96.4762028043505</v>
      </c>
      <c r="D29" s="12">
        <v>75.0</v>
      </c>
      <c r="E29" s="12">
        <v>105.0</v>
      </c>
      <c r="F29" s="12">
        <v>106.857141652297</v>
      </c>
      <c r="G29" s="12">
        <v>104.0</v>
      </c>
      <c r="H29" s="12">
        <v>94.1092758210989</v>
      </c>
      <c r="I29" s="12">
        <v>-242.194582413912</v>
      </c>
      <c r="J29" s="12">
        <v>75.0</v>
      </c>
      <c r="K29" s="12">
        <v>94.3072079808704</v>
      </c>
      <c r="L29" s="13">
        <v>75.0</v>
      </c>
      <c r="M29" s="12">
        <v>90.3718969258038</v>
      </c>
      <c r="N29" s="12">
        <v>97.584951575864</v>
      </c>
      <c r="O29" s="12">
        <v>97.852941151437</v>
      </c>
      <c r="P29" s="12">
        <v>106.85625241977</v>
      </c>
      <c r="Q29" s="12">
        <v>97.8529419447355</v>
      </c>
      <c r="R29" s="12">
        <v>97.8196749108564</v>
      </c>
      <c r="S29" s="12">
        <v>-1829.187626872</v>
      </c>
      <c r="T29" s="12">
        <v>97.4928772343168</v>
      </c>
      <c r="U29" s="12">
        <v>97.8529410656966</v>
      </c>
      <c r="V29" s="7">
        <v>97.8529467215731</v>
      </c>
      <c r="W29" s="7">
        <v>106.857142696362</v>
      </c>
      <c r="X29" s="7">
        <v>106.741943495133</v>
      </c>
    </row>
    <row r="30">
      <c r="A30" s="8">
        <v>41030.0</v>
      </c>
      <c r="B30" s="9">
        <f>IFERROR(__xludf.DUMMYFUNCTION("""COMPUTED_VALUE"""),85.0)</f>
        <v>85</v>
      </c>
      <c r="C30" s="12">
        <v>96.4762028043505</v>
      </c>
      <c r="D30" s="12">
        <v>75.0</v>
      </c>
      <c r="E30" s="12">
        <v>110.61546667457</v>
      </c>
      <c r="F30" s="12">
        <v>106.857141652297</v>
      </c>
      <c r="G30" s="12">
        <v>104.0</v>
      </c>
      <c r="H30" s="12">
        <v>96.4904092158492</v>
      </c>
      <c r="I30" s="12">
        <v>-632.570644061754</v>
      </c>
      <c r="J30" s="12">
        <v>75.0</v>
      </c>
      <c r="K30" s="12">
        <v>79.0414342103825</v>
      </c>
      <c r="L30" s="13">
        <v>352.640235430647</v>
      </c>
      <c r="M30" s="12">
        <v>91.7707445579542</v>
      </c>
      <c r="N30" s="12">
        <v>97.584951575864</v>
      </c>
      <c r="O30" s="12">
        <v>97.852941151437</v>
      </c>
      <c r="P30" s="12">
        <v>106.85625241977</v>
      </c>
      <c r="Q30" s="12">
        <v>97.8529419447355</v>
      </c>
      <c r="R30" s="12">
        <v>97.819676459096</v>
      </c>
      <c r="S30" s="12">
        <v>97.8529397175208</v>
      </c>
      <c r="T30" s="12">
        <v>98.7649787583385</v>
      </c>
      <c r="U30" s="12">
        <v>97.8529410656966</v>
      </c>
      <c r="V30" s="7">
        <v>97.8529467215731</v>
      </c>
      <c r="W30" s="7">
        <v>106.857142696362</v>
      </c>
      <c r="X30" s="7">
        <v>106.741943495133</v>
      </c>
    </row>
    <row r="31">
      <c r="A31" s="8">
        <v>41061.0</v>
      </c>
      <c r="B31" s="9">
        <f>IFERROR(__xludf.DUMMYFUNCTION("""COMPUTED_VALUE"""),27.0)</f>
        <v>27</v>
      </c>
      <c r="C31" s="12">
        <v>92.98552985725</v>
      </c>
      <c r="D31" s="12">
        <v>75.0</v>
      </c>
      <c r="E31" s="12">
        <v>105.062723984298</v>
      </c>
      <c r="F31" s="12">
        <v>106.857141652297</v>
      </c>
      <c r="G31" s="12">
        <v>104.0</v>
      </c>
      <c r="H31" s="12">
        <v>94.2619930352855</v>
      </c>
      <c r="I31" s="12">
        <v>-279.654818272452</v>
      </c>
      <c r="J31" s="12">
        <v>75.0</v>
      </c>
      <c r="K31" s="12">
        <v>92.6671098411964</v>
      </c>
      <c r="L31" s="13">
        <v>75.0</v>
      </c>
      <c r="M31" s="12">
        <v>93.2148664279136</v>
      </c>
      <c r="N31" s="12">
        <v>97.584951575864</v>
      </c>
      <c r="O31" s="12">
        <v>97.852941151437</v>
      </c>
      <c r="P31" s="12">
        <v>106.85625241977</v>
      </c>
      <c r="Q31" s="12">
        <v>97.8529419447355</v>
      </c>
      <c r="R31" s="12">
        <v>97.8215313499523</v>
      </c>
      <c r="S31" s="12">
        <v>97.8529397175208</v>
      </c>
      <c r="T31" s="12">
        <v>97.4928772343168</v>
      </c>
      <c r="U31" s="12">
        <v>97.8529410656966</v>
      </c>
      <c r="V31" s="7">
        <v>97.8529467215731</v>
      </c>
      <c r="W31" s="7">
        <v>106.857142696362</v>
      </c>
      <c r="X31" s="7">
        <v>106.741943495133</v>
      </c>
    </row>
    <row r="32">
      <c r="A32" s="8">
        <v>41091.0</v>
      </c>
      <c r="B32" s="9">
        <f>IFERROR(__xludf.DUMMYFUNCTION("""COMPUTED_VALUE"""),84.0)</f>
        <v>84</v>
      </c>
      <c r="C32" s="12">
        <v>96.4762028043505</v>
      </c>
      <c r="D32" s="12">
        <v>72.0</v>
      </c>
      <c r="E32" s="12">
        <v>112.001549506962</v>
      </c>
      <c r="F32" s="12">
        <v>106.857141652297</v>
      </c>
      <c r="G32" s="12">
        <v>104.0</v>
      </c>
      <c r="H32" s="12">
        <v>107.279999963875</v>
      </c>
      <c r="I32" s="12">
        <v>-409.053466336657</v>
      </c>
      <c r="J32" s="12">
        <v>72.0</v>
      </c>
      <c r="K32" s="12">
        <v>94.0884221239371</v>
      </c>
      <c r="L32" s="13">
        <v>72.0</v>
      </c>
      <c r="M32" s="12">
        <v>71.7796000150414</v>
      </c>
      <c r="N32" s="12">
        <v>97.584951575864</v>
      </c>
      <c r="O32" s="12">
        <v>97.852941151437</v>
      </c>
      <c r="P32" s="12">
        <v>106.85625241977</v>
      </c>
      <c r="Q32" s="12">
        <v>97.8529419447355</v>
      </c>
      <c r="R32" s="12">
        <v>93.6254124334673</v>
      </c>
      <c r="S32" s="12">
        <v>97.8529397175208</v>
      </c>
      <c r="T32" s="12">
        <v>97.4928772343168</v>
      </c>
      <c r="U32" s="12">
        <v>97.8529410656966</v>
      </c>
      <c r="V32" s="7">
        <v>97.8529467215731</v>
      </c>
      <c r="W32" s="7">
        <v>106.857142696362</v>
      </c>
      <c r="X32" s="7">
        <v>106.741943495133</v>
      </c>
    </row>
    <row r="33">
      <c r="A33" s="8">
        <v>41122.0</v>
      </c>
      <c r="B33" s="9">
        <f>IFERROR(__xludf.DUMMYFUNCTION("""COMPUTED_VALUE"""),66.0)</f>
        <v>66</v>
      </c>
      <c r="C33" s="12">
        <v>96.4762028043505</v>
      </c>
      <c r="D33" s="12">
        <v>72.0</v>
      </c>
      <c r="E33" s="12">
        <v>112.0</v>
      </c>
      <c r="F33" s="12">
        <v>106.857141652297</v>
      </c>
      <c r="G33" s="12">
        <v>104.0</v>
      </c>
      <c r="H33" s="12">
        <v>93.8351140924819</v>
      </c>
      <c r="I33" s="12">
        <v>-206.281544085674</v>
      </c>
      <c r="J33" s="12">
        <v>72.0</v>
      </c>
      <c r="K33" s="12">
        <v>93.2434087099246</v>
      </c>
      <c r="L33" s="13">
        <v>72.0</v>
      </c>
      <c r="M33" s="12">
        <v>73.2465792840212</v>
      </c>
      <c r="N33" s="12">
        <v>97.584951575864</v>
      </c>
      <c r="O33" s="12">
        <v>97.852941151437</v>
      </c>
      <c r="P33" s="12">
        <v>106.85625241977</v>
      </c>
      <c r="Q33" s="12">
        <v>97.8529419447355</v>
      </c>
      <c r="R33" s="12">
        <v>93.626884373482</v>
      </c>
      <c r="S33" s="12">
        <v>97.8529397175208</v>
      </c>
      <c r="T33" s="12">
        <v>97.493594991313</v>
      </c>
      <c r="U33" s="12">
        <v>97.8529410656966</v>
      </c>
      <c r="V33" s="7">
        <v>97.8529467215731</v>
      </c>
      <c r="W33" s="7">
        <v>106.857142696362</v>
      </c>
      <c r="X33" s="7">
        <v>106.741943495133</v>
      </c>
    </row>
    <row r="34">
      <c r="A34" s="8">
        <v>41153.0</v>
      </c>
      <c r="B34" s="9">
        <f>IFERROR(__xludf.DUMMYFUNCTION("""COMPUTED_VALUE"""),61.0)</f>
        <v>61</v>
      </c>
      <c r="C34" s="12">
        <v>96.4762028043505</v>
      </c>
      <c r="D34" s="12">
        <v>71.0</v>
      </c>
      <c r="E34" s="12">
        <v>112.258315784627</v>
      </c>
      <c r="F34" s="12">
        <v>106.857141652297</v>
      </c>
      <c r="G34" s="12">
        <v>104.0</v>
      </c>
      <c r="H34" s="12">
        <v>104.062792353943</v>
      </c>
      <c r="I34" s="12">
        <v>-200.510043563335</v>
      </c>
      <c r="J34" s="12">
        <v>71.0</v>
      </c>
      <c r="K34" s="12">
        <v>92.8710103665516</v>
      </c>
      <c r="L34" s="13">
        <v>71.0</v>
      </c>
      <c r="M34" s="12">
        <v>104.478246166239</v>
      </c>
      <c r="N34" s="12">
        <v>97.584951575864</v>
      </c>
      <c r="O34" s="12">
        <v>97.852941151437</v>
      </c>
      <c r="P34" s="12">
        <v>106.85625241977</v>
      </c>
      <c r="Q34" s="12">
        <v>97.8529419447355</v>
      </c>
      <c r="R34" s="12">
        <v>93.6256436035064</v>
      </c>
      <c r="S34" s="12">
        <v>-2300.187626872</v>
      </c>
      <c r="T34" s="12">
        <v>97.4928772343168</v>
      </c>
      <c r="U34" s="12">
        <v>97.8529410656966</v>
      </c>
      <c r="V34" s="7">
        <v>97.8529467215731</v>
      </c>
      <c r="W34" s="7">
        <v>106.857142696362</v>
      </c>
      <c r="X34" s="7">
        <v>106.741943495133</v>
      </c>
    </row>
    <row r="35">
      <c r="A35" s="8">
        <v>41183.0</v>
      </c>
      <c r="B35" s="9">
        <f>IFERROR(__xludf.DUMMYFUNCTION("""COMPUTED_VALUE"""),201.0)</f>
        <v>201</v>
      </c>
      <c r="C35" s="12">
        <v>96.4762028043505</v>
      </c>
      <c r="D35" s="12">
        <v>69.0</v>
      </c>
      <c r="E35" s="12">
        <v>112.0</v>
      </c>
      <c r="F35" s="12">
        <v>106.857141652297</v>
      </c>
      <c r="G35" s="12">
        <v>104.0</v>
      </c>
      <c r="H35" s="12">
        <v>93.9030512888606</v>
      </c>
      <c r="I35" s="12">
        <v>13.5237935830464</v>
      </c>
      <c r="J35" s="12">
        <v>69.0</v>
      </c>
      <c r="K35" s="12">
        <v>93.9065655094275</v>
      </c>
      <c r="L35" s="13">
        <v>69.0</v>
      </c>
      <c r="M35" s="12">
        <v>83.391546446388</v>
      </c>
      <c r="N35" s="12">
        <v>97.584951575864</v>
      </c>
      <c r="O35" s="12">
        <v>97.852941151437</v>
      </c>
      <c r="P35" s="12">
        <v>106.85625241977</v>
      </c>
      <c r="Q35" s="12">
        <v>97.8529419447355</v>
      </c>
      <c r="R35" s="12">
        <v>93.6260587155176</v>
      </c>
      <c r="S35" s="12">
        <v>97.8529397175208</v>
      </c>
      <c r="T35" s="12">
        <v>97.4928772343168</v>
      </c>
      <c r="U35" s="12">
        <v>97.8529410656966</v>
      </c>
      <c r="V35" s="7">
        <v>97.8529467215731</v>
      </c>
      <c r="W35" s="7">
        <v>106.857142696362</v>
      </c>
      <c r="X35" s="7">
        <v>106.741943495133</v>
      </c>
    </row>
    <row r="36">
      <c r="A36" s="8">
        <v>41214.0</v>
      </c>
      <c r="B36" s="9">
        <f>IFERROR(__xludf.DUMMYFUNCTION("""COMPUTED_VALUE"""),102.0)</f>
        <v>102</v>
      </c>
      <c r="C36" s="12">
        <v>98.7685970259883</v>
      </c>
      <c r="D36" s="12">
        <v>48.0</v>
      </c>
      <c r="E36" s="12">
        <v>96.0406587777993</v>
      </c>
      <c r="F36" s="12">
        <v>106.857141652297</v>
      </c>
      <c r="G36" s="12">
        <v>104.0</v>
      </c>
      <c r="H36" s="12">
        <v>79.1313264021308</v>
      </c>
      <c r="I36" s="12">
        <v>80.6856724978491</v>
      </c>
      <c r="J36" s="12">
        <v>48.0</v>
      </c>
      <c r="K36" s="12">
        <v>101.973983265195</v>
      </c>
      <c r="L36" s="13">
        <v>48.0</v>
      </c>
      <c r="M36" s="12">
        <v>67.0653443005811</v>
      </c>
      <c r="N36" s="12">
        <v>97.584951575864</v>
      </c>
      <c r="O36" s="12">
        <v>97.852941151437</v>
      </c>
      <c r="P36" s="12">
        <v>106.85625241977</v>
      </c>
      <c r="Q36" s="12">
        <v>97.8529419447355</v>
      </c>
      <c r="R36" s="12">
        <v>93.914017492673</v>
      </c>
      <c r="S36" s="12">
        <v>97.8529397175208</v>
      </c>
      <c r="T36" s="12">
        <v>97.4928772343168</v>
      </c>
      <c r="U36" s="12">
        <v>97.8529410656966</v>
      </c>
      <c r="V36" s="7">
        <v>97.8529467215731</v>
      </c>
      <c r="W36" s="7">
        <v>106.857142696362</v>
      </c>
      <c r="X36" s="7">
        <v>106.741943495133</v>
      </c>
    </row>
    <row r="37">
      <c r="A37" s="8">
        <v>41244.0</v>
      </c>
      <c r="B37" s="9">
        <f>IFERROR(__xludf.DUMMYFUNCTION("""COMPUTED_VALUE"""),172.0)</f>
        <v>172</v>
      </c>
      <c r="C37" s="12">
        <v>96.4762028043505</v>
      </c>
      <c r="D37" s="12">
        <v>48.0</v>
      </c>
      <c r="E37" s="12">
        <v>99.5002054933222</v>
      </c>
      <c r="F37" s="12">
        <v>106.857141652297</v>
      </c>
      <c r="G37" s="12">
        <v>104.0</v>
      </c>
      <c r="H37" s="12">
        <v>81.7483450347349</v>
      </c>
      <c r="I37" s="12">
        <v>103.866018556952</v>
      </c>
      <c r="J37" s="12">
        <v>48.0</v>
      </c>
      <c r="K37" s="12">
        <v>93.7856601658806</v>
      </c>
      <c r="L37" s="13">
        <v>48.0</v>
      </c>
      <c r="M37" s="12">
        <v>160.047209961041</v>
      </c>
      <c r="N37" s="12">
        <v>97.5993824689207</v>
      </c>
      <c r="O37" s="12">
        <v>97.852941151437</v>
      </c>
      <c r="P37" s="12">
        <v>106.85625241977</v>
      </c>
      <c r="Q37" s="12">
        <v>97.8529419447355</v>
      </c>
      <c r="R37" s="12">
        <v>95.9999317862422</v>
      </c>
      <c r="S37" s="12">
        <v>97.8529397175208</v>
      </c>
      <c r="T37" s="12">
        <v>98.1523346643696</v>
      </c>
      <c r="U37" s="12">
        <v>97.8529410656966</v>
      </c>
      <c r="V37" s="7">
        <v>97.8529467215731</v>
      </c>
      <c r="W37" s="7">
        <v>106.857142696362</v>
      </c>
      <c r="X37" s="7">
        <v>106.741943495133</v>
      </c>
    </row>
    <row r="38">
      <c r="A38" s="8">
        <v>41275.0</v>
      </c>
      <c r="B38" s="9">
        <f>IFERROR(__xludf.DUMMYFUNCTION("""COMPUTED_VALUE"""),99.0)</f>
        <v>99</v>
      </c>
      <c r="C38" s="12">
        <v>96.4762028043505</v>
      </c>
      <c r="D38" s="12">
        <v>69.0</v>
      </c>
      <c r="E38" s="12">
        <v>88.1</v>
      </c>
      <c r="F38" s="12">
        <v>106.857141652297</v>
      </c>
      <c r="G38" s="12">
        <v>144.3</v>
      </c>
      <c r="H38" s="12">
        <v>81.0982912706299</v>
      </c>
      <c r="I38" s="12">
        <v>107.57883233634</v>
      </c>
      <c r="J38" s="12">
        <v>69.0</v>
      </c>
      <c r="K38" s="12">
        <v>90.4371638849176</v>
      </c>
      <c r="L38" s="13">
        <v>69.0</v>
      </c>
      <c r="M38" s="12">
        <v>79.9313821939351</v>
      </c>
      <c r="N38" s="12">
        <v>97.584951575864</v>
      </c>
      <c r="O38" s="12">
        <v>97.852941151437</v>
      </c>
      <c r="P38" s="12">
        <v>106.85625241977</v>
      </c>
      <c r="Q38" s="12">
        <v>97.8529419447355</v>
      </c>
      <c r="R38" s="12">
        <v>94.7226613958459</v>
      </c>
      <c r="S38" s="12">
        <v>97.8529397175208</v>
      </c>
      <c r="T38" s="12">
        <v>97.5437612952777</v>
      </c>
      <c r="U38" s="12">
        <v>97.8529410656966</v>
      </c>
      <c r="V38" s="7">
        <v>97.8529467215731</v>
      </c>
      <c r="W38" s="7">
        <v>106.857142696362</v>
      </c>
      <c r="X38" s="7">
        <v>106.741943495133</v>
      </c>
    </row>
    <row r="39">
      <c r="A39" s="8">
        <v>41306.0</v>
      </c>
      <c r="B39" s="9">
        <f>IFERROR(__xludf.DUMMYFUNCTION("""COMPUTED_VALUE"""),42.0)</f>
        <v>42</v>
      </c>
      <c r="C39" s="12">
        <v>96.4762028043505</v>
      </c>
      <c r="D39" s="12">
        <v>72.0</v>
      </c>
      <c r="E39" s="12">
        <v>88.1</v>
      </c>
      <c r="F39" s="12">
        <v>106.857141652297</v>
      </c>
      <c r="G39" s="12">
        <v>104.0</v>
      </c>
      <c r="H39" s="12">
        <v>81.6792147710608</v>
      </c>
      <c r="I39" s="12">
        <v>202.766329219148</v>
      </c>
      <c r="J39" s="12">
        <v>72.0</v>
      </c>
      <c r="K39" s="12">
        <v>84.9431126015726</v>
      </c>
      <c r="L39" s="13">
        <v>72.0</v>
      </c>
      <c r="M39" s="12">
        <v>97.2131309662646</v>
      </c>
      <c r="N39" s="12">
        <v>80.9699549002112</v>
      </c>
      <c r="O39" s="12">
        <v>97.852941151437</v>
      </c>
      <c r="P39" s="12">
        <v>106.85625241977</v>
      </c>
      <c r="Q39" s="12">
        <v>97.8529419447355</v>
      </c>
      <c r="R39" s="12">
        <v>94.7210098616691</v>
      </c>
      <c r="S39" s="12">
        <v>97.8529397175208</v>
      </c>
      <c r="T39" s="12">
        <v>97.4928772343168</v>
      </c>
      <c r="U39" s="12">
        <v>97.8529410656966</v>
      </c>
      <c r="V39" s="7">
        <v>97.8529467215731</v>
      </c>
      <c r="W39" s="7">
        <v>106.857142696362</v>
      </c>
      <c r="X39" s="7">
        <v>106.741943495133</v>
      </c>
    </row>
    <row r="40">
      <c r="A40" s="8">
        <v>41334.0</v>
      </c>
      <c r="B40" s="9">
        <f>IFERROR(__xludf.DUMMYFUNCTION("""COMPUTED_VALUE"""),95.0)</f>
        <v>95</v>
      </c>
      <c r="C40" s="12">
        <v>101.586532749163</v>
      </c>
      <c r="D40" s="12">
        <v>157.48847313739</v>
      </c>
      <c r="E40" s="12">
        <v>91.6031450467561</v>
      </c>
      <c r="F40" s="12">
        <v>106.857141652297</v>
      </c>
      <c r="G40" s="12">
        <v>104.0</v>
      </c>
      <c r="H40" s="12">
        <v>88.5662731391613</v>
      </c>
      <c r="I40" s="12">
        <v>243.279007330117</v>
      </c>
      <c r="J40" s="12">
        <v>72.0</v>
      </c>
      <c r="K40" s="12">
        <v>115.70698495954</v>
      </c>
      <c r="L40" s="13">
        <v>72.0</v>
      </c>
      <c r="M40" s="12">
        <v>85.5104113576616</v>
      </c>
      <c r="N40" s="12">
        <v>97.584951575864</v>
      </c>
      <c r="O40" s="12">
        <v>97.852941151437</v>
      </c>
      <c r="P40" s="12">
        <v>106.85625241977</v>
      </c>
      <c r="Q40" s="12">
        <v>97.8529419447355</v>
      </c>
      <c r="R40" s="12">
        <v>95.0198430706995</v>
      </c>
      <c r="S40" s="12">
        <v>97.8529397175208</v>
      </c>
      <c r="T40" s="12">
        <v>97.4930566735659</v>
      </c>
      <c r="U40" s="12">
        <v>97.8529410656966</v>
      </c>
      <c r="V40" s="7">
        <v>97.8529467215731</v>
      </c>
      <c r="W40" s="7">
        <v>106.857142696362</v>
      </c>
      <c r="X40" s="7">
        <v>106.741943495133</v>
      </c>
    </row>
    <row r="41">
      <c r="A41" s="8">
        <v>41365.0</v>
      </c>
      <c r="B41" s="9">
        <f>IFERROR(__xludf.DUMMYFUNCTION("""COMPUTED_VALUE"""),77.0)</f>
        <v>77</v>
      </c>
      <c r="C41" s="12">
        <v>96.4762028043505</v>
      </c>
      <c r="D41" s="12">
        <v>99.0</v>
      </c>
      <c r="E41" s="12">
        <v>71.85</v>
      </c>
      <c r="F41" s="12">
        <v>106.857141652297</v>
      </c>
      <c r="G41" s="12">
        <v>104.0</v>
      </c>
      <c r="H41" s="12">
        <v>88.394575020794</v>
      </c>
      <c r="I41" s="12">
        <v>252.48111313777</v>
      </c>
      <c r="J41" s="12">
        <v>99.0</v>
      </c>
      <c r="K41" s="12">
        <v>93.8757071725822</v>
      </c>
      <c r="L41" s="13">
        <v>99.0</v>
      </c>
      <c r="M41" s="12">
        <v>95.8911752708884</v>
      </c>
      <c r="N41" s="12">
        <v>97.584951575864</v>
      </c>
      <c r="O41" s="12">
        <v>97.852941151437</v>
      </c>
      <c r="P41" s="12">
        <v>106.85625241977</v>
      </c>
      <c r="Q41" s="12">
        <v>164.714868274853</v>
      </c>
      <c r="R41" s="12">
        <v>95.019679194506</v>
      </c>
      <c r="S41" s="12">
        <v>97.8529397175208</v>
      </c>
      <c r="T41" s="12">
        <v>90.5945495675743</v>
      </c>
      <c r="U41" s="12">
        <v>97.8529410656966</v>
      </c>
      <c r="V41" s="7">
        <v>97.8529467215731</v>
      </c>
      <c r="W41" s="7">
        <v>106.857142696362</v>
      </c>
      <c r="X41" s="7">
        <v>106.741943495133</v>
      </c>
    </row>
    <row r="42">
      <c r="A42" s="8">
        <v>41395.0</v>
      </c>
      <c r="B42" s="9">
        <f>IFERROR(__xludf.DUMMYFUNCTION("""COMPUTED_VALUE"""),32.0)</f>
        <v>32</v>
      </c>
      <c r="C42" s="12">
        <v>96.443175251106</v>
      </c>
      <c r="D42" s="12">
        <v>69.0</v>
      </c>
      <c r="E42" s="12">
        <v>68.101387780046</v>
      </c>
      <c r="F42" s="12">
        <v>106.857141652297</v>
      </c>
      <c r="G42" s="12">
        <v>104.0</v>
      </c>
      <c r="H42" s="12">
        <v>94.4181984676961</v>
      </c>
      <c r="I42" s="12">
        <v>280.928232009394</v>
      </c>
      <c r="J42" s="12">
        <v>69.0</v>
      </c>
      <c r="K42" s="12">
        <v>84.199690466939</v>
      </c>
      <c r="L42" s="13">
        <v>69.0</v>
      </c>
      <c r="M42" s="12">
        <v>48.5807671893562</v>
      </c>
      <c r="N42" s="12">
        <v>102.586705318794</v>
      </c>
      <c r="O42" s="12">
        <v>97.852941151437</v>
      </c>
      <c r="P42" s="12">
        <v>690.039881362794</v>
      </c>
      <c r="Q42" s="12">
        <v>97.8529419447355</v>
      </c>
      <c r="R42" s="12">
        <v>94.7197127569722</v>
      </c>
      <c r="S42" s="12">
        <v>-2369.65866906849</v>
      </c>
      <c r="T42" s="12">
        <v>42.4331139207073</v>
      </c>
      <c r="U42" s="12">
        <v>97.8529410656966</v>
      </c>
      <c r="V42" s="7">
        <v>97.8529467215731</v>
      </c>
      <c r="W42" s="7">
        <v>106.857142696362</v>
      </c>
      <c r="X42" s="7">
        <v>106.741943495133</v>
      </c>
    </row>
    <row r="43">
      <c r="A43" s="8">
        <v>41426.0</v>
      </c>
      <c r="B43" s="9">
        <f>IFERROR(__xludf.DUMMYFUNCTION("""COMPUTED_VALUE"""),59.0)</f>
        <v>59</v>
      </c>
      <c r="C43" s="12">
        <v>96.4762028043505</v>
      </c>
      <c r="D43" s="12">
        <v>32.0</v>
      </c>
      <c r="E43" s="12">
        <v>59.5</v>
      </c>
      <c r="F43" s="12">
        <v>106.857141652297</v>
      </c>
      <c r="G43" s="12">
        <v>104.0</v>
      </c>
      <c r="H43" s="12">
        <v>89.0637845275518</v>
      </c>
      <c r="I43" s="12">
        <v>285.413615531183</v>
      </c>
      <c r="J43" s="12">
        <v>32.0</v>
      </c>
      <c r="K43" s="12">
        <v>103.295815850426</v>
      </c>
      <c r="L43" s="13">
        <v>32.0</v>
      </c>
      <c r="M43" s="12">
        <v>61.2871032505552</v>
      </c>
      <c r="N43" s="12">
        <v>72.6442533029972</v>
      </c>
      <c r="O43" s="12">
        <v>97.852941151437</v>
      </c>
      <c r="P43" s="12">
        <v>106.85625241977</v>
      </c>
      <c r="Q43" s="12">
        <v>97.8529419447355</v>
      </c>
      <c r="R43" s="12">
        <v>71.0197430503668</v>
      </c>
      <c r="S43" s="12">
        <v>97.8529397175208</v>
      </c>
      <c r="T43" s="12">
        <v>50.0990157716918</v>
      </c>
      <c r="U43" s="12">
        <v>97.8529410656966</v>
      </c>
      <c r="V43" s="7">
        <v>97.8529467215731</v>
      </c>
      <c r="W43" s="7">
        <v>106.857142696362</v>
      </c>
      <c r="X43" s="7">
        <v>106.741943495133</v>
      </c>
    </row>
    <row r="44">
      <c r="A44" s="8">
        <v>41456.0</v>
      </c>
      <c r="B44" s="9">
        <f>IFERROR(__xludf.DUMMYFUNCTION("""COMPUTED_VALUE"""),38.0)</f>
        <v>38</v>
      </c>
      <c r="C44" s="12">
        <v>96.4762028043505</v>
      </c>
      <c r="D44" s="12">
        <v>24.0</v>
      </c>
      <c r="E44" s="12">
        <v>83.0003081867632</v>
      </c>
      <c r="F44" s="12">
        <v>106.857141652297</v>
      </c>
      <c r="G44" s="12">
        <v>104.0</v>
      </c>
      <c r="H44" s="12">
        <v>95.3918532570865</v>
      </c>
      <c r="I44" s="12">
        <v>245.369482300441</v>
      </c>
      <c r="J44" s="12">
        <v>24.0</v>
      </c>
      <c r="K44" s="12">
        <v>97.2987506456315</v>
      </c>
      <c r="L44" s="13">
        <v>24.0</v>
      </c>
      <c r="M44" s="12">
        <v>54.4821824976443</v>
      </c>
      <c r="N44" s="12">
        <v>72.6695073658464</v>
      </c>
      <c r="O44" s="12">
        <v>97.852941151437</v>
      </c>
      <c r="P44" s="12">
        <v>106.85625241977</v>
      </c>
      <c r="Q44" s="12">
        <v>97.8529419447355</v>
      </c>
      <c r="R44" s="12">
        <v>71.0563821859342</v>
      </c>
      <c r="S44" s="12">
        <v>97.8529397175208</v>
      </c>
      <c r="T44" s="12">
        <v>50.0121671751452</v>
      </c>
      <c r="U44" s="12">
        <v>97.8529410656966</v>
      </c>
      <c r="V44" s="7">
        <v>97.8529467215731</v>
      </c>
      <c r="W44" s="7">
        <v>106.857142696362</v>
      </c>
      <c r="X44" s="7">
        <v>106.741943495133</v>
      </c>
    </row>
    <row r="45">
      <c r="A45" s="8">
        <v>41487.0</v>
      </c>
      <c r="B45" s="9">
        <f>IFERROR(__xludf.DUMMYFUNCTION("""COMPUTED_VALUE"""),33.0)</f>
        <v>33</v>
      </c>
      <c r="C45" s="12">
        <v>97.4739183011156</v>
      </c>
      <c r="D45" s="12">
        <v>24.0</v>
      </c>
      <c r="E45" s="12">
        <v>79.554741618701</v>
      </c>
      <c r="F45" s="12">
        <v>106.857141652297</v>
      </c>
      <c r="G45" s="12">
        <v>104.0</v>
      </c>
      <c r="H45" s="12">
        <v>40.2303763952663</v>
      </c>
      <c r="I45" s="12">
        <v>11.8660545410682</v>
      </c>
      <c r="J45" s="12">
        <v>24.0</v>
      </c>
      <c r="K45" s="12">
        <v>102.123938016541</v>
      </c>
      <c r="L45" s="13">
        <v>24.0</v>
      </c>
      <c r="M45" s="12">
        <v>78.8112927172288</v>
      </c>
      <c r="N45" s="12">
        <v>185.528218083225</v>
      </c>
      <c r="O45" s="12">
        <v>97.852941151437</v>
      </c>
      <c r="P45" s="12">
        <v>2233.20407036192</v>
      </c>
      <c r="Q45" s="12">
        <v>97.8529419447355</v>
      </c>
      <c r="R45" s="12">
        <v>71.1114260957963</v>
      </c>
      <c r="S45" s="12">
        <v>-2417.8632994727</v>
      </c>
      <c r="T45" s="12">
        <v>46.3548553402208</v>
      </c>
      <c r="U45" s="12">
        <v>97.8529410656966</v>
      </c>
      <c r="V45" s="7">
        <v>97.8529467215731</v>
      </c>
      <c r="W45" s="7">
        <v>106.857142696362</v>
      </c>
      <c r="X45" s="7">
        <v>106.741943495133</v>
      </c>
    </row>
    <row r="46">
      <c r="A46" s="8">
        <v>41518.0</v>
      </c>
      <c r="B46" s="9">
        <f>IFERROR(__xludf.DUMMYFUNCTION("""COMPUTED_VALUE"""),435.0)</f>
        <v>435</v>
      </c>
      <c r="C46" s="12">
        <v>115.18482136934</v>
      </c>
      <c r="D46" s="12">
        <v>241.364628564329</v>
      </c>
      <c r="E46" s="12">
        <v>59.5</v>
      </c>
      <c r="F46" s="12">
        <v>106.857141652297</v>
      </c>
      <c r="G46" s="12">
        <v>104.0</v>
      </c>
      <c r="H46" s="12">
        <v>266.130796333161</v>
      </c>
      <c r="I46" s="12">
        <v>11.978598560522</v>
      </c>
      <c r="J46" s="12">
        <v>32.0</v>
      </c>
      <c r="K46" s="12">
        <v>87.8306708357648</v>
      </c>
      <c r="L46" s="13">
        <v>32.0</v>
      </c>
      <c r="M46" s="12">
        <v>202.996969340916</v>
      </c>
      <c r="N46" s="12">
        <v>97.584951575864</v>
      </c>
      <c r="O46" s="12">
        <v>956.965417649391</v>
      </c>
      <c r="P46" s="12">
        <v>106.85625241977</v>
      </c>
      <c r="Q46" s="12">
        <v>97.8529419447355</v>
      </c>
      <c r="R46" s="12">
        <v>101.359013355396</v>
      </c>
      <c r="S46" s="12">
        <v>97.8529397175208</v>
      </c>
      <c r="T46" s="12">
        <v>53.7737795095581</v>
      </c>
      <c r="U46" s="12">
        <v>169.555612622842</v>
      </c>
      <c r="V46" s="7">
        <v>97.8529467215731</v>
      </c>
      <c r="W46" s="7">
        <v>106.857142696362</v>
      </c>
      <c r="X46" s="7">
        <v>106.741943495133</v>
      </c>
    </row>
    <row r="47">
      <c r="A47" s="8">
        <v>41548.0</v>
      </c>
      <c r="B47" s="9">
        <f>IFERROR(__xludf.DUMMYFUNCTION("""COMPUTED_VALUE"""),161.0)</f>
        <v>161</v>
      </c>
      <c r="C47" s="12">
        <v>104.900541126029</v>
      </c>
      <c r="D47" s="12">
        <v>136.086109558155</v>
      </c>
      <c r="E47" s="12">
        <v>-78.5477612633136</v>
      </c>
      <c r="F47" s="12">
        <v>106.857141652297</v>
      </c>
      <c r="G47" s="12">
        <v>104.0</v>
      </c>
      <c r="H47" s="12">
        <v>191.038898912423</v>
      </c>
      <c r="I47" s="12">
        <v>-8.97354428171002</v>
      </c>
      <c r="J47" s="12">
        <v>32.0</v>
      </c>
      <c r="K47" s="12">
        <v>90.6912194651891</v>
      </c>
      <c r="L47" s="13">
        <v>32.0</v>
      </c>
      <c r="M47" s="12">
        <v>160.307973757492</v>
      </c>
      <c r="N47" s="12">
        <v>197.739781402474</v>
      </c>
      <c r="O47" s="12">
        <v>91.965417649391</v>
      </c>
      <c r="P47" s="12">
        <v>106.85625241977</v>
      </c>
      <c r="Q47" s="12">
        <v>97.8529419447355</v>
      </c>
      <c r="R47" s="12">
        <v>102.498960196384</v>
      </c>
      <c r="S47" s="12">
        <v>97.8529397175208</v>
      </c>
      <c r="T47" s="12">
        <v>93.8888940009748</v>
      </c>
      <c r="U47" s="12">
        <v>97.8529410656966</v>
      </c>
      <c r="V47" s="7">
        <v>97.8529467215731</v>
      </c>
      <c r="W47" s="7">
        <v>106.857142696362</v>
      </c>
      <c r="X47" s="7">
        <v>106.741943495133</v>
      </c>
    </row>
    <row r="48">
      <c r="A48" s="8">
        <v>41579.0</v>
      </c>
      <c r="B48" s="9">
        <f>IFERROR(__xludf.DUMMYFUNCTION("""COMPUTED_VALUE"""),14.0)</f>
        <v>14</v>
      </c>
      <c r="C48" s="12">
        <v>103.999281573609</v>
      </c>
      <c r="D48" s="12">
        <v>32.0</v>
      </c>
      <c r="E48" s="12">
        <v>-153.049302663219</v>
      </c>
      <c r="F48" s="12">
        <v>106.857141652297</v>
      </c>
      <c r="G48" s="12">
        <v>104.0</v>
      </c>
      <c r="H48" s="12">
        <v>-88.5778060178524</v>
      </c>
      <c r="I48" s="12">
        <v>-8.07752505349612</v>
      </c>
      <c r="J48" s="12">
        <v>32.0</v>
      </c>
      <c r="K48" s="12">
        <v>73.0800763013979</v>
      </c>
      <c r="L48" s="13">
        <v>32.0</v>
      </c>
      <c r="M48" s="12">
        <v>126.865195935</v>
      </c>
      <c r="N48" s="12">
        <v>70.1303566722607</v>
      </c>
      <c r="O48" s="12">
        <v>91.965417649391</v>
      </c>
      <c r="P48" s="12">
        <v>106.85625241977</v>
      </c>
      <c r="Q48" s="12">
        <v>97.8529419447355</v>
      </c>
      <c r="R48" s="12">
        <v>105.471311126041</v>
      </c>
      <c r="S48" s="12">
        <v>97.8529397175208</v>
      </c>
      <c r="T48" s="12">
        <v>69.7495839642487</v>
      </c>
      <c r="U48" s="12">
        <v>97.8529410656966</v>
      </c>
      <c r="V48" s="7">
        <v>97.8529467215731</v>
      </c>
      <c r="W48" s="7">
        <v>106.857142696362</v>
      </c>
      <c r="X48" s="7">
        <v>106.741943495133</v>
      </c>
    </row>
    <row r="49">
      <c r="A49" s="8">
        <v>41609.0</v>
      </c>
      <c r="B49" s="9">
        <f>IFERROR(__xludf.DUMMYFUNCTION("""COMPUTED_VALUE"""),33.0)</f>
        <v>33</v>
      </c>
      <c r="C49" s="12">
        <v>115.397488046961</v>
      </c>
      <c r="D49" s="12">
        <v>41.0</v>
      </c>
      <c r="E49" s="12">
        <v>-183.006621982344</v>
      </c>
      <c r="F49" s="12">
        <v>106.857141652297</v>
      </c>
      <c r="G49" s="12">
        <v>104.0</v>
      </c>
      <c r="H49" s="12">
        <v>4.94314218007895</v>
      </c>
      <c r="I49" s="12">
        <v>-8.70324503885877</v>
      </c>
      <c r="J49" s="12">
        <v>41.0</v>
      </c>
      <c r="K49" s="12">
        <v>96.2532960325051</v>
      </c>
      <c r="L49" s="13">
        <v>41.0</v>
      </c>
      <c r="M49" s="12">
        <v>58.9721838549716</v>
      </c>
      <c r="N49" s="12">
        <v>161.071971828374</v>
      </c>
      <c r="O49" s="12">
        <v>91.965417649391</v>
      </c>
      <c r="P49" s="12">
        <v>106.85625241977</v>
      </c>
      <c r="Q49" s="12">
        <v>97.8529419447355</v>
      </c>
      <c r="R49" s="12">
        <v>58.9345374500969</v>
      </c>
      <c r="S49" s="12">
        <v>-2198.80536964393</v>
      </c>
      <c r="T49" s="12">
        <v>56.85774159183</v>
      </c>
      <c r="U49" s="12">
        <v>97.8529410656966</v>
      </c>
      <c r="V49" s="7">
        <v>97.8529467215731</v>
      </c>
      <c r="W49" s="7">
        <v>106.857142696362</v>
      </c>
      <c r="X49" s="7">
        <v>106.741943495133</v>
      </c>
    </row>
    <row r="50">
      <c r="A50" s="8">
        <v>41640.0</v>
      </c>
      <c r="B50" s="9">
        <f>IFERROR(__xludf.DUMMYFUNCTION("""COMPUTED_VALUE"""),16.0)</f>
        <v>16</v>
      </c>
      <c r="C50" s="12">
        <v>94.4768022645307</v>
      </c>
      <c r="D50" s="12">
        <v>41.0</v>
      </c>
      <c r="E50" s="12">
        <v>-183.048059107146</v>
      </c>
      <c r="F50" s="12">
        <v>106.857141652297</v>
      </c>
      <c r="G50" s="12">
        <v>104.0</v>
      </c>
      <c r="H50" s="12">
        <v>-127.423075067659</v>
      </c>
      <c r="I50" s="12">
        <v>-7.73770623372224</v>
      </c>
      <c r="J50" s="12">
        <v>41.0</v>
      </c>
      <c r="K50" s="12">
        <v>94.659141843281</v>
      </c>
      <c r="L50" s="13">
        <v>41.0</v>
      </c>
      <c r="M50" s="12">
        <v>44.772256299046</v>
      </c>
      <c r="N50" s="12">
        <v>-144.85808815405</v>
      </c>
      <c r="O50" s="12">
        <v>31.965417649391</v>
      </c>
      <c r="P50" s="12">
        <v>106.85625241977</v>
      </c>
      <c r="Q50" s="12">
        <v>97.8529419447355</v>
      </c>
      <c r="R50" s="12">
        <v>51.0261466223529</v>
      </c>
      <c r="S50" s="12">
        <v>97.8529397175208</v>
      </c>
      <c r="T50" s="12">
        <v>68.774670590203</v>
      </c>
      <c r="U50" s="12">
        <v>97.8529410656966</v>
      </c>
      <c r="V50" s="7">
        <v>97.8529467215731</v>
      </c>
      <c r="W50" s="7">
        <v>106.857142696362</v>
      </c>
      <c r="X50" s="7">
        <v>106.741943495133</v>
      </c>
    </row>
    <row r="51">
      <c r="A51" s="8">
        <v>41671.0</v>
      </c>
      <c r="B51" s="9">
        <f>IFERROR(__xludf.DUMMYFUNCTION("""COMPUTED_VALUE"""),40.0)</f>
        <v>40</v>
      </c>
      <c r="C51" s="12">
        <v>102.223907073629</v>
      </c>
      <c r="D51" s="12">
        <v>37.0</v>
      </c>
      <c r="E51" s="12">
        <v>-153.05</v>
      </c>
      <c r="F51" s="12">
        <v>106.857141652297</v>
      </c>
      <c r="G51" s="12">
        <v>104.0</v>
      </c>
      <c r="H51" s="12">
        <v>15.9809307548367</v>
      </c>
      <c r="I51" s="12">
        <v>20.7623113060887</v>
      </c>
      <c r="J51" s="12">
        <v>37.0</v>
      </c>
      <c r="K51" s="12">
        <v>97.47352395795</v>
      </c>
      <c r="L51" s="13">
        <v>37.0</v>
      </c>
      <c r="M51" s="12">
        <v>94.4069198678382</v>
      </c>
      <c r="N51" s="12">
        <v>97.584951575864</v>
      </c>
      <c r="O51" s="12">
        <v>97.852941151437</v>
      </c>
      <c r="P51" s="12">
        <v>106.85625241977</v>
      </c>
      <c r="Q51" s="12">
        <v>97.8529419447355</v>
      </c>
      <c r="R51" s="12">
        <v>51.0196748932848</v>
      </c>
      <c r="S51" s="12">
        <v>97.8529397175208</v>
      </c>
      <c r="T51" s="12">
        <v>71.7069731550254</v>
      </c>
      <c r="U51" s="12">
        <v>97.8529410656966</v>
      </c>
      <c r="V51" s="7">
        <v>97.8529467215731</v>
      </c>
      <c r="W51" s="7">
        <v>106.857142696362</v>
      </c>
      <c r="X51" s="7">
        <v>106.741943495133</v>
      </c>
    </row>
    <row r="52">
      <c r="A52" s="8">
        <v>41699.0</v>
      </c>
      <c r="B52" s="9">
        <f>IFERROR(__xludf.DUMMYFUNCTION("""COMPUTED_VALUE"""),54.0)</f>
        <v>54</v>
      </c>
      <c r="C52" s="12">
        <v>96.4762028043505</v>
      </c>
      <c r="D52" s="12">
        <v>37.0</v>
      </c>
      <c r="E52" s="12">
        <v>-152.887591599875</v>
      </c>
      <c r="F52" s="12">
        <v>106.857141652297</v>
      </c>
      <c r="G52" s="12">
        <v>104.0</v>
      </c>
      <c r="H52" s="12">
        <v>-27.3256915272942</v>
      </c>
      <c r="I52" s="12">
        <v>80.1185997100152</v>
      </c>
      <c r="J52" s="12">
        <v>37.0</v>
      </c>
      <c r="K52" s="12">
        <v>91.9447042080199</v>
      </c>
      <c r="L52" s="13">
        <v>37.0</v>
      </c>
      <c r="M52" s="12">
        <v>71.1823802880362</v>
      </c>
      <c r="N52" s="12">
        <v>-157.079105373804</v>
      </c>
      <c r="O52" s="12">
        <v>97.852941151437</v>
      </c>
      <c r="P52" s="12">
        <v>106.85625241977</v>
      </c>
      <c r="Q52" s="12">
        <v>97.8529419447355</v>
      </c>
      <c r="R52" s="12">
        <v>97.8214562200729</v>
      </c>
      <c r="S52" s="12">
        <v>97.8529397175208</v>
      </c>
      <c r="T52" s="12">
        <v>69.2118121455594</v>
      </c>
      <c r="U52" s="12">
        <v>97.8529410656966</v>
      </c>
      <c r="V52" s="7">
        <v>97.8529467215731</v>
      </c>
      <c r="W52" s="7">
        <v>106.857142696362</v>
      </c>
      <c r="X52" s="7">
        <v>106.741943495133</v>
      </c>
    </row>
    <row r="53">
      <c r="A53" s="8">
        <v>41730.0</v>
      </c>
      <c r="B53" s="9"/>
      <c r="C53" s="12">
        <v>101.144715634607</v>
      </c>
      <c r="D53" s="12">
        <v>41.0</v>
      </c>
      <c r="E53" s="12">
        <v>-55.4</v>
      </c>
      <c r="F53" s="12">
        <v>106.857141652297</v>
      </c>
      <c r="G53" s="12">
        <v>104.0</v>
      </c>
      <c r="H53" s="12">
        <v>76.1105082708713</v>
      </c>
      <c r="I53" s="12">
        <v>-102.133349968547</v>
      </c>
      <c r="J53" s="12">
        <v>41.0</v>
      </c>
      <c r="K53" s="12">
        <v>240.229313352692</v>
      </c>
      <c r="L53" s="13">
        <v>41.0</v>
      </c>
      <c r="M53" s="12">
        <v>110.114551613992</v>
      </c>
      <c r="N53" s="12">
        <v>97.584951575864</v>
      </c>
      <c r="O53" s="12">
        <v>97.852941151437</v>
      </c>
      <c r="P53" s="12">
        <v>106.85625241977</v>
      </c>
      <c r="Q53" s="12">
        <v>97.8529419447355</v>
      </c>
      <c r="R53" s="12">
        <v>97.8196781500971</v>
      </c>
      <c r="S53" s="12">
        <v>97.8529397175208</v>
      </c>
      <c r="T53" s="12">
        <v>87.9251442711161</v>
      </c>
      <c r="U53" s="12">
        <v>97.8529410656966</v>
      </c>
      <c r="V53" s="7">
        <v>97.8529467215731</v>
      </c>
      <c r="W53" s="7">
        <v>106.857142696362</v>
      </c>
      <c r="X53" s="7">
        <v>106.741943495133</v>
      </c>
    </row>
    <row r="54">
      <c r="A54" s="8">
        <v>41760.0</v>
      </c>
      <c r="B54" s="9"/>
      <c r="C54" s="12">
        <v>96.4762028043505</v>
      </c>
      <c r="D54" s="12">
        <v>94.0</v>
      </c>
      <c r="E54" s="12">
        <v>-55.4</v>
      </c>
      <c r="F54" s="12">
        <v>106.857141652297</v>
      </c>
      <c r="G54" s="12">
        <v>104.0</v>
      </c>
      <c r="H54" s="12">
        <v>77.5898446853437</v>
      </c>
      <c r="I54" s="12">
        <v>-65.3767886290912</v>
      </c>
      <c r="J54" s="12">
        <v>94.0</v>
      </c>
      <c r="K54" s="12">
        <v>95.386133739226</v>
      </c>
      <c r="L54" s="13">
        <v>94.0</v>
      </c>
      <c r="M54" s="12">
        <v>71.7142871581417</v>
      </c>
      <c r="N54" s="12">
        <v>97.584951575864</v>
      </c>
      <c r="O54" s="12">
        <v>97.852941151437</v>
      </c>
      <c r="P54" s="12">
        <v>308.404715923244</v>
      </c>
      <c r="Q54" s="12">
        <v>97.8529419447355</v>
      </c>
      <c r="R54" s="12">
        <v>97.8196803836012</v>
      </c>
      <c r="S54" s="12">
        <v>97.8529397175208</v>
      </c>
      <c r="T54" s="12">
        <v>92.3074534316665</v>
      </c>
      <c r="U54" s="12">
        <v>97.8529410656966</v>
      </c>
      <c r="V54" s="7">
        <v>97.8529467215731</v>
      </c>
      <c r="W54" s="7">
        <v>106.857142696362</v>
      </c>
      <c r="X54" s="7">
        <v>106.741943495133</v>
      </c>
    </row>
    <row r="55">
      <c r="A55" s="8">
        <v>41791.0</v>
      </c>
      <c r="B55" s="9"/>
      <c r="C55" s="12">
        <v>96.4762028043505</v>
      </c>
      <c r="D55" s="12">
        <v>94.0</v>
      </c>
      <c r="E55" s="12">
        <v>-159.899395716454</v>
      </c>
      <c r="F55" s="12">
        <v>106.857141652297</v>
      </c>
      <c r="G55" s="12">
        <v>104.0</v>
      </c>
      <c r="H55" s="12">
        <v>86.7271964910474</v>
      </c>
      <c r="I55" s="12">
        <v>-24.5653792050461</v>
      </c>
      <c r="J55" s="12">
        <v>94.0</v>
      </c>
      <c r="K55" s="12">
        <v>113.799051332171</v>
      </c>
      <c r="L55" s="13">
        <v>94.0</v>
      </c>
      <c r="M55" s="12">
        <v>84.8172050783863</v>
      </c>
      <c r="N55" s="12">
        <v>97.5888885754578</v>
      </c>
      <c r="O55" s="12">
        <v>97.852941151437</v>
      </c>
      <c r="P55" s="12">
        <v>106.85625241977</v>
      </c>
      <c r="Q55" s="12">
        <v>97.8529419447355</v>
      </c>
      <c r="R55" s="12">
        <v>97.8201380735213</v>
      </c>
      <c r="S55" s="12">
        <v>97.8529397175208</v>
      </c>
      <c r="T55" s="12">
        <v>91.4389127372754</v>
      </c>
      <c r="U55" s="12">
        <v>97.8529410656966</v>
      </c>
      <c r="V55" s="7">
        <v>97.8529467215731</v>
      </c>
      <c r="W55" s="7">
        <v>106.857142696362</v>
      </c>
      <c r="X55" s="7">
        <v>106.741943495133</v>
      </c>
    </row>
    <row r="56">
      <c r="A56" s="8">
        <v>41821.0</v>
      </c>
      <c r="B56" s="9"/>
      <c r="C56" s="12">
        <v>96.4762028043505</v>
      </c>
      <c r="D56" s="12">
        <v>67.5</v>
      </c>
      <c r="E56" s="12">
        <v>-37.9</v>
      </c>
      <c r="F56" s="12">
        <v>106.857141652297</v>
      </c>
      <c r="G56" s="12">
        <v>104.0</v>
      </c>
      <c r="H56" s="12">
        <v>79.3659732307153</v>
      </c>
      <c r="I56" s="12">
        <v>-35.2911388501701</v>
      </c>
      <c r="J56" s="12">
        <v>67.5</v>
      </c>
      <c r="K56" s="12">
        <v>94.0</v>
      </c>
      <c r="L56" s="13">
        <v>67.5</v>
      </c>
      <c r="M56" s="12">
        <v>93.3224871637143</v>
      </c>
      <c r="N56" s="12">
        <v>97.584951575864</v>
      </c>
      <c r="O56" s="12">
        <v>97.852941151437</v>
      </c>
      <c r="P56" s="12">
        <v>106.85625241977</v>
      </c>
      <c r="Q56" s="12">
        <v>188.512217532259</v>
      </c>
      <c r="R56" s="12">
        <v>100.441051750631</v>
      </c>
      <c r="S56" s="12">
        <v>-2508.187626872</v>
      </c>
      <c r="T56" s="12">
        <v>91.4503968492154</v>
      </c>
      <c r="U56" s="12">
        <v>97.8529410656966</v>
      </c>
      <c r="V56" s="7">
        <v>97.8529467215731</v>
      </c>
      <c r="W56" s="7">
        <v>106.857142696362</v>
      </c>
      <c r="X56" s="7">
        <v>106.741943495133</v>
      </c>
    </row>
    <row r="57">
      <c r="A57" s="8">
        <v>41852.0</v>
      </c>
      <c r="B57" s="9"/>
      <c r="C57" s="12">
        <v>96.4762028043505</v>
      </c>
      <c r="D57" s="12">
        <v>94.0</v>
      </c>
      <c r="E57" s="12">
        <v>84.1</v>
      </c>
      <c r="F57" s="12">
        <v>106.857141652297</v>
      </c>
      <c r="G57" s="12">
        <v>104.0</v>
      </c>
      <c r="H57" s="12">
        <v>93.3659732307153</v>
      </c>
      <c r="I57" s="12">
        <v>-30.2730579730583</v>
      </c>
      <c r="J57" s="12">
        <v>94.0</v>
      </c>
      <c r="K57" s="12">
        <v>94.0</v>
      </c>
      <c r="L57" s="13">
        <v>94.0</v>
      </c>
      <c r="M57" s="12">
        <v>85.7374887538639</v>
      </c>
      <c r="N57" s="12">
        <v>97.584951575864</v>
      </c>
      <c r="O57" s="12">
        <v>97.852941151437</v>
      </c>
      <c r="P57" s="12">
        <v>106.85625241977</v>
      </c>
      <c r="Q57" s="12">
        <v>715.454570642876</v>
      </c>
      <c r="R57" s="12">
        <v>99.4969238394326</v>
      </c>
      <c r="S57" s="12">
        <v>-2508.187626872</v>
      </c>
      <c r="T57" s="12">
        <v>91.512185785059</v>
      </c>
      <c r="U57" s="12">
        <v>97.8529410656966</v>
      </c>
      <c r="V57" s="7">
        <v>97.8529467215731</v>
      </c>
      <c r="W57" s="7">
        <v>106.857142696362</v>
      </c>
      <c r="X57" s="7">
        <v>106.741943495133</v>
      </c>
    </row>
    <row r="58">
      <c r="A58" s="8">
        <v>41883.0</v>
      </c>
      <c r="B58" s="9"/>
      <c r="C58" s="12">
        <v>96.4762028043505</v>
      </c>
      <c r="D58" s="12">
        <v>67.5</v>
      </c>
      <c r="E58" s="12">
        <v>86.1</v>
      </c>
      <c r="F58" s="12">
        <v>106.857141652297</v>
      </c>
      <c r="G58" s="12">
        <v>104.0</v>
      </c>
      <c r="H58" s="12">
        <v>93.3659732307153</v>
      </c>
      <c r="I58" s="12">
        <v>-115.270688735995</v>
      </c>
      <c r="J58" s="12">
        <v>67.5</v>
      </c>
      <c r="K58" s="12">
        <v>94.0</v>
      </c>
      <c r="L58" s="13">
        <v>67.5</v>
      </c>
      <c r="M58" s="12">
        <v>85.7374887538639</v>
      </c>
      <c r="N58" s="12">
        <v>97.584951575864</v>
      </c>
      <c r="O58" s="12">
        <v>97.852941151437</v>
      </c>
      <c r="P58" s="12">
        <v>106.85625241977</v>
      </c>
      <c r="Q58" s="12">
        <v>1103.13876831357</v>
      </c>
      <c r="R58" s="12">
        <v>99.4969238394326</v>
      </c>
      <c r="S58" s="12">
        <v>-2508.187626872</v>
      </c>
      <c r="T58" s="12">
        <v>95.6519350410422</v>
      </c>
      <c r="U58" s="12">
        <v>97.8529410656966</v>
      </c>
      <c r="V58" s="7">
        <v>97.8529467215731</v>
      </c>
      <c r="W58" s="7">
        <v>106.857142696362</v>
      </c>
      <c r="X58" s="7">
        <v>106.741943495133</v>
      </c>
    </row>
    <row r="59">
      <c r="A59" s="8">
        <v>41913.0</v>
      </c>
      <c r="B59" s="9"/>
      <c r="C59" s="12">
        <v>96.4762028043505</v>
      </c>
      <c r="D59" s="12">
        <v>67.5</v>
      </c>
      <c r="E59" s="12">
        <v>96.5</v>
      </c>
      <c r="F59" s="12">
        <v>106.857141652297</v>
      </c>
      <c r="G59" s="12">
        <v>104.0</v>
      </c>
      <c r="H59" s="12">
        <v>85.0667885921197</v>
      </c>
      <c r="I59" s="12">
        <v>-24.3822640506613</v>
      </c>
      <c r="J59" s="12">
        <v>67.5</v>
      </c>
      <c r="K59" s="12">
        <v>94.0</v>
      </c>
      <c r="L59" s="13">
        <v>67.5</v>
      </c>
      <c r="M59" s="12">
        <v>85.0357292566695</v>
      </c>
      <c r="N59" s="12">
        <v>97.584951575864</v>
      </c>
      <c r="O59" s="12">
        <v>50.965417649391</v>
      </c>
      <c r="P59" s="12">
        <v>106.85625241977</v>
      </c>
      <c r="Q59" s="12">
        <v>97.8529419447355</v>
      </c>
      <c r="R59" s="12">
        <v>87.5184742195244</v>
      </c>
      <c r="S59" s="12">
        <v>97.8529397175208</v>
      </c>
      <c r="T59" s="12">
        <v>93.1727588911215</v>
      </c>
      <c r="U59" s="12">
        <v>97.8529410656966</v>
      </c>
      <c r="V59" s="7">
        <v>97.8529467215731</v>
      </c>
      <c r="W59" s="7">
        <v>106.857142696362</v>
      </c>
      <c r="X59" s="7">
        <v>106.741943495133</v>
      </c>
    </row>
    <row r="60">
      <c r="A60" s="8">
        <v>41944.0</v>
      </c>
      <c r="B60" s="9"/>
      <c r="C60" s="12">
        <v>96.4762028043505</v>
      </c>
      <c r="D60" s="12">
        <v>67.5</v>
      </c>
      <c r="E60" s="12">
        <v>98.0</v>
      </c>
      <c r="F60" s="12">
        <v>106.857141652297</v>
      </c>
      <c r="G60" s="12">
        <v>104.0</v>
      </c>
      <c r="H60" s="12">
        <v>87.0374803572023</v>
      </c>
      <c r="I60" s="12">
        <v>-8.52018714907922</v>
      </c>
      <c r="J60" s="12">
        <v>67.5</v>
      </c>
      <c r="K60" s="12">
        <v>90.8589050091319</v>
      </c>
      <c r="L60" s="13">
        <v>67.5</v>
      </c>
      <c r="M60" s="12">
        <v>81.9164408959858</v>
      </c>
      <c r="N60" s="12">
        <v>97.584951575864</v>
      </c>
      <c r="O60" s="12">
        <v>97.852941151437</v>
      </c>
      <c r="P60" s="12">
        <v>106.85625241977</v>
      </c>
      <c r="Q60" s="12">
        <v>97.8529419447355</v>
      </c>
      <c r="R60" s="12">
        <v>87.5184742195244</v>
      </c>
      <c r="S60" s="12">
        <v>97.8529397175208</v>
      </c>
      <c r="T60" s="12">
        <v>94.8005695420091</v>
      </c>
      <c r="U60" s="12">
        <v>97.8529410656966</v>
      </c>
      <c r="V60" s="7">
        <v>97.8529467215731</v>
      </c>
      <c r="W60" s="7">
        <v>106.857142696362</v>
      </c>
      <c r="X60" s="7">
        <v>106.741943495133</v>
      </c>
    </row>
    <row r="61">
      <c r="A61" s="8">
        <v>41974.0</v>
      </c>
      <c r="B61" s="9"/>
      <c r="C61" s="12">
        <v>96.4762028043505</v>
      </c>
      <c r="D61" s="12">
        <v>94.0</v>
      </c>
      <c r="E61" s="12">
        <v>100.5</v>
      </c>
      <c r="F61" s="12">
        <v>106.857141652297</v>
      </c>
      <c r="G61" s="12">
        <v>104.0</v>
      </c>
      <c r="H61" s="12">
        <v>89.2433290362458</v>
      </c>
      <c r="I61" s="12">
        <v>109.863841382957</v>
      </c>
      <c r="J61" s="12">
        <v>94.0</v>
      </c>
      <c r="K61" s="12">
        <v>95.6895752657867</v>
      </c>
      <c r="L61" s="13">
        <v>94.0</v>
      </c>
      <c r="M61" s="12">
        <v>79.1164256122794</v>
      </c>
      <c r="N61" s="12">
        <v>97.584951575864</v>
      </c>
      <c r="O61" s="12">
        <v>97.852941151437</v>
      </c>
      <c r="P61" s="12">
        <v>106.85625241977</v>
      </c>
      <c r="Q61" s="12">
        <v>97.8529419447355</v>
      </c>
      <c r="R61" s="12">
        <v>87.5184742195244</v>
      </c>
      <c r="S61" s="12">
        <v>97.8529397175208</v>
      </c>
      <c r="T61" s="12">
        <v>95.2477192797543</v>
      </c>
      <c r="U61" s="12">
        <v>97.8529410656966</v>
      </c>
      <c r="V61" s="7">
        <v>97.8529467215731</v>
      </c>
      <c r="W61" s="7">
        <v>106.857142696362</v>
      </c>
      <c r="X61" s="7">
        <v>106.741943495133</v>
      </c>
    </row>
    <row r="62">
      <c r="A62" s="8">
        <v>42005.0</v>
      </c>
      <c r="B62" s="9">
        <f>IFERROR(__xludf.DUMMYFUNCTION("""COMPUTED_VALUE"""),6.0)</f>
        <v>6</v>
      </c>
      <c r="C62" s="12">
        <v>96.4762028043505</v>
      </c>
      <c r="D62" s="12">
        <v>94.0</v>
      </c>
      <c r="E62" s="12">
        <v>103.0</v>
      </c>
      <c r="F62" s="12">
        <v>106.857141652297</v>
      </c>
      <c r="G62" s="12">
        <v>104.0</v>
      </c>
      <c r="H62" s="12">
        <v>87.2194136296776</v>
      </c>
      <c r="I62" s="12">
        <v>221.229584319757</v>
      </c>
      <c r="J62" s="12">
        <v>94.0</v>
      </c>
      <c r="K62" s="12">
        <v>94.6048938253672</v>
      </c>
      <c r="L62" s="13">
        <v>94.0</v>
      </c>
      <c r="M62" s="12">
        <v>73.8387124744288</v>
      </c>
      <c r="N62" s="12">
        <v>97.584951575864</v>
      </c>
      <c r="O62" s="12">
        <v>97.852941151437</v>
      </c>
      <c r="P62" s="12">
        <v>106.85625241977</v>
      </c>
      <c r="Q62" s="12">
        <v>97.8529419447355</v>
      </c>
      <c r="R62" s="12">
        <v>87.5184742195244</v>
      </c>
      <c r="S62" s="12">
        <v>-2267.187626872</v>
      </c>
      <c r="T62" s="12">
        <v>85.9252997568161</v>
      </c>
      <c r="U62" s="12">
        <v>97.8529410656966</v>
      </c>
      <c r="V62" s="7">
        <v>97.8529467215731</v>
      </c>
      <c r="W62" s="7">
        <v>106.857142696362</v>
      </c>
      <c r="X62" s="7">
        <v>106.741943495133</v>
      </c>
    </row>
    <row r="63">
      <c r="A63" s="8">
        <v>42036.0</v>
      </c>
      <c r="B63" s="9">
        <f>IFERROR(__xludf.DUMMYFUNCTION("""COMPUTED_VALUE"""),79.0)</f>
        <v>79</v>
      </c>
      <c r="C63" s="12">
        <v>96.4762028043505</v>
      </c>
      <c r="D63" s="12">
        <v>94.0</v>
      </c>
      <c r="E63" s="12">
        <v>103.047955494782</v>
      </c>
      <c r="F63" s="12">
        <v>106.857141652297</v>
      </c>
      <c r="G63" s="12">
        <v>104.0</v>
      </c>
      <c r="H63" s="12">
        <v>97.0620691981594</v>
      </c>
      <c r="I63" s="12">
        <v>51.7266998320914</v>
      </c>
      <c r="J63" s="12">
        <v>94.0</v>
      </c>
      <c r="K63" s="12">
        <v>92.9961671472707</v>
      </c>
      <c r="L63" s="13">
        <v>94.0</v>
      </c>
      <c r="M63" s="12">
        <v>107.193586782499</v>
      </c>
      <c r="N63" s="12">
        <v>185.701125509522</v>
      </c>
      <c r="O63" s="12">
        <v>97.852941151437</v>
      </c>
      <c r="P63" s="12">
        <v>106.85625241977</v>
      </c>
      <c r="Q63" s="12">
        <v>97.8529419447355</v>
      </c>
      <c r="R63" s="12">
        <v>97.3184742195244</v>
      </c>
      <c r="S63" s="12">
        <v>-2362.187626872</v>
      </c>
      <c r="T63" s="12">
        <v>86.6999199618422</v>
      </c>
      <c r="U63" s="12">
        <v>97.8529410656966</v>
      </c>
      <c r="V63" s="7">
        <v>97.8529467215731</v>
      </c>
      <c r="W63" s="7">
        <v>106.857142696362</v>
      </c>
      <c r="X63" s="7">
        <v>106.741943495133</v>
      </c>
    </row>
    <row r="64">
      <c r="A64" s="8">
        <v>42064.0</v>
      </c>
      <c r="B64" s="9"/>
      <c r="C64" s="12">
        <v>96.4762028043505</v>
      </c>
      <c r="D64" s="12">
        <v>41.0</v>
      </c>
      <c r="E64" s="12">
        <v>103.0</v>
      </c>
      <c r="F64" s="12">
        <v>106.857141652297</v>
      </c>
      <c r="G64" s="12">
        <v>104.0</v>
      </c>
      <c r="H64" s="12">
        <v>90.9856466254702</v>
      </c>
      <c r="I64" s="12">
        <v>217.862240609485</v>
      </c>
      <c r="J64" s="12">
        <v>41.0</v>
      </c>
      <c r="K64" s="12">
        <v>85.1509321133606</v>
      </c>
      <c r="L64" s="13">
        <v>41.0</v>
      </c>
      <c r="M64" s="12">
        <v>90.3516964483149</v>
      </c>
      <c r="N64" s="12">
        <v>97.584951575864</v>
      </c>
      <c r="O64" s="12">
        <v>97.852941151437</v>
      </c>
      <c r="P64" s="12">
        <v>106.85625241977</v>
      </c>
      <c r="Q64" s="12">
        <v>97.8529419447355</v>
      </c>
      <c r="R64" s="12">
        <v>97.8184742195244</v>
      </c>
      <c r="S64" s="12">
        <v>-2375.187626872</v>
      </c>
      <c r="T64" s="12">
        <v>80.1629039347741</v>
      </c>
      <c r="U64" s="12">
        <v>97.8529410656966</v>
      </c>
      <c r="V64" s="7">
        <v>97.8529467215731</v>
      </c>
      <c r="W64" s="7">
        <v>106.857142696362</v>
      </c>
      <c r="X64" s="7">
        <v>106.741943495133</v>
      </c>
    </row>
    <row r="65">
      <c r="A65" s="8">
        <v>42095.0</v>
      </c>
      <c r="B65" s="9"/>
      <c r="C65" s="12">
        <v>96.4762028043505</v>
      </c>
      <c r="D65" s="12">
        <v>37.0</v>
      </c>
      <c r="E65" s="12">
        <v>94.9571813862727</v>
      </c>
      <c r="F65" s="12">
        <v>106.857141652297</v>
      </c>
      <c r="G65" s="12">
        <v>104.0</v>
      </c>
      <c r="H65" s="12">
        <v>89.6269804073033</v>
      </c>
      <c r="I65" s="12">
        <v>211.302404966584</v>
      </c>
      <c r="J65" s="12">
        <v>37.0</v>
      </c>
      <c r="K65" s="12">
        <v>92.6306980458881</v>
      </c>
      <c r="L65" s="13">
        <v>37.0</v>
      </c>
      <c r="M65" s="12">
        <v>70.7092791191463</v>
      </c>
      <c r="N65" s="12">
        <v>101.278358267554</v>
      </c>
      <c r="O65" s="12">
        <v>97.852941151437</v>
      </c>
      <c r="P65" s="12">
        <v>106.85625241977</v>
      </c>
      <c r="Q65" s="12">
        <v>97.8529419447355</v>
      </c>
      <c r="R65" s="12">
        <v>97.8196920599699</v>
      </c>
      <c r="S65" s="12">
        <v>-2389.187626872</v>
      </c>
      <c r="T65" s="12">
        <v>91.4453243723368</v>
      </c>
      <c r="U65" s="12">
        <v>97.8529410656966</v>
      </c>
      <c r="V65" s="7">
        <v>97.8529467215731</v>
      </c>
      <c r="W65" s="7">
        <v>106.857142696362</v>
      </c>
      <c r="X65" s="7">
        <v>106.741943495133</v>
      </c>
    </row>
    <row r="66">
      <c r="A66" s="8">
        <v>42125.0</v>
      </c>
      <c r="B66" s="9"/>
      <c r="C66" s="12">
        <v>93.5287883744728</v>
      </c>
      <c r="D66" s="12">
        <v>35.5</v>
      </c>
      <c r="E66" s="12">
        <v>96.7763185407174</v>
      </c>
      <c r="F66" s="12">
        <v>106.857141652297</v>
      </c>
      <c r="G66" s="12">
        <v>600.508253933067</v>
      </c>
      <c r="H66" s="12">
        <v>107.560587681261</v>
      </c>
      <c r="I66" s="12">
        <v>75.6105578797597</v>
      </c>
      <c r="J66" s="12">
        <v>35.5</v>
      </c>
      <c r="K66" s="12">
        <v>94.1264239116198</v>
      </c>
      <c r="L66" s="13">
        <v>53.1333333333333</v>
      </c>
      <c r="M66" s="12">
        <v>72.9163758877714</v>
      </c>
      <c r="N66" s="12">
        <v>162.086846595905</v>
      </c>
      <c r="O66" s="12">
        <v>97.852941151437</v>
      </c>
      <c r="P66" s="12">
        <v>106.85625241977</v>
      </c>
      <c r="Q66" s="12">
        <v>97.8529419447355</v>
      </c>
      <c r="R66" s="12">
        <v>97.8196864932056</v>
      </c>
      <c r="S66" s="12">
        <v>-2299.187626872</v>
      </c>
      <c r="T66" s="12">
        <v>93.0811438290919</v>
      </c>
      <c r="U66" s="12">
        <v>97.8529410656966</v>
      </c>
      <c r="V66" s="7">
        <v>97.8529467215731</v>
      </c>
      <c r="W66" s="7">
        <v>106.857142696362</v>
      </c>
      <c r="X66" s="7">
        <v>106.741943495133</v>
      </c>
    </row>
    <row r="67">
      <c r="A67" s="8">
        <v>42156.0</v>
      </c>
      <c r="B67" s="9"/>
      <c r="C67" s="12">
        <v>96.7548333739453</v>
      </c>
      <c r="D67" s="12">
        <v>29.5</v>
      </c>
      <c r="E67" s="12">
        <v>114.279138522366</v>
      </c>
      <c r="F67" s="12">
        <v>106.857141652297</v>
      </c>
      <c r="G67" s="12">
        <v>104.0</v>
      </c>
      <c r="H67" s="12">
        <v>139.956140776843</v>
      </c>
      <c r="I67" s="12">
        <v>69.3188363984645</v>
      </c>
      <c r="J67" s="12">
        <v>29.5</v>
      </c>
      <c r="K67" s="12">
        <v>93.8455912436349</v>
      </c>
      <c r="L67" s="13">
        <v>29.5</v>
      </c>
      <c r="M67" s="12">
        <v>86.3941989165906</v>
      </c>
      <c r="N67" s="12">
        <v>117.497636968809</v>
      </c>
      <c r="O67" s="12">
        <v>97.852941151437</v>
      </c>
      <c r="P67" s="12">
        <v>5439.15397673983</v>
      </c>
      <c r="Q67" s="12">
        <v>97.8529419447355</v>
      </c>
      <c r="R67" s="12">
        <v>97.8196879323481</v>
      </c>
      <c r="S67" s="12">
        <v>-2430.15287750779</v>
      </c>
      <c r="T67" s="12">
        <v>91.8490063295102</v>
      </c>
      <c r="U67" s="12">
        <v>97.8529410656966</v>
      </c>
      <c r="V67" s="7">
        <v>97.8529467215731</v>
      </c>
      <c r="W67" s="7">
        <v>106.857142696362</v>
      </c>
      <c r="X67" s="7">
        <v>106.741943495133</v>
      </c>
    </row>
    <row r="68">
      <c r="A68" s="8">
        <v>42186.0</v>
      </c>
      <c r="B68" s="9"/>
      <c r="C68" s="12">
        <v>96.9625834410651</v>
      </c>
      <c r="D68" s="12">
        <v>23.0</v>
      </c>
      <c r="E68" s="12">
        <v>106.017594895914</v>
      </c>
      <c r="F68" s="12">
        <v>106.857141652297</v>
      </c>
      <c r="G68" s="12">
        <v>104.0</v>
      </c>
      <c r="H68" s="12">
        <v>91.0539847321481</v>
      </c>
      <c r="I68" s="12">
        <v>64.6136618567874</v>
      </c>
      <c r="J68" s="12">
        <v>23.0</v>
      </c>
      <c r="K68" s="12">
        <v>92.237739446334</v>
      </c>
      <c r="L68" s="13">
        <v>23.0</v>
      </c>
      <c r="M68" s="12">
        <v>84.8759184295578</v>
      </c>
      <c r="N68" s="12">
        <v>98.0116936991111</v>
      </c>
      <c r="O68" s="12">
        <v>97.852941151437</v>
      </c>
      <c r="P68" s="12">
        <v>1035.0</v>
      </c>
      <c r="Q68" s="12">
        <v>97.8529419447355</v>
      </c>
      <c r="R68" s="12">
        <v>97.8197121727605</v>
      </c>
      <c r="S68" s="12">
        <v>-2446.187626872</v>
      </c>
      <c r="T68" s="12">
        <v>88.7300147604963</v>
      </c>
      <c r="U68" s="12">
        <v>97.8529410656966</v>
      </c>
      <c r="V68" s="7">
        <v>97.8529467215731</v>
      </c>
      <c r="W68" s="7">
        <v>106.857142696362</v>
      </c>
      <c r="X68" s="7">
        <v>106.741943495133</v>
      </c>
    </row>
    <row r="69">
      <c r="A69" s="8">
        <v>42217.0</v>
      </c>
      <c r="B69" s="9"/>
      <c r="C69" s="12">
        <v>96.0586980095445</v>
      </c>
      <c r="D69" s="12">
        <v>25.0</v>
      </c>
      <c r="E69" s="12">
        <v>106.008720963663</v>
      </c>
      <c r="F69" s="12">
        <v>106.857141652297</v>
      </c>
      <c r="G69" s="12">
        <v>104.0</v>
      </c>
      <c r="H69" s="12">
        <v>111.953446506888</v>
      </c>
      <c r="I69" s="12">
        <v>118.144430771517</v>
      </c>
      <c r="J69" s="12">
        <v>25.0</v>
      </c>
      <c r="K69" s="12">
        <v>89.9624666935054</v>
      </c>
      <c r="L69" s="13">
        <v>123.285714285714</v>
      </c>
      <c r="M69" s="12">
        <v>93.3208509150699</v>
      </c>
      <c r="N69" s="12">
        <v>97.6005420942556</v>
      </c>
      <c r="O69" s="12">
        <v>97.852941151437</v>
      </c>
      <c r="P69" s="12">
        <v>117.0</v>
      </c>
      <c r="Q69" s="12">
        <v>97.8529419447355</v>
      </c>
      <c r="R69" s="12">
        <v>97.8196792260738</v>
      </c>
      <c r="S69" s="12">
        <v>-2493.187626872</v>
      </c>
      <c r="T69" s="12">
        <v>91.747149956947</v>
      </c>
      <c r="U69" s="12">
        <v>97.8529410656966</v>
      </c>
      <c r="V69" s="7">
        <v>97.8529467215731</v>
      </c>
      <c r="W69" s="7">
        <v>106.857142696362</v>
      </c>
      <c r="X69" s="7">
        <v>106.741943495133</v>
      </c>
    </row>
    <row r="70">
      <c r="A70" s="8">
        <v>42248.0</v>
      </c>
      <c r="B70" s="9"/>
      <c r="C70" s="12">
        <v>185.906363163335</v>
      </c>
      <c r="D70" s="12">
        <v>21.0</v>
      </c>
      <c r="E70" s="12">
        <v>108.592500738364</v>
      </c>
      <c r="F70" s="12">
        <v>106.857141652297</v>
      </c>
      <c r="G70" s="12">
        <v>104.0</v>
      </c>
      <c r="H70" s="12">
        <v>90.4733546605425</v>
      </c>
      <c r="I70" s="12">
        <v>183.688613486917</v>
      </c>
      <c r="J70" s="12">
        <v>21.0</v>
      </c>
      <c r="K70" s="12">
        <v>93.3908660548545</v>
      </c>
      <c r="L70" s="13">
        <v>135.071428571429</v>
      </c>
      <c r="M70" s="12">
        <v>-81.2413904468546</v>
      </c>
      <c r="N70" s="12">
        <v>97.5849515758639</v>
      </c>
      <c r="O70" s="12">
        <v>97.852941151437</v>
      </c>
      <c r="P70" s="12">
        <v>106.85625241977</v>
      </c>
      <c r="Q70" s="12">
        <v>97.8529419447355</v>
      </c>
      <c r="R70" s="12">
        <v>104.676685439481</v>
      </c>
      <c r="S70" s="12">
        <v>97.8529397175208</v>
      </c>
      <c r="T70" s="12">
        <v>88.5272034266455</v>
      </c>
      <c r="U70" s="12">
        <v>97.8529410656966</v>
      </c>
      <c r="V70" s="7">
        <v>97.8529467215731</v>
      </c>
      <c r="W70" s="7">
        <v>106.857142696362</v>
      </c>
      <c r="X70" s="7">
        <v>106.741943495133</v>
      </c>
    </row>
    <row r="71">
      <c r="A71" s="8">
        <v>42278.0</v>
      </c>
      <c r="B71" s="9"/>
      <c r="C71" s="12">
        <v>96.0586980095445</v>
      </c>
      <c r="D71" s="12">
        <v>21.0</v>
      </c>
      <c r="E71" s="12">
        <v>106.007529724593</v>
      </c>
      <c r="F71" s="12">
        <v>106.857141652297</v>
      </c>
      <c r="G71" s="12">
        <v>104.0</v>
      </c>
      <c r="H71" s="12">
        <v>100.813802002576</v>
      </c>
      <c r="I71" s="12">
        <v>206.617647062616</v>
      </c>
      <c r="J71" s="12">
        <v>21.0</v>
      </c>
      <c r="K71" s="12">
        <v>96.3143283814481</v>
      </c>
      <c r="L71" s="13">
        <v>21.0</v>
      </c>
      <c r="M71" s="12">
        <v>81.8122786701451</v>
      </c>
      <c r="N71" s="12">
        <v>97.6354052993861</v>
      </c>
      <c r="O71" s="12">
        <v>97.852941151437</v>
      </c>
      <c r="P71" s="12">
        <v>106.85625241977</v>
      </c>
      <c r="Q71" s="12">
        <v>97.8529419447355</v>
      </c>
      <c r="R71" s="12">
        <v>97.8236970206134</v>
      </c>
      <c r="S71" s="12">
        <v>-2428.187626872</v>
      </c>
      <c r="T71" s="12">
        <v>95.342577863325</v>
      </c>
      <c r="U71" s="12">
        <v>97.8529410656966</v>
      </c>
      <c r="V71" s="7">
        <v>97.8529467215731</v>
      </c>
      <c r="W71" s="7">
        <v>106.857142696362</v>
      </c>
      <c r="X71" s="7">
        <v>106.741943495133</v>
      </c>
    </row>
    <row r="72">
      <c r="A72" s="8">
        <v>42309.0</v>
      </c>
      <c r="B72" s="9"/>
      <c r="C72" s="12">
        <v>95.9395853659826</v>
      </c>
      <c r="D72" s="12">
        <v>21.0</v>
      </c>
      <c r="E72" s="12">
        <v>110.461691401926</v>
      </c>
      <c r="F72" s="12">
        <v>106.857141652297</v>
      </c>
      <c r="G72" s="12">
        <v>104.0</v>
      </c>
      <c r="H72" s="12">
        <v>146.178133262907</v>
      </c>
      <c r="I72" s="12">
        <v>229.220645475053</v>
      </c>
      <c r="J72" s="12">
        <v>21.0</v>
      </c>
      <c r="K72" s="12">
        <v>150.449644553087</v>
      </c>
      <c r="L72" s="13">
        <v>21.0</v>
      </c>
      <c r="M72" s="12">
        <v>79.6920167760327</v>
      </c>
      <c r="N72" s="12">
        <v>97.584951575864</v>
      </c>
      <c r="O72" s="12">
        <v>97.852941151437</v>
      </c>
      <c r="P72" s="12">
        <v>1872.0</v>
      </c>
      <c r="Q72" s="12">
        <v>97.8529419447355</v>
      </c>
      <c r="R72" s="12">
        <v>98.0450959541739</v>
      </c>
      <c r="S72" s="12">
        <v>-2431.187626872</v>
      </c>
      <c r="T72" s="12">
        <v>89.9358544241123</v>
      </c>
      <c r="U72" s="12">
        <v>97.8529410656966</v>
      </c>
      <c r="V72" s="7">
        <v>97.8529467215731</v>
      </c>
      <c r="W72" s="7">
        <v>106.857142696362</v>
      </c>
      <c r="X72" s="7">
        <v>106.741943495133</v>
      </c>
    </row>
    <row r="73">
      <c r="A73" s="8">
        <v>42339.0</v>
      </c>
      <c r="B73" s="9">
        <f>IFERROR(__xludf.DUMMYFUNCTION("""COMPUTED_VALUE"""),12.0)</f>
        <v>12</v>
      </c>
      <c r="C73" s="12">
        <v>61.5132550449841</v>
      </c>
      <c r="D73" s="12">
        <v>22.0</v>
      </c>
      <c r="E73" s="12">
        <v>109.385959891423</v>
      </c>
      <c r="F73" s="12">
        <v>106.857141652297</v>
      </c>
      <c r="G73" s="12">
        <v>104.0</v>
      </c>
      <c r="H73" s="12">
        <v>95.1260622685743</v>
      </c>
      <c r="I73" s="12">
        <v>184.717235766599</v>
      </c>
      <c r="J73" s="12">
        <v>22.0</v>
      </c>
      <c r="K73" s="12">
        <v>91.8424976158344</v>
      </c>
      <c r="L73" s="13">
        <v>559.266666666667</v>
      </c>
      <c r="M73" s="12">
        <v>19.9131768935718</v>
      </c>
      <c r="N73" s="12">
        <v>98.2487726564706</v>
      </c>
      <c r="O73" s="12">
        <v>97.852941151437</v>
      </c>
      <c r="P73" s="12">
        <v>300.0</v>
      </c>
      <c r="Q73" s="12">
        <v>97.8529419447355</v>
      </c>
      <c r="R73" s="12">
        <v>98.3567923766502</v>
      </c>
      <c r="S73" s="12">
        <v>-2480.187626872</v>
      </c>
      <c r="T73" s="12">
        <v>84.7228303492265</v>
      </c>
      <c r="U73" s="12">
        <v>97.8529410656966</v>
      </c>
      <c r="V73" s="7">
        <v>97.8529467215731</v>
      </c>
      <c r="W73" s="7">
        <v>106.857142696362</v>
      </c>
      <c r="X73" s="7">
        <v>106.741943495133</v>
      </c>
    </row>
    <row r="74">
      <c r="A74" s="8">
        <v>42370.0</v>
      </c>
      <c r="B74" s="9">
        <f>IFERROR(__xludf.DUMMYFUNCTION("""COMPUTED_VALUE"""),807.0)</f>
        <v>807</v>
      </c>
      <c r="C74" s="12">
        <v>802.751121912041</v>
      </c>
      <c r="D74" s="12">
        <v>727.703122264933</v>
      </c>
      <c r="E74" s="12">
        <v>106.013440285915</v>
      </c>
      <c r="F74" s="12">
        <v>106.857141652297</v>
      </c>
      <c r="G74" s="12">
        <v>884.988289219954</v>
      </c>
      <c r="H74" s="12">
        <v>99.6108405734945</v>
      </c>
      <c r="I74" s="12">
        <v>183.566588267348</v>
      </c>
      <c r="J74" s="12">
        <v>21.0</v>
      </c>
      <c r="K74" s="12">
        <v>828.545095779766</v>
      </c>
      <c r="L74" s="13">
        <v>831.428571428571</v>
      </c>
      <c r="M74" s="12">
        <v>711.631365091841</v>
      </c>
      <c r="N74" s="12">
        <v>97.584951575864</v>
      </c>
      <c r="O74" s="12">
        <v>667.000900966571</v>
      </c>
      <c r="P74" s="12">
        <v>456.037324580694</v>
      </c>
      <c r="Q74" s="12">
        <v>97.8529419447355</v>
      </c>
      <c r="R74" s="12">
        <v>807.001966075905</v>
      </c>
      <c r="S74" s="12">
        <v>812.147060282479</v>
      </c>
      <c r="T74" s="12">
        <v>800.340520837898</v>
      </c>
      <c r="U74" s="12">
        <v>752.280701783335</v>
      </c>
      <c r="V74" s="7">
        <v>97.8529467215731</v>
      </c>
      <c r="W74" s="7">
        <v>106.857142696362</v>
      </c>
      <c r="X74" s="7">
        <v>106.741943495133</v>
      </c>
    </row>
    <row r="75">
      <c r="A75" s="8">
        <v>42401.0</v>
      </c>
      <c r="B75" s="9"/>
      <c r="C75" s="12">
        <v>96.6726854711444</v>
      </c>
      <c r="D75" s="12">
        <v>20.0</v>
      </c>
      <c r="E75" s="12">
        <v>107.6466201852</v>
      </c>
      <c r="F75" s="12">
        <v>106.857141652297</v>
      </c>
      <c r="G75" s="12">
        <v>104.0</v>
      </c>
      <c r="H75" s="12">
        <v>90.5465108433702</v>
      </c>
      <c r="I75" s="12">
        <v>273.719497150536</v>
      </c>
      <c r="J75" s="12">
        <v>247.934534464273</v>
      </c>
      <c r="K75" s="12">
        <v>93.5853372887874</v>
      </c>
      <c r="L75" s="13">
        <v>48.7142857142857</v>
      </c>
      <c r="M75" s="12">
        <v>-51.9915711453694</v>
      </c>
      <c r="N75" s="12">
        <v>98.4126663704714</v>
      </c>
      <c r="O75" s="12">
        <v>97.852941151437</v>
      </c>
      <c r="P75" s="12">
        <v>4088.0</v>
      </c>
      <c r="Q75" s="12">
        <v>97.8529419447355</v>
      </c>
      <c r="R75" s="12">
        <v>113.389110203391</v>
      </c>
      <c r="S75" s="12">
        <v>-2365.187626872</v>
      </c>
      <c r="T75" s="12">
        <v>82.0033275982337</v>
      </c>
      <c r="U75" s="12">
        <v>97.8529410656966</v>
      </c>
      <c r="V75" s="7">
        <v>97.8529467215731</v>
      </c>
      <c r="W75" s="7">
        <v>106.857142696362</v>
      </c>
      <c r="X75" s="7">
        <v>106.741943495133</v>
      </c>
    </row>
    <row r="76">
      <c r="A76" s="8">
        <v>42430.0</v>
      </c>
      <c r="B76" s="9">
        <f>IFERROR(__xludf.DUMMYFUNCTION("""COMPUTED_VALUE"""),4.0)</f>
        <v>4</v>
      </c>
      <c r="C76" s="12">
        <v>96.4762028043505</v>
      </c>
      <c r="D76" s="12">
        <v>20.0</v>
      </c>
      <c r="E76" s="12">
        <v>109.02656402586</v>
      </c>
      <c r="F76" s="12">
        <v>106.857141652297</v>
      </c>
      <c r="G76" s="12">
        <v>104.0</v>
      </c>
      <c r="H76" s="12">
        <v>84.6021954998177</v>
      </c>
      <c r="I76" s="12">
        <v>167.377599377719</v>
      </c>
      <c r="J76" s="12">
        <v>177.995728263594</v>
      </c>
      <c r="K76" s="12">
        <v>79.7082271917958</v>
      </c>
      <c r="L76" s="13">
        <v>20.0</v>
      </c>
      <c r="M76" s="12">
        <v>66.666845542807</v>
      </c>
      <c r="N76" s="12">
        <v>97.584951575864</v>
      </c>
      <c r="O76" s="12">
        <v>97.852941151437</v>
      </c>
      <c r="P76" s="12">
        <v>6842.5</v>
      </c>
      <c r="Q76" s="12">
        <v>97.8529419447355</v>
      </c>
      <c r="R76" s="12">
        <v>97.8197301220268</v>
      </c>
      <c r="S76" s="12">
        <v>-2396.187626872</v>
      </c>
      <c r="T76" s="12">
        <v>80.3091207701728</v>
      </c>
      <c r="U76" s="12">
        <v>97.8529410656966</v>
      </c>
      <c r="V76" s="7">
        <v>97.8529467215731</v>
      </c>
      <c r="W76" s="7">
        <v>106.857142696362</v>
      </c>
      <c r="X76" s="7">
        <v>106.741943495133</v>
      </c>
    </row>
    <row r="77">
      <c r="A77" s="8">
        <v>42461.0</v>
      </c>
      <c r="B77" s="9"/>
      <c r="C77" s="12">
        <v>96.4762028043505</v>
      </c>
      <c r="D77" s="12">
        <v>22.0</v>
      </c>
      <c r="E77" s="12">
        <v>224.243517925164</v>
      </c>
      <c r="F77" s="12">
        <v>106.857141652297</v>
      </c>
      <c r="G77" s="12">
        <v>1120.32980368104</v>
      </c>
      <c r="H77" s="12">
        <v>108.278963776229</v>
      </c>
      <c r="I77" s="12">
        <v>276.615748645799</v>
      </c>
      <c r="J77" s="12">
        <v>434.070053491317</v>
      </c>
      <c r="K77" s="12">
        <v>107.295411336815</v>
      </c>
      <c r="L77" s="13">
        <v>22.0</v>
      </c>
      <c r="M77" s="12">
        <v>13.2332547054018</v>
      </c>
      <c r="N77" s="12">
        <v>97.584951575864</v>
      </c>
      <c r="O77" s="12">
        <v>97.852941151437</v>
      </c>
      <c r="P77" s="12">
        <v>8757.0</v>
      </c>
      <c r="Q77" s="12">
        <v>97.8529419447355</v>
      </c>
      <c r="R77" s="12">
        <v>97.8203442158676</v>
      </c>
      <c r="S77" s="12">
        <v>-2442.187626872</v>
      </c>
      <c r="T77" s="12">
        <v>97.7763298618755</v>
      </c>
      <c r="U77" s="12">
        <v>97.8529410656966</v>
      </c>
      <c r="V77" s="7">
        <v>97.8529467215731</v>
      </c>
      <c r="W77" s="7">
        <v>106.857142696362</v>
      </c>
      <c r="X77" s="7">
        <v>106.741943495133</v>
      </c>
    </row>
    <row r="78">
      <c r="A78" s="8">
        <v>42491.0</v>
      </c>
      <c r="B78" s="9"/>
      <c r="C78" s="12">
        <v>96.4762028043505</v>
      </c>
      <c r="D78" s="12">
        <v>23.0</v>
      </c>
      <c r="E78" s="12">
        <v>106.771970164891</v>
      </c>
      <c r="F78" s="12">
        <v>106.857141652297</v>
      </c>
      <c r="G78" s="12">
        <v>104.0</v>
      </c>
      <c r="H78" s="12">
        <v>99.2897019908903</v>
      </c>
      <c r="I78" s="12">
        <v>5228.87980183137</v>
      </c>
      <c r="J78" s="12">
        <v>57.8578260715957</v>
      </c>
      <c r="K78" s="12">
        <v>99.1263580637375</v>
      </c>
      <c r="L78" s="13">
        <v>23.0</v>
      </c>
      <c r="M78" s="12">
        <v>114.923504579797</v>
      </c>
      <c r="N78" s="12">
        <v>97.8934863600335</v>
      </c>
      <c r="O78" s="12">
        <v>55.1082747922482</v>
      </c>
      <c r="P78" s="12">
        <v>1595.0</v>
      </c>
      <c r="Q78" s="12">
        <v>97.8529419447355</v>
      </c>
      <c r="R78" s="12">
        <v>85.3696767177999</v>
      </c>
      <c r="S78" s="12">
        <v>-2325.187626872</v>
      </c>
      <c r="T78" s="12">
        <v>101.541959185729</v>
      </c>
      <c r="U78" s="12">
        <v>97.8529410656966</v>
      </c>
      <c r="V78" s="7">
        <v>97.8529467215731</v>
      </c>
      <c r="W78" s="7">
        <v>106.857142696362</v>
      </c>
      <c r="X78" s="7">
        <v>106.741943495133</v>
      </c>
    </row>
    <row r="79">
      <c r="A79" s="8">
        <v>42522.0</v>
      </c>
      <c r="B79" s="9">
        <f>IFERROR(__xludf.DUMMYFUNCTION("""COMPUTED_VALUE"""),2614.0)</f>
        <v>2614</v>
      </c>
      <c r="C79" s="12">
        <v>2596.15501555219</v>
      </c>
      <c r="D79" s="12">
        <v>2334.70121808045</v>
      </c>
      <c r="E79" s="12">
        <v>108.263659516215</v>
      </c>
      <c r="F79" s="12">
        <v>2753.90464817902</v>
      </c>
      <c r="G79" s="12">
        <v>638.686382494461</v>
      </c>
      <c r="H79" s="12">
        <v>1981.87329669227</v>
      </c>
      <c r="I79" s="12">
        <v>6437.56261407955</v>
      </c>
      <c r="J79" s="12">
        <v>2774.90479112017</v>
      </c>
      <c r="K79" s="12">
        <v>2614.55021565848</v>
      </c>
      <c r="L79" s="13">
        <v>2618.66666666667</v>
      </c>
      <c r="M79" s="12">
        <v>169.800161011937</v>
      </c>
      <c r="N79" s="12">
        <v>97.584951575864</v>
      </c>
      <c r="O79" s="12">
        <v>2626.96541764939</v>
      </c>
      <c r="P79" s="12">
        <v>1942.76819063251</v>
      </c>
      <c r="Q79" s="12">
        <v>2579.21552474352</v>
      </c>
      <c r="R79" s="12">
        <v>71.5696872785454</v>
      </c>
      <c r="S79" s="12">
        <v>2614.00270165631</v>
      </c>
      <c r="T79" s="12">
        <v>83.7533389151263</v>
      </c>
      <c r="U79" s="12">
        <v>2535.72783928383</v>
      </c>
      <c r="V79" s="7">
        <v>97.8529467215731</v>
      </c>
      <c r="W79" s="7">
        <v>2589.23794287495</v>
      </c>
      <c r="X79" s="7">
        <v>1095.29337366014</v>
      </c>
    </row>
    <row r="80">
      <c r="A80" s="8">
        <v>42552.0</v>
      </c>
      <c r="B80" s="9">
        <f>IFERROR(__xludf.DUMMYFUNCTION("""COMPUTED_VALUE"""),4.0)</f>
        <v>4</v>
      </c>
      <c r="C80" s="12">
        <v>96.4762028043505</v>
      </c>
      <c r="D80" s="12">
        <v>23.0</v>
      </c>
      <c r="E80" s="12">
        <v>108.367110454351</v>
      </c>
      <c r="F80" s="12">
        <v>106.857141652297</v>
      </c>
      <c r="G80" s="12">
        <v>104.0</v>
      </c>
      <c r="H80" s="12">
        <v>1192.18863536314</v>
      </c>
      <c r="I80" s="12">
        <v>3218.45915441081</v>
      </c>
      <c r="J80" s="12">
        <v>32.7928497193002</v>
      </c>
      <c r="K80" s="12">
        <v>71.7955918396484</v>
      </c>
      <c r="L80" s="13">
        <v>23.0</v>
      </c>
      <c r="M80" s="12">
        <v>83.2644891810014</v>
      </c>
      <c r="N80" s="12">
        <v>98.6167604294156</v>
      </c>
      <c r="O80" s="12">
        <v>0.108274792248125</v>
      </c>
      <c r="P80" s="12">
        <v>3307.5</v>
      </c>
      <c r="Q80" s="12">
        <v>97.8529419447355</v>
      </c>
      <c r="R80" s="12">
        <v>72.9196752637054</v>
      </c>
      <c r="S80" s="12">
        <v>-2300.187626872</v>
      </c>
      <c r="T80" s="12">
        <v>87.6292544252035</v>
      </c>
      <c r="U80" s="12">
        <v>97.8529410656966</v>
      </c>
      <c r="V80" s="7">
        <v>97.8529467215731</v>
      </c>
      <c r="W80" s="7">
        <v>106.857142696362</v>
      </c>
      <c r="X80" s="7">
        <v>106.741943495133</v>
      </c>
    </row>
    <row r="81">
      <c r="A81" s="8">
        <v>42583.0</v>
      </c>
      <c r="B81" s="9"/>
      <c r="C81" s="12">
        <v>96.4762028043505</v>
      </c>
      <c r="D81" s="12">
        <v>25.0</v>
      </c>
      <c r="E81" s="12">
        <v>103.506126811964</v>
      </c>
      <c r="F81" s="12">
        <v>106.857141652297</v>
      </c>
      <c r="G81" s="12">
        <v>104.0</v>
      </c>
      <c r="H81" s="12">
        <v>96.3395008684755</v>
      </c>
      <c r="I81" s="12">
        <v>2079.85409625408</v>
      </c>
      <c r="J81" s="12">
        <v>26.4845837436725</v>
      </c>
      <c r="K81" s="12">
        <v>94.7195662422799</v>
      </c>
      <c r="L81" s="13">
        <v>25.0</v>
      </c>
      <c r="M81" s="12">
        <v>136.378777362631</v>
      </c>
      <c r="N81" s="12">
        <v>97.584951575864</v>
      </c>
      <c r="O81" s="12">
        <v>97.852941151437</v>
      </c>
      <c r="P81" s="12">
        <v>1495.51744042188</v>
      </c>
      <c r="Q81" s="12">
        <v>97.8529419447355</v>
      </c>
      <c r="R81" s="12">
        <v>83.869675883821</v>
      </c>
      <c r="S81" s="12">
        <v>97.8529397175208</v>
      </c>
      <c r="T81" s="12">
        <v>131.546083624576</v>
      </c>
      <c r="U81" s="12">
        <v>97.8529410656966</v>
      </c>
      <c r="V81" s="7">
        <v>97.8529467215731</v>
      </c>
      <c r="W81" s="7">
        <v>106.857142696362</v>
      </c>
      <c r="X81" s="7">
        <v>106.741943495133</v>
      </c>
    </row>
    <row r="82">
      <c r="A82" s="8">
        <v>42614.0</v>
      </c>
      <c r="B82" s="9">
        <f>IFERROR(__xludf.DUMMYFUNCTION("""COMPUTED_VALUE"""),7.0)</f>
        <v>7</v>
      </c>
      <c r="C82" s="12">
        <v>96.4762028043505</v>
      </c>
      <c r="D82" s="12">
        <v>23.0</v>
      </c>
      <c r="E82" s="12">
        <v>99.0249033491878</v>
      </c>
      <c r="F82" s="12">
        <v>106.857141652297</v>
      </c>
      <c r="G82" s="12">
        <v>104.0</v>
      </c>
      <c r="H82" s="12">
        <v>102.098010349554</v>
      </c>
      <c r="I82" s="12">
        <v>346.384231821572</v>
      </c>
      <c r="J82" s="12">
        <v>23.0</v>
      </c>
      <c r="K82" s="12">
        <v>92.821359244844</v>
      </c>
      <c r="L82" s="13">
        <v>23.0</v>
      </c>
      <c r="M82" s="12">
        <v>57.6766300624298</v>
      </c>
      <c r="N82" s="12">
        <v>97.584951575864</v>
      </c>
      <c r="O82" s="12">
        <v>97.852941151437</v>
      </c>
      <c r="P82" s="12">
        <v>1125.0</v>
      </c>
      <c r="Q82" s="12">
        <v>97.8529419447355</v>
      </c>
      <c r="R82" s="12">
        <v>94.8184742195244</v>
      </c>
      <c r="S82" s="12">
        <v>-2429.187626872</v>
      </c>
      <c r="T82" s="12">
        <v>59.3345176660368</v>
      </c>
      <c r="U82" s="12">
        <v>97.8529410656966</v>
      </c>
      <c r="V82" s="7">
        <v>97.8529467215731</v>
      </c>
      <c r="W82" s="7">
        <v>106.857142696362</v>
      </c>
      <c r="X82" s="7">
        <v>106.741943495133</v>
      </c>
    </row>
    <row r="83">
      <c r="A83" s="8">
        <v>42644.0</v>
      </c>
      <c r="B83" s="9"/>
      <c r="C83" s="12">
        <v>96.4762028043505</v>
      </c>
      <c r="D83" s="12">
        <v>24.0</v>
      </c>
      <c r="E83" s="12">
        <v>110.502398689008</v>
      </c>
      <c r="F83" s="12">
        <v>106.857141652297</v>
      </c>
      <c r="G83" s="12">
        <v>104.0</v>
      </c>
      <c r="H83" s="12">
        <v>110.329373621215</v>
      </c>
      <c r="I83" s="12">
        <v>-813.958951202859</v>
      </c>
      <c r="J83" s="12">
        <v>24.0</v>
      </c>
      <c r="K83" s="12">
        <v>143.249336333158</v>
      </c>
      <c r="L83" s="13">
        <v>24.0</v>
      </c>
      <c r="M83" s="12">
        <v>95.3317195444868</v>
      </c>
      <c r="N83" s="12">
        <v>97.7284015247011</v>
      </c>
      <c r="O83" s="12">
        <v>97.852941151437</v>
      </c>
      <c r="P83" s="12">
        <v>106.85625241977</v>
      </c>
      <c r="Q83" s="12">
        <v>97.8529419447355</v>
      </c>
      <c r="R83" s="12">
        <v>95.1184742195244</v>
      </c>
      <c r="S83" s="12">
        <v>-2433.187626872</v>
      </c>
      <c r="T83" s="12">
        <v>54.1324974644414</v>
      </c>
      <c r="U83" s="12">
        <v>97.8529410656966</v>
      </c>
      <c r="V83" s="7">
        <v>97.8529467215731</v>
      </c>
      <c r="W83" s="7">
        <v>106.857142696362</v>
      </c>
      <c r="X83" s="7">
        <v>106.741943495133</v>
      </c>
    </row>
    <row r="84">
      <c r="A84" s="8">
        <v>42675.0</v>
      </c>
      <c r="B84" s="9">
        <f>IFERROR(__xludf.DUMMYFUNCTION("""COMPUTED_VALUE"""),59.0)</f>
        <v>59</v>
      </c>
      <c r="C84" s="12">
        <v>96.4762028043505</v>
      </c>
      <c r="D84" s="12">
        <v>54.0272399429877</v>
      </c>
      <c r="E84" s="12">
        <v>110.58235628429</v>
      </c>
      <c r="F84" s="12">
        <v>106.857141652297</v>
      </c>
      <c r="G84" s="12">
        <v>104.0</v>
      </c>
      <c r="H84" s="12">
        <v>100.333876937517</v>
      </c>
      <c r="I84" s="12">
        <v>133.33378688589</v>
      </c>
      <c r="J84" s="12">
        <v>63.0053148159569</v>
      </c>
      <c r="K84" s="12">
        <v>94.0425137901028</v>
      </c>
      <c r="L84" s="13">
        <v>24.0</v>
      </c>
      <c r="M84" s="12">
        <v>92.4781971385189</v>
      </c>
      <c r="N84" s="12">
        <v>97.6787523807323</v>
      </c>
      <c r="O84" s="12">
        <v>97.852941151437</v>
      </c>
      <c r="P84" s="12">
        <v>106.85625241977</v>
      </c>
      <c r="Q84" s="12">
        <v>97.8529419447355</v>
      </c>
      <c r="R84" s="12">
        <v>95.1184742195244</v>
      </c>
      <c r="S84" s="12">
        <v>-2450.187626872</v>
      </c>
      <c r="T84" s="12">
        <v>49.93721887</v>
      </c>
      <c r="U84" s="12">
        <v>97.8529410656966</v>
      </c>
      <c r="V84" s="7">
        <v>97.8529467215731</v>
      </c>
      <c r="W84" s="7">
        <v>106.857142696362</v>
      </c>
      <c r="X84" s="7">
        <v>106.741943495133</v>
      </c>
    </row>
    <row r="85">
      <c r="A85" s="8">
        <v>42705.0</v>
      </c>
      <c r="B85" s="9">
        <f>IFERROR(__xludf.DUMMYFUNCTION("""COMPUTED_VALUE"""),24.0)</f>
        <v>24</v>
      </c>
      <c r="C85" s="12">
        <v>96.4762028043505</v>
      </c>
      <c r="D85" s="12">
        <v>31.5</v>
      </c>
      <c r="E85" s="12">
        <v>110.633316406453</v>
      </c>
      <c r="F85" s="12">
        <v>179.368172195807</v>
      </c>
      <c r="G85" s="12">
        <v>116.468977235662</v>
      </c>
      <c r="H85" s="12">
        <v>150.946046483552</v>
      </c>
      <c r="I85" s="12">
        <v>191.39094486079</v>
      </c>
      <c r="J85" s="12">
        <v>31.5</v>
      </c>
      <c r="K85" s="12">
        <v>93.5464927500918</v>
      </c>
      <c r="L85" s="13">
        <v>31.5</v>
      </c>
      <c r="M85" s="12">
        <v>65.498603713471</v>
      </c>
      <c r="N85" s="12">
        <v>103.334860742664</v>
      </c>
      <c r="O85" s="12">
        <v>97.852941151437</v>
      </c>
      <c r="P85" s="12">
        <v>2690.0</v>
      </c>
      <c r="Q85" s="12">
        <v>97.8529419447355</v>
      </c>
      <c r="R85" s="12">
        <v>95.3184742195244</v>
      </c>
      <c r="S85" s="12">
        <v>-2044.187626872</v>
      </c>
      <c r="T85" s="12">
        <v>48.6805244237849</v>
      </c>
      <c r="U85" s="12">
        <v>97.8529410656966</v>
      </c>
      <c r="V85" s="7">
        <v>97.8529467215731</v>
      </c>
      <c r="W85" s="7">
        <v>106.857142696362</v>
      </c>
      <c r="X85" s="7">
        <v>106.741943495133</v>
      </c>
    </row>
    <row r="86">
      <c r="A86" s="8">
        <v>42736.0</v>
      </c>
      <c r="B86" s="9">
        <f>IFERROR(__xludf.DUMMYFUNCTION("""COMPUTED_VALUE"""),43.0)</f>
        <v>43</v>
      </c>
      <c r="C86" s="12">
        <v>96.4762028043505</v>
      </c>
      <c r="D86" s="12">
        <v>38.0</v>
      </c>
      <c r="E86" s="12">
        <v>107.802092043403</v>
      </c>
      <c r="F86" s="12">
        <v>106.857141652297</v>
      </c>
      <c r="G86" s="12">
        <v>109.454523709825</v>
      </c>
      <c r="H86" s="12">
        <v>135.577887920841</v>
      </c>
      <c r="I86" s="12">
        <v>165.966416298089</v>
      </c>
      <c r="J86" s="12">
        <v>38.0</v>
      </c>
      <c r="K86" s="12">
        <v>93.5608487612612</v>
      </c>
      <c r="L86" s="13">
        <v>38.0</v>
      </c>
      <c r="M86" s="12">
        <v>40.9489783840657</v>
      </c>
      <c r="N86" s="12">
        <v>97.584951575864</v>
      </c>
      <c r="O86" s="12">
        <v>97.852941151437</v>
      </c>
      <c r="P86" s="12">
        <v>1445.0</v>
      </c>
      <c r="Q86" s="12">
        <v>97.8529419447355</v>
      </c>
      <c r="R86" s="12">
        <v>95.3184742195244</v>
      </c>
      <c r="S86" s="12">
        <v>-2113.187626872</v>
      </c>
      <c r="T86" s="12">
        <v>53.2291833391257</v>
      </c>
      <c r="U86" s="12">
        <v>97.8529410656966</v>
      </c>
      <c r="V86" s="7">
        <v>97.8529467215731</v>
      </c>
      <c r="W86" s="7">
        <v>106.857142696362</v>
      </c>
      <c r="X86" s="7">
        <v>106.741943495133</v>
      </c>
    </row>
    <row r="87">
      <c r="A87" s="8">
        <v>42767.0</v>
      </c>
      <c r="B87" s="9">
        <f>IFERROR(__xludf.DUMMYFUNCTION("""COMPUTED_VALUE"""),3228.0)</f>
        <v>3228</v>
      </c>
      <c r="C87" s="12">
        <v>2857.99696502104</v>
      </c>
      <c r="D87" s="12">
        <v>2812.00247640186</v>
      </c>
      <c r="E87" s="12">
        <v>3130.82524322695</v>
      </c>
      <c r="F87" s="12">
        <v>3320.86467877994</v>
      </c>
      <c r="G87" s="12">
        <v>128.14961599425</v>
      </c>
      <c r="H87" s="12">
        <v>3206.31576115382</v>
      </c>
      <c r="I87" s="12">
        <v>600.482813444065</v>
      </c>
      <c r="J87" s="12">
        <v>3240.7468875197</v>
      </c>
      <c r="K87" s="12">
        <v>3217.9786626936</v>
      </c>
      <c r="L87" s="13">
        <v>54.0</v>
      </c>
      <c r="M87" s="12">
        <v>2941.84903772481</v>
      </c>
      <c r="N87" s="12">
        <v>97.5849515758641</v>
      </c>
      <c r="O87" s="12">
        <v>3175.8068492109</v>
      </c>
      <c r="P87" s="12">
        <v>984306.564427092</v>
      </c>
      <c r="Q87" s="12">
        <v>2858.18464503184</v>
      </c>
      <c r="R87" s="12">
        <v>3226.86314130066</v>
      </c>
      <c r="S87" s="12">
        <v>3170.12806345741</v>
      </c>
      <c r="T87" s="12">
        <v>3205.13542348039</v>
      </c>
      <c r="U87" s="12">
        <v>3226.97863772824</v>
      </c>
      <c r="V87" s="7">
        <v>97.8529467215731</v>
      </c>
      <c r="W87" s="7">
        <v>3196.06028792417</v>
      </c>
      <c r="X87" s="7">
        <v>2894.17009704159</v>
      </c>
    </row>
    <row r="88">
      <c r="A88" s="8">
        <v>42795.0</v>
      </c>
      <c r="B88" s="9">
        <f>IFERROR(__xludf.DUMMYFUNCTION("""COMPUTED_VALUE"""),14508.0)</f>
        <v>14508</v>
      </c>
      <c r="C88" s="12">
        <v>7620.77992787191</v>
      </c>
      <c r="D88" s="12">
        <v>13367.4787320905</v>
      </c>
      <c r="E88" s="12">
        <v>14503.5924727539</v>
      </c>
      <c r="F88" s="12">
        <v>14563.4807584835</v>
      </c>
      <c r="G88" s="12">
        <v>17260.0222368092</v>
      </c>
      <c r="H88" s="12">
        <v>7666.7715458934</v>
      </c>
      <c r="I88" s="12">
        <v>3847.88196807174</v>
      </c>
      <c r="J88" s="12">
        <v>14595.5730849478</v>
      </c>
      <c r="K88" s="12">
        <v>14207.0199346781</v>
      </c>
      <c r="L88" s="13">
        <v>54.0</v>
      </c>
      <c r="M88" s="12">
        <v>14508.1712896787</v>
      </c>
      <c r="N88" s="12">
        <v>97.5849515758639</v>
      </c>
      <c r="O88" s="12">
        <v>14461.8683053444</v>
      </c>
      <c r="P88" s="12">
        <v>570882.475890113</v>
      </c>
      <c r="Q88" s="12">
        <v>8830.14879719178</v>
      </c>
      <c r="R88" s="12">
        <v>565.336067592718</v>
      </c>
      <c r="S88" s="12">
        <v>14508.0068233332</v>
      </c>
      <c r="T88" s="12">
        <v>14470.0825721011</v>
      </c>
      <c r="U88" s="12">
        <v>14501.7645242042</v>
      </c>
      <c r="V88" s="7">
        <v>13198.1183270052</v>
      </c>
      <c r="W88" s="7">
        <v>14507.9999977875</v>
      </c>
      <c r="X88" s="7">
        <v>14229.546790241</v>
      </c>
    </row>
    <row r="89">
      <c r="A89" s="8">
        <v>42826.0</v>
      </c>
      <c r="B89" s="9">
        <f>IFERROR(__xludf.DUMMYFUNCTION("""COMPUTED_VALUE"""),14811.0)</f>
        <v>14811</v>
      </c>
      <c r="C89" s="12">
        <v>10445.1682903983</v>
      </c>
      <c r="D89" s="12">
        <v>13665.4410704051</v>
      </c>
      <c r="E89" s="12">
        <v>14752.2927848345</v>
      </c>
      <c r="F89" s="12">
        <v>16388.3249959742</v>
      </c>
      <c r="G89" s="12">
        <v>14634.23144862</v>
      </c>
      <c r="H89" s="12">
        <v>9609.19922148225</v>
      </c>
      <c r="I89" s="12">
        <v>17070.2911156605</v>
      </c>
      <c r="J89" s="12">
        <v>14877.977461753</v>
      </c>
      <c r="K89" s="12">
        <v>15002.4557611319</v>
      </c>
      <c r="L89" s="13">
        <v>54.0</v>
      </c>
      <c r="M89" s="12">
        <v>14810.8185790036</v>
      </c>
      <c r="N89" s="12">
        <v>10679.6869804087</v>
      </c>
      <c r="O89" s="12">
        <v>14838.3404898414</v>
      </c>
      <c r="P89" s="12">
        <v>342080.812898548</v>
      </c>
      <c r="Q89" s="12">
        <v>15184.1251531249</v>
      </c>
      <c r="R89" s="12">
        <v>11110.7507483287</v>
      </c>
      <c r="S89" s="12">
        <v>14810.9086106321</v>
      </c>
      <c r="T89" s="12">
        <v>14811.3470948996</v>
      </c>
      <c r="U89" s="12">
        <v>14899.9505250636</v>
      </c>
      <c r="V89" s="7">
        <v>14811.0</v>
      </c>
      <c r="W89" s="7">
        <v>14811.0127236752</v>
      </c>
      <c r="X89" s="7">
        <v>17906.0047101512</v>
      </c>
    </row>
    <row r="90">
      <c r="A90" s="8">
        <v>42856.0</v>
      </c>
      <c r="B90" s="9">
        <f>IFERROR(__xludf.DUMMYFUNCTION("""COMPUTED_VALUE"""),5953.0)</f>
        <v>5953</v>
      </c>
      <c r="C90" s="12">
        <v>10254.6521253611</v>
      </c>
      <c r="D90" s="12">
        <v>4552.12076274081</v>
      </c>
      <c r="E90" s="12">
        <v>5961.1358791316</v>
      </c>
      <c r="F90" s="12">
        <v>6223.27061038089</v>
      </c>
      <c r="G90" s="12">
        <v>13179.1803258767</v>
      </c>
      <c r="H90" s="12">
        <v>10169.3721067543</v>
      </c>
      <c r="I90" s="12">
        <v>195568.223844526</v>
      </c>
      <c r="J90" s="12">
        <v>6039.11641449854</v>
      </c>
      <c r="K90" s="12">
        <v>6197.5320069864</v>
      </c>
      <c r="L90" s="13">
        <v>92.0</v>
      </c>
      <c r="M90" s="12">
        <v>5890.24208808232</v>
      </c>
      <c r="N90" s="12">
        <v>-11814.3944643817</v>
      </c>
      <c r="O90" s="12">
        <v>5918.35827479225</v>
      </c>
      <c r="P90" s="12">
        <v>341414.010076556</v>
      </c>
      <c r="Q90" s="12">
        <v>26984.9415445441</v>
      </c>
      <c r="R90" s="12">
        <v>2156.92748780385</v>
      </c>
      <c r="S90" s="12">
        <v>5887.17699814601</v>
      </c>
      <c r="T90" s="12">
        <v>5920.49952567975</v>
      </c>
      <c r="U90" s="12">
        <v>5881.7049605671</v>
      </c>
      <c r="V90" s="7">
        <v>5611.52725078282</v>
      </c>
      <c r="W90" s="7">
        <v>6004.63646941976</v>
      </c>
      <c r="X90" s="7">
        <v>106.741943495133</v>
      </c>
    </row>
    <row r="91">
      <c r="A91" s="8">
        <v>42887.0</v>
      </c>
      <c r="B91" s="9">
        <f>IFERROR(__xludf.DUMMYFUNCTION("""COMPUTED_VALUE"""),10017.0)</f>
        <v>10017</v>
      </c>
      <c r="C91" s="12">
        <v>10036.6921289848</v>
      </c>
      <c r="D91" s="12">
        <v>9213.15708917658</v>
      </c>
      <c r="E91" s="12">
        <v>9988.28512583964</v>
      </c>
      <c r="F91" s="12">
        <v>10105.2552076214</v>
      </c>
      <c r="G91" s="12">
        <v>9406.70650852848</v>
      </c>
      <c r="H91" s="12">
        <v>9637.74547076713</v>
      </c>
      <c r="I91" s="12">
        <v>14001.0752446658</v>
      </c>
      <c r="J91" s="12">
        <v>10104.8352172296</v>
      </c>
      <c r="K91" s="12">
        <v>10017.0770914117</v>
      </c>
      <c r="L91" s="13">
        <v>198.0</v>
      </c>
      <c r="M91" s="12">
        <v>10016.9908589097</v>
      </c>
      <c r="N91" s="12">
        <v>-6928.91847030165</v>
      </c>
      <c r="O91" s="12">
        <v>10016.921417573</v>
      </c>
      <c r="P91" s="12">
        <v>106.85625241977</v>
      </c>
      <c r="Q91" s="12">
        <v>12772.407342804</v>
      </c>
      <c r="R91" s="12">
        <v>311.819050210751</v>
      </c>
      <c r="S91" s="12">
        <v>10017.0004528018</v>
      </c>
      <c r="T91" s="12">
        <v>10059.3049059662</v>
      </c>
      <c r="U91" s="12">
        <v>8129.5698034798</v>
      </c>
      <c r="V91" s="7">
        <v>10263.7687826953</v>
      </c>
      <c r="W91" s="7">
        <v>8867.43920196721</v>
      </c>
      <c r="X91" s="7">
        <v>1183.01692700413</v>
      </c>
    </row>
    <row r="92">
      <c r="A92" s="8">
        <v>42917.0</v>
      </c>
      <c r="B92" s="56">
        <f>IFERROR(__xludf.DUMMYFUNCTION("""COMPUTED_VALUE"""),14107.0)</f>
        <v>14107</v>
      </c>
      <c r="C92" s="12">
        <v>15747.6916393135</v>
      </c>
      <c r="D92" s="12">
        <v>12783.9242917376</v>
      </c>
      <c r="E92" s="12">
        <v>13766.9490765282</v>
      </c>
      <c r="F92" s="12">
        <v>14160.3952566805</v>
      </c>
      <c r="G92" s="12">
        <v>10641.6363614332</v>
      </c>
      <c r="H92" s="12">
        <v>15314.817614343</v>
      </c>
      <c r="I92" s="12">
        <v>7824.15502275691</v>
      </c>
      <c r="J92" s="12">
        <v>14110.5860292635</v>
      </c>
      <c r="K92" s="12">
        <v>14084.7483137463</v>
      </c>
      <c r="L92" s="13">
        <v>252.0</v>
      </c>
      <c r="M92" s="12">
        <v>259.735065252809</v>
      </c>
      <c r="N92" s="12">
        <v>-7120.33701386877</v>
      </c>
      <c r="O92" s="12">
        <v>4245.92970336368</v>
      </c>
      <c r="P92" s="12">
        <v>1054.29830593903</v>
      </c>
      <c r="Q92" s="12">
        <v>8561.30954629529</v>
      </c>
      <c r="R92" s="12">
        <v>114.192941913784</v>
      </c>
      <c r="S92" s="12">
        <v>97.8529397175208</v>
      </c>
      <c r="T92" s="12">
        <v>3698.86438616279</v>
      </c>
      <c r="U92" s="12">
        <v>11819.2370345276</v>
      </c>
      <c r="V92" s="7">
        <v>1321.34949138074</v>
      </c>
      <c r="W92" s="7">
        <v>12485.9394063196</v>
      </c>
      <c r="X92" s="7">
        <v>8599.25075113284</v>
      </c>
    </row>
    <row r="93">
      <c r="A93" s="8">
        <v>42948.0</v>
      </c>
      <c r="B93" s="9">
        <f>IFERROR(__xludf.DUMMYFUNCTION("""COMPUTED_VALUE"""),3683.0)</f>
        <v>3683</v>
      </c>
      <c r="C93" s="12">
        <v>4069.55080634076</v>
      </c>
      <c r="D93" s="12">
        <v>3114.58373198823</v>
      </c>
      <c r="E93" s="12">
        <v>3640.54378514102</v>
      </c>
      <c r="F93" s="12">
        <v>3770.39247585724</v>
      </c>
      <c r="G93" s="12">
        <v>8612.45012271233</v>
      </c>
      <c r="H93" s="12">
        <v>3943.41974774809</v>
      </c>
      <c r="I93" s="12">
        <v>6267.57451567043</v>
      </c>
      <c r="J93" s="12">
        <v>3798.17582481225</v>
      </c>
      <c r="K93" s="12">
        <v>3354.73073172336</v>
      </c>
      <c r="L93" s="13">
        <v>629.8</v>
      </c>
      <c r="M93" s="12">
        <v>229.838867277364</v>
      </c>
      <c r="N93" s="12">
        <v>-6214.14463714832</v>
      </c>
      <c r="O93" s="12">
        <v>44558.9654176494</v>
      </c>
      <c r="P93" s="12">
        <v>1294362.63957162</v>
      </c>
      <c r="Q93" s="12">
        <v>15127.166905501</v>
      </c>
      <c r="R93" s="12">
        <v>111.618320756672</v>
      </c>
      <c r="S93" s="12">
        <v>97.8529397175208</v>
      </c>
      <c r="T93" s="12">
        <v>2959.09982447008</v>
      </c>
      <c r="U93" s="12">
        <v>8033.58330740406</v>
      </c>
      <c r="V93" s="7">
        <v>97.8529467215731</v>
      </c>
      <c r="W93" s="7">
        <v>1706.18597097743</v>
      </c>
      <c r="X93" s="7">
        <v>1679.62497047279</v>
      </c>
    </row>
    <row r="94">
      <c r="A94" s="14">
        <v>42979.0</v>
      </c>
      <c r="B94" s="9">
        <f>IFERROR(__xludf.DUMMYFUNCTION("""COMPUTED_VALUE"""),7055.0)</f>
        <v>7055</v>
      </c>
      <c r="C94" s="12">
        <v>7017.68508269508</v>
      </c>
      <c r="D94" s="12">
        <v>6106.57732341758</v>
      </c>
      <c r="E94" s="12">
        <v>6497.41520875646</v>
      </c>
      <c r="F94" s="12">
        <v>6678.76922136835</v>
      </c>
      <c r="G94" s="12">
        <v>7418.47953627716</v>
      </c>
      <c r="H94" s="12">
        <v>4817.96502274727</v>
      </c>
      <c r="I94" s="12">
        <v>1223.66346441429</v>
      </c>
      <c r="J94" s="12">
        <v>6645.67540239223</v>
      </c>
      <c r="K94" s="12">
        <v>6639.13800090095</v>
      </c>
      <c r="L94" s="13">
        <v>252.0</v>
      </c>
      <c r="M94" s="12">
        <v>581.886992332339</v>
      </c>
      <c r="N94" s="12">
        <v>223.146778633091</v>
      </c>
      <c r="O94" s="12">
        <v>51030.9654176494</v>
      </c>
      <c r="P94" s="12">
        <v>7043.99584210887</v>
      </c>
      <c r="Q94" s="12">
        <v>3362.52106995132</v>
      </c>
      <c r="R94" s="12">
        <v>705.072359695958</v>
      </c>
      <c r="S94" s="12">
        <v>1259.09834137356</v>
      </c>
      <c r="T94" s="12">
        <v>4768.53602556186</v>
      </c>
      <c r="U94" s="12">
        <v>97.8529410656966</v>
      </c>
      <c r="V94" s="7">
        <v>97.8529467215731</v>
      </c>
      <c r="W94" s="7">
        <v>6530.11554710608</v>
      </c>
      <c r="X94" s="7">
        <v>5698.21985704397</v>
      </c>
    </row>
    <row r="95">
      <c r="A95" s="14">
        <v>43009.0</v>
      </c>
      <c r="B95" s="9">
        <f>IFERROR(__xludf.DUMMYFUNCTION("""COMPUTED_VALUE"""),1136.0)</f>
        <v>1136</v>
      </c>
      <c r="C95" s="12">
        <v>12464.1294727348</v>
      </c>
      <c r="D95" s="12">
        <v>2820.29703996599</v>
      </c>
      <c r="E95" s="12">
        <v>18644.7201205195</v>
      </c>
      <c r="F95" s="12">
        <v>15268.4795510541</v>
      </c>
      <c r="G95" s="12">
        <v>9419.33026616802</v>
      </c>
      <c r="H95" s="12">
        <v>5525.18862704022</v>
      </c>
      <c r="I95" s="12">
        <v>4645.15789441853</v>
      </c>
      <c r="J95" s="12">
        <v>14700.7401054148</v>
      </c>
      <c r="K95" s="12">
        <v>14857.5654640192</v>
      </c>
      <c r="L95" s="13">
        <v>544.0</v>
      </c>
      <c r="M95" s="12">
        <v>330.093988589593</v>
      </c>
      <c r="N95" s="12">
        <v>310365.013556937</v>
      </c>
      <c r="O95" s="12">
        <v>14303.1374312412</v>
      </c>
      <c r="P95" s="12">
        <v>1.18720398259703E7</v>
      </c>
      <c r="Q95" s="12">
        <v>15246.6342181919</v>
      </c>
      <c r="R95" s="12">
        <v>7373.82082976941</v>
      </c>
      <c r="S95" s="12">
        <v>-254.805184761168</v>
      </c>
      <c r="T95" s="12">
        <v>12337.0216538095</v>
      </c>
      <c r="U95" s="12">
        <v>4397.89065841058</v>
      </c>
      <c r="V95" s="7">
        <v>97.8529467215731</v>
      </c>
      <c r="W95" s="7">
        <v>15082.5489553253</v>
      </c>
      <c r="X95" s="7">
        <v>4013.34872213367</v>
      </c>
    </row>
    <row r="96">
      <c r="A96" s="14">
        <v>43040.0</v>
      </c>
      <c r="B96" s="9">
        <f>IFERROR(__xludf.DUMMYFUNCTION("""COMPUTED_VALUE"""),977.0)</f>
        <v>977</v>
      </c>
      <c r="C96" s="12">
        <v>4546.71912809295</v>
      </c>
      <c r="D96" s="12">
        <v>7672.15708917658</v>
      </c>
      <c r="E96" s="12">
        <v>20996.816131641</v>
      </c>
      <c r="F96" s="12">
        <v>19767.7878613957</v>
      </c>
      <c r="G96" s="12">
        <v>21968.4905929744</v>
      </c>
      <c r="H96" s="12">
        <v>7362.50966614007</v>
      </c>
      <c r="I96" s="12">
        <v>18.6272265681309</v>
      </c>
      <c r="J96" s="12">
        <v>11351.6443247865</v>
      </c>
      <c r="K96" s="12">
        <v>103.966602491096</v>
      </c>
      <c r="L96" s="13">
        <v>252.0</v>
      </c>
      <c r="M96" s="12">
        <v>173.597599131347</v>
      </c>
      <c r="N96" s="12">
        <v>4081.17680246335</v>
      </c>
      <c r="O96" s="12">
        <v>9611.82256050653</v>
      </c>
      <c r="P96" s="12">
        <v>307638.963907194</v>
      </c>
      <c r="Q96" s="12">
        <v>7051.11353643744</v>
      </c>
      <c r="R96" s="12">
        <v>223.811677943626</v>
      </c>
      <c r="S96" s="12">
        <v>-696.851574133786</v>
      </c>
      <c r="T96" s="12">
        <v>3692.53318502026</v>
      </c>
      <c r="U96" s="12">
        <v>17674.7154061467</v>
      </c>
      <c r="V96" s="7">
        <v>6505.88802968246</v>
      </c>
      <c r="W96" s="7">
        <v>106.857142696362</v>
      </c>
      <c r="X96" s="7">
        <v>2137.63727288249</v>
      </c>
    </row>
    <row r="97">
      <c r="A97" s="14">
        <v>43070.0</v>
      </c>
      <c r="B97" s="9">
        <f>IFERROR(__xludf.DUMMYFUNCTION("""COMPUTED_VALUE"""),1129.0)</f>
        <v>1129</v>
      </c>
      <c r="C97" s="12">
        <v>1782.14480992517</v>
      </c>
      <c r="D97" s="12">
        <v>5225.69555071504</v>
      </c>
      <c r="E97" s="12">
        <v>2025.19041918096</v>
      </c>
      <c r="F97" s="12">
        <v>3123.8240911247</v>
      </c>
      <c r="G97" s="12">
        <v>8788.39959770294</v>
      </c>
      <c r="H97" s="12">
        <v>4641.06264135283</v>
      </c>
      <c r="I97" s="12">
        <v>-773.586146955364</v>
      </c>
      <c r="J97" s="12">
        <v>1177.0</v>
      </c>
      <c r="K97" s="12">
        <v>293.182260781745</v>
      </c>
      <c r="L97" s="12">
        <v>1177.0</v>
      </c>
      <c r="M97" s="12">
        <v>720.121219668752</v>
      </c>
      <c r="N97" s="12">
        <v>1685.29814777661</v>
      </c>
      <c r="O97" s="12">
        <v>8279.82256050653</v>
      </c>
      <c r="P97" s="12">
        <v>374599.044067258</v>
      </c>
      <c r="Q97" s="12">
        <v>1750.62332237332</v>
      </c>
      <c r="R97" s="12">
        <v>94.9601768049508</v>
      </c>
      <c r="S97" s="12">
        <v>97.8529397175208</v>
      </c>
      <c r="T97" s="12">
        <v>2462.03807882162</v>
      </c>
      <c r="U97" s="12">
        <v>1221.59477341768</v>
      </c>
      <c r="V97" s="7">
        <v>588.850795057726</v>
      </c>
      <c r="W97" s="7">
        <v>1776.48637983508</v>
      </c>
      <c r="X97" s="7">
        <v>2256.44713763839</v>
      </c>
    </row>
    <row r="98">
      <c r="A98" s="14">
        <v>43101.0</v>
      </c>
      <c r="B98" s="9">
        <f>IFERROR(__xludf.DUMMYFUNCTION("""COMPUTED_VALUE"""),945.0)</f>
        <v>945</v>
      </c>
      <c r="C98" s="12">
        <v>7012.8383840509</v>
      </c>
      <c r="D98" s="12">
        <v>7137.15708917658</v>
      </c>
      <c r="E98" s="12">
        <v>47918.2993835467</v>
      </c>
      <c r="F98" s="12">
        <v>28566.4110397398</v>
      </c>
      <c r="G98" s="12">
        <v>14408.5945848865</v>
      </c>
      <c r="H98" s="12">
        <v>9655.59751401344</v>
      </c>
      <c r="I98" s="12">
        <v>9676.16501924846</v>
      </c>
      <c r="J98" s="12">
        <v>30171.5550875445</v>
      </c>
      <c r="K98" s="12">
        <v>94.3841563113143</v>
      </c>
      <c r="L98" s="12">
        <v>1177.0</v>
      </c>
      <c r="M98" s="12">
        <v>1432.50581938101</v>
      </c>
      <c r="N98" s="12">
        <v>35075.976267928</v>
      </c>
      <c r="O98" s="12">
        <v>20979.9654176494</v>
      </c>
      <c r="P98" s="12">
        <v>838872.578843183</v>
      </c>
      <c r="Q98" s="12">
        <v>851.005359377429</v>
      </c>
      <c r="R98" s="12">
        <v>136.164970580945</v>
      </c>
      <c r="S98" s="12">
        <v>297341.069292054</v>
      </c>
      <c r="T98" s="12">
        <v>1647.78604728116</v>
      </c>
      <c r="U98" s="12">
        <v>64265.1003230683</v>
      </c>
      <c r="V98" s="7">
        <v>15440.0155646149</v>
      </c>
      <c r="W98" s="7">
        <v>106.857142696362</v>
      </c>
      <c r="X98" s="7">
        <v>2673.93623030058</v>
      </c>
    </row>
    <row r="99">
      <c r="A99" s="14">
        <v>43132.0</v>
      </c>
      <c r="B99" s="67">
        <f>IFERROR(__xludf.DUMMYFUNCTION("""COMPUTED_VALUE"""),439.0)</f>
        <v>439</v>
      </c>
      <c r="C99" s="12">
        <v>5005.5417095021</v>
      </c>
      <c r="D99" s="12">
        <v>19777.1003920153</v>
      </c>
      <c r="E99" s="12">
        <v>13757.5190906524</v>
      </c>
      <c r="F99" s="12">
        <v>7918.80275937151</v>
      </c>
      <c r="G99" s="12">
        <v>9593.87569091871</v>
      </c>
      <c r="H99" s="12">
        <v>5784.44649098571</v>
      </c>
      <c r="I99" s="12">
        <v>75.3011564687913</v>
      </c>
      <c r="J99" s="12">
        <v>9240.75686534281</v>
      </c>
      <c r="K99" s="12">
        <v>8421.54966144343</v>
      </c>
      <c r="L99" s="12">
        <v>2962.0</v>
      </c>
      <c r="M99" s="12">
        <v>689.565238312763</v>
      </c>
      <c r="N99" s="12">
        <v>11965.3136352351</v>
      </c>
      <c r="O99" s="12">
        <v>66982.9654176494</v>
      </c>
      <c r="P99" s="12">
        <v>995319.061951924</v>
      </c>
      <c r="Q99" s="12">
        <v>13788.6620217153</v>
      </c>
      <c r="R99" s="12">
        <v>224.611480908291</v>
      </c>
      <c r="S99" s="12">
        <v>4593.82772631393</v>
      </c>
      <c r="T99" s="12">
        <v>13103.7732469919</v>
      </c>
      <c r="U99" s="12">
        <v>22803.4060183261</v>
      </c>
      <c r="V99" s="7">
        <v>4556.31226978608</v>
      </c>
      <c r="W99" s="7">
        <v>8755.96220461471</v>
      </c>
      <c r="X99" s="7">
        <v>2014.9615446526</v>
      </c>
    </row>
    <row r="100">
      <c r="A100" s="15">
        <v>43160.0</v>
      </c>
      <c r="B100" s="9">
        <f>IFERROR(__xludf.DUMMYFUNCTION("""COMPUTED_VALUE"""),141.0)</f>
        <v>141</v>
      </c>
      <c r="C100" s="12">
        <v>3680.16528955473</v>
      </c>
      <c r="D100" s="12">
        <v>5086.80940074961</v>
      </c>
      <c r="E100" s="12">
        <v>14755.4620267906</v>
      </c>
      <c r="F100" s="12">
        <v>15769.5991670348</v>
      </c>
      <c r="G100" s="12">
        <v>4113.99498049105</v>
      </c>
      <c r="H100" s="12">
        <v>3978.10927955422</v>
      </c>
      <c r="I100" s="12">
        <v>2012.05952746028</v>
      </c>
      <c r="J100" s="12">
        <v>11470.5315582973</v>
      </c>
      <c r="K100" s="12">
        <v>10848.1166239612</v>
      </c>
      <c r="L100" s="12">
        <v>4187.0</v>
      </c>
      <c r="M100" s="12">
        <v>885.967365890709</v>
      </c>
      <c r="N100" s="12">
        <v>72054.626970807</v>
      </c>
      <c r="O100" s="12">
        <v>11970.643989078</v>
      </c>
      <c r="P100" s="12">
        <v>20439.0805352041</v>
      </c>
      <c r="Q100" s="12">
        <v>10990.2600576434</v>
      </c>
      <c r="R100" s="12">
        <v>1355.01094630195</v>
      </c>
      <c r="S100" s="12">
        <v>84541.9943428847</v>
      </c>
      <c r="T100" s="12">
        <v>21.3538172950517</v>
      </c>
      <c r="U100" s="12">
        <v>5175.41758402605</v>
      </c>
      <c r="V100" s="7">
        <v>97.8529467215731</v>
      </c>
      <c r="W100" s="7">
        <v>10915.1349718424</v>
      </c>
      <c r="X100" s="7">
        <v>2445.01206166942</v>
      </c>
    </row>
    <row r="101">
      <c r="A101" s="15">
        <v>43191.0</v>
      </c>
      <c r="B101" s="9">
        <f>IFERROR(__xludf.DUMMYFUNCTION("""COMPUTED_VALUE"""),110.0)</f>
        <v>110</v>
      </c>
      <c r="C101" s="12">
        <v>5186.86202955204</v>
      </c>
      <c r="D101" s="12">
        <v>20681.2774157073</v>
      </c>
      <c r="E101" s="12">
        <v>17318.3541390806</v>
      </c>
      <c r="F101" s="12">
        <v>10932.1825367076</v>
      </c>
      <c r="G101" s="12">
        <v>10165.3390337693</v>
      </c>
      <c r="H101" s="12">
        <v>5939.43874321181</v>
      </c>
      <c r="I101" s="12">
        <v>93229.1672535328</v>
      </c>
      <c r="J101" s="12">
        <v>11583.1999659837</v>
      </c>
      <c r="K101" s="12">
        <v>11134.4130414231</v>
      </c>
      <c r="L101" s="12">
        <v>4187.0</v>
      </c>
      <c r="M101" s="12">
        <v>792.116030932719</v>
      </c>
      <c r="N101" s="12">
        <v>5242.78787407095</v>
      </c>
      <c r="O101" s="12">
        <v>8787.21541764939</v>
      </c>
      <c r="P101" s="12">
        <v>173441.206632298</v>
      </c>
      <c r="Q101" s="12">
        <v>2165.01605079104</v>
      </c>
      <c r="R101" s="12">
        <v>326.11615114806</v>
      </c>
      <c r="S101" s="12">
        <v>97.8529397175208</v>
      </c>
      <c r="T101" s="12">
        <v>616.216554911398</v>
      </c>
      <c r="U101" s="12">
        <v>30386.5338022161</v>
      </c>
      <c r="V101" s="7">
        <v>6616.90934723997</v>
      </c>
      <c r="W101" s="7">
        <v>11716.7421301913</v>
      </c>
      <c r="X101" s="7">
        <v>5743.53604340703</v>
      </c>
    </row>
    <row r="102">
      <c r="A102" s="48">
        <v>43221.0</v>
      </c>
      <c r="B102" s="9">
        <f>IFERROR(__xludf.DUMMYFUNCTION("""COMPUTED_VALUE"""),939.0)</f>
        <v>939</v>
      </c>
      <c r="C102" s="12">
        <v>24778.7969479288</v>
      </c>
      <c r="D102" s="12">
        <v>41025.4150979969</v>
      </c>
      <c r="E102" s="12">
        <v>45210.1418911386</v>
      </c>
      <c r="F102" s="12">
        <v>40378.9896529494</v>
      </c>
      <c r="G102" s="12">
        <v>156323.981790613</v>
      </c>
      <c r="H102" s="12">
        <v>25052.8537205099</v>
      </c>
      <c r="I102" s="12">
        <v>36480.9202216454</v>
      </c>
      <c r="J102" s="12">
        <v>42680.0360190193</v>
      </c>
      <c r="K102" s="12">
        <v>40255.9242156054</v>
      </c>
      <c r="L102" s="12">
        <v>4253.0</v>
      </c>
      <c r="M102" s="12">
        <v>17334.830539354</v>
      </c>
      <c r="N102" s="12">
        <v>65390.6238356095</v>
      </c>
      <c r="O102" s="12">
        <v>9231.72848034599</v>
      </c>
      <c r="P102" s="12">
        <v>27882.3537844422</v>
      </c>
      <c r="Q102" s="12">
        <v>5548.44028800059</v>
      </c>
      <c r="R102" s="12">
        <v>4214.19701706519</v>
      </c>
      <c r="S102" s="12">
        <v>5126.96272784732</v>
      </c>
      <c r="T102" s="12">
        <v>-1412.75526265264</v>
      </c>
      <c r="U102" s="12">
        <v>28416.5795782417</v>
      </c>
      <c r="V102" s="7">
        <v>14811.0</v>
      </c>
      <c r="W102" s="7">
        <v>45844.3283758802</v>
      </c>
      <c r="X102" s="7">
        <v>6236.18609939996</v>
      </c>
    </row>
    <row r="103">
      <c r="A103" s="15">
        <v>43252.0</v>
      </c>
      <c r="B103" s="9">
        <f>IFERROR(__xludf.DUMMYFUNCTION("""COMPUTED_VALUE"""),342.0)</f>
        <v>342</v>
      </c>
      <c r="C103" s="7">
        <v>45492.2812762407</v>
      </c>
      <c r="D103" s="7">
        <v>6725.15708917658</v>
      </c>
      <c r="E103" s="7">
        <v>40569.371352202</v>
      </c>
      <c r="F103" s="7">
        <v>29437.9495355292</v>
      </c>
      <c r="G103" s="7">
        <v>123012.054771202</v>
      </c>
      <c r="H103" s="7">
        <v>45404.9732308212</v>
      </c>
      <c r="I103" s="7">
        <v>202408.649670516</v>
      </c>
      <c r="J103" s="7">
        <v>26192.9969936465</v>
      </c>
      <c r="K103" s="7">
        <v>1297.31513842438</v>
      </c>
      <c r="L103" s="7">
        <v>4956.0</v>
      </c>
      <c r="M103" s="7">
        <v>4256.97087782694</v>
      </c>
      <c r="N103" s="7">
        <v>103659.379212166</v>
      </c>
      <c r="O103" s="7">
        <v>59018.914415108</v>
      </c>
      <c r="P103" s="7">
        <v>1315056.63565401</v>
      </c>
      <c r="Q103" s="7">
        <v>11551.4068068782</v>
      </c>
      <c r="R103" s="7">
        <v>744.077329349907</v>
      </c>
      <c r="S103" s="7">
        <v>8470.85458772988</v>
      </c>
      <c r="T103" s="7">
        <v>-3523.89500085227</v>
      </c>
      <c r="U103" s="7">
        <v>25775.8198805832</v>
      </c>
      <c r="V103" s="7">
        <v>5957.46407622837</v>
      </c>
      <c r="W103" s="7">
        <v>55310.2329402611</v>
      </c>
      <c r="X103" s="7">
        <v>5245.35141097257</v>
      </c>
    </row>
    <row r="104">
      <c r="A104" s="15">
        <v>43282.0</v>
      </c>
      <c r="B104" s="9">
        <f>IFERROR(__xludf.DUMMYFUNCTION("""COMPUTED_VALUE"""),266.0)</f>
        <v>266</v>
      </c>
      <c r="C104" s="7">
        <v>14107.155142212</v>
      </c>
      <c r="D104" s="7">
        <v>11039.1570891766</v>
      </c>
      <c r="E104" s="7">
        <v>31634.5007315486</v>
      </c>
      <c r="F104" s="7">
        <v>21609.9607477193</v>
      </c>
      <c r="G104" s="7">
        <v>91320.3768186857</v>
      </c>
      <c r="H104" s="7">
        <v>14268.0676966595</v>
      </c>
      <c r="I104" s="7">
        <v>106754.580356186</v>
      </c>
      <c r="J104" s="7">
        <v>11742.1109580316</v>
      </c>
      <c r="K104" s="7">
        <v>21741.324450087</v>
      </c>
      <c r="L104" s="7">
        <v>4253.0</v>
      </c>
      <c r="M104" s="7">
        <v>865.545486438922</v>
      </c>
      <c r="N104" s="7">
        <v>27702.4861349799</v>
      </c>
      <c r="O104" s="7">
        <v>8064.64398907796</v>
      </c>
      <c r="P104" s="7">
        <v>1476274.76144499</v>
      </c>
      <c r="Q104" s="7">
        <v>5421.7274535582</v>
      </c>
      <c r="R104" s="7">
        <v>262.664887813275</v>
      </c>
      <c r="S104" s="7">
        <v>3959.01281354553</v>
      </c>
      <c r="T104" s="7">
        <v>-4035.07254462105</v>
      </c>
      <c r="U104" s="7">
        <v>25586.2674433538</v>
      </c>
      <c r="V104" s="7">
        <v>7373.33551235419</v>
      </c>
      <c r="W104" s="7">
        <v>25311.0427798644</v>
      </c>
      <c r="X104" s="7">
        <v>13633.5232672231</v>
      </c>
    </row>
    <row r="105">
      <c r="A105" s="17">
        <v>43313.0</v>
      </c>
      <c r="B105" s="9"/>
      <c r="C105" s="7">
        <v>11623.4052328713</v>
      </c>
      <c r="D105" s="7">
        <v>4611.15708917658</v>
      </c>
      <c r="E105" s="7">
        <v>8613.16990888354</v>
      </c>
      <c r="F105" s="7">
        <v>2926.76945062573</v>
      </c>
      <c r="G105" s="7">
        <v>142787.651920025</v>
      </c>
      <c r="H105" s="7">
        <v>11669.7177005707</v>
      </c>
      <c r="I105" s="7">
        <v>344107.938628192</v>
      </c>
      <c r="J105" s="7">
        <v>4187.0</v>
      </c>
      <c r="K105" s="7">
        <v>347.339689383353</v>
      </c>
      <c r="L105" s="7">
        <v>4187.0</v>
      </c>
      <c r="M105" s="7">
        <v>678.514724659412</v>
      </c>
      <c r="N105" s="7">
        <v>4226.73696876638</v>
      </c>
      <c r="O105" s="7">
        <v>10491.1082747923</v>
      </c>
      <c r="P105" s="7">
        <v>782348.316229149</v>
      </c>
      <c r="Q105" s="7">
        <v>6873.91923818302</v>
      </c>
      <c r="R105" s="7">
        <v>863.862907990798</v>
      </c>
      <c r="S105" s="7">
        <v>3051.90851994041</v>
      </c>
      <c r="T105" s="7">
        <v>-1993.12334435425</v>
      </c>
      <c r="U105" s="7">
        <v>16362.7794153104</v>
      </c>
      <c r="V105" s="7">
        <v>4112.1329057382</v>
      </c>
      <c r="W105" s="7">
        <v>4335.35290655257</v>
      </c>
      <c r="X105" s="7">
        <v>3183.09905759828</v>
      </c>
    </row>
    <row r="106">
      <c r="A106" s="15">
        <v>43344.0</v>
      </c>
      <c r="B106" s="9"/>
    </row>
    <row r="107">
      <c r="A107" s="15">
        <v>43374.0</v>
      </c>
      <c r="B107" s="18"/>
    </row>
    <row r="108">
      <c r="A108" s="15">
        <v>43405.0</v>
      </c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350</v>
      </c>
      <c r="D1" s="3" t="s">
        <v>351</v>
      </c>
      <c r="E1" s="3" t="s">
        <v>352</v>
      </c>
      <c r="F1" s="3" t="s">
        <v>353</v>
      </c>
      <c r="G1" s="3" t="s">
        <v>354</v>
      </c>
      <c r="H1" s="3" t="s">
        <v>355</v>
      </c>
      <c r="I1" s="3" t="s">
        <v>356</v>
      </c>
      <c r="J1" s="3" t="s">
        <v>357</v>
      </c>
      <c r="K1" s="3" t="s">
        <v>358</v>
      </c>
      <c r="L1" s="4" t="s">
        <v>359</v>
      </c>
      <c r="M1" s="4" t="s">
        <v>360</v>
      </c>
      <c r="N1" s="4" t="s">
        <v>361</v>
      </c>
      <c r="O1" s="68" t="s">
        <v>362</v>
      </c>
      <c r="P1" s="4" t="s">
        <v>363</v>
      </c>
      <c r="Q1" s="4" t="s">
        <v>364</v>
      </c>
      <c r="R1" s="3" t="s">
        <v>365</v>
      </c>
      <c r="S1" s="4" t="s">
        <v>366</v>
      </c>
      <c r="T1" s="4" t="s">
        <v>367</v>
      </c>
      <c r="U1" s="5" t="s">
        <v>368</v>
      </c>
      <c r="V1" s="6" t="s">
        <v>369</v>
      </c>
      <c r="W1" s="7" t="s">
        <v>370</v>
      </c>
    </row>
    <row r="2">
      <c r="A2" s="8">
        <v>40179.0</v>
      </c>
      <c r="B2" s="9">
        <f>IFERROR(__xludf.DUMMYFUNCTION("IMPORTRANGE(""https://docs.google.com/spreadsheets/d/1oPTPmoJ9phtMOkp-nMB7WHnPESomLzqUj9t0gcE9bYA"",""Current Region!S2:S150"")"),301.0)</f>
        <v>301</v>
      </c>
      <c r="C2" s="10" t="s">
        <v>26</v>
      </c>
      <c r="D2" s="10" t="s">
        <v>26</v>
      </c>
      <c r="E2" s="10" t="s">
        <v>26</v>
      </c>
      <c r="F2" s="10" t="s">
        <v>26</v>
      </c>
      <c r="G2" s="10" t="s">
        <v>26</v>
      </c>
      <c r="H2" s="10" t="s">
        <v>26</v>
      </c>
      <c r="I2" s="10" t="s">
        <v>26</v>
      </c>
      <c r="J2" s="10" t="s">
        <v>26</v>
      </c>
      <c r="K2" s="10" t="s">
        <v>26</v>
      </c>
      <c r="L2" s="10" t="s">
        <v>26</v>
      </c>
      <c r="M2" s="10" t="s">
        <v>26</v>
      </c>
      <c r="N2" s="10" t="s">
        <v>26</v>
      </c>
      <c r="O2" s="46" t="s">
        <v>26</v>
      </c>
      <c r="P2" s="10" t="s">
        <v>26</v>
      </c>
      <c r="Q2" s="10" t="s">
        <v>26</v>
      </c>
      <c r="R2" s="10" t="s">
        <v>26</v>
      </c>
      <c r="S2" s="10" t="s">
        <v>26</v>
      </c>
      <c r="T2" s="10" t="s">
        <v>26</v>
      </c>
      <c r="U2" s="10" t="s">
        <v>26</v>
      </c>
      <c r="V2" s="7" t="s">
        <v>26</v>
      </c>
      <c r="W2" s="7" t="s">
        <v>26</v>
      </c>
    </row>
    <row r="3">
      <c r="A3" s="8">
        <v>40210.0</v>
      </c>
      <c r="B3" s="9">
        <f>IFERROR(__xludf.DUMMYFUNCTION("""COMPUTED_VALUE"""),44.0)</f>
        <v>44</v>
      </c>
      <c r="C3" s="10" t="s">
        <v>26</v>
      </c>
      <c r="D3" s="10" t="s">
        <v>26</v>
      </c>
      <c r="E3" s="10" t="s">
        <v>26</v>
      </c>
      <c r="F3" s="10" t="s">
        <v>26</v>
      </c>
      <c r="G3" s="10" t="s">
        <v>26</v>
      </c>
      <c r="H3" s="10" t="s">
        <v>26</v>
      </c>
      <c r="I3" s="10" t="s">
        <v>26</v>
      </c>
      <c r="J3" s="10" t="s">
        <v>26</v>
      </c>
      <c r="K3" s="10" t="s">
        <v>26</v>
      </c>
      <c r="L3" s="10" t="s">
        <v>26</v>
      </c>
      <c r="M3" s="10" t="s">
        <v>26</v>
      </c>
      <c r="N3" s="10" t="s">
        <v>26</v>
      </c>
      <c r="O3" s="46" t="s">
        <v>26</v>
      </c>
      <c r="P3" s="10" t="s">
        <v>26</v>
      </c>
      <c r="Q3" s="10" t="s">
        <v>26</v>
      </c>
      <c r="R3" s="10" t="s">
        <v>26</v>
      </c>
      <c r="S3" s="10" t="s">
        <v>26</v>
      </c>
      <c r="T3" s="10" t="s">
        <v>26</v>
      </c>
      <c r="U3" s="10" t="s">
        <v>26</v>
      </c>
      <c r="V3" s="7" t="s">
        <v>26</v>
      </c>
      <c r="W3" s="7" t="s">
        <v>26</v>
      </c>
    </row>
    <row r="4">
      <c r="A4" s="8">
        <v>40238.0</v>
      </c>
      <c r="B4" s="9">
        <f>IFERROR(__xludf.DUMMYFUNCTION("""COMPUTED_VALUE"""),169.0)</f>
        <v>169</v>
      </c>
      <c r="C4" s="10" t="s">
        <v>26</v>
      </c>
      <c r="D4" s="10" t="s">
        <v>26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26</v>
      </c>
      <c r="J4" s="10" t="s">
        <v>26</v>
      </c>
      <c r="K4" s="10" t="s">
        <v>26</v>
      </c>
      <c r="L4" s="10" t="s">
        <v>26</v>
      </c>
      <c r="M4" s="10" t="s">
        <v>26</v>
      </c>
      <c r="N4" s="10" t="s">
        <v>26</v>
      </c>
      <c r="O4" s="46" t="s">
        <v>26</v>
      </c>
      <c r="P4" s="10" t="s">
        <v>26</v>
      </c>
      <c r="Q4" s="10" t="s">
        <v>26</v>
      </c>
      <c r="R4" s="10" t="s">
        <v>26</v>
      </c>
      <c r="S4" s="10" t="s">
        <v>26</v>
      </c>
      <c r="T4" s="10" t="s">
        <v>26</v>
      </c>
      <c r="U4" s="10" t="s">
        <v>26</v>
      </c>
      <c r="V4" s="7" t="s">
        <v>26</v>
      </c>
      <c r="W4" s="7" t="s">
        <v>26</v>
      </c>
    </row>
    <row r="5">
      <c r="A5" s="8">
        <v>40269.0</v>
      </c>
      <c r="B5" s="9">
        <f>IFERROR(__xludf.DUMMYFUNCTION("""COMPUTED_VALUE"""),83.0)</f>
        <v>83</v>
      </c>
      <c r="C5" s="10" t="s">
        <v>26</v>
      </c>
      <c r="D5" s="10" t="s">
        <v>26</v>
      </c>
      <c r="E5" s="10" t="s">
        <v>26</v>
      </c>
      <c r="F5" s="10" t="s">
        <v>26</v>
      </c>
      <c r="G5" s="10" t="s">
        <v>26</v>
      </c>
      <c r="H5" s="10" t="s">
        <v>26</v>
      </c>
      <c r="I5" s="10" t="s">
        <v>26</v>
      </c>
      <c r="J5" s="10" t="s">
        <v>26</v>
      </c>
      <c r="K5" s="10" t="s">
        <v>26</v>
      </c>
      <c r="L5" s="10" t="s">
        <v>26</v>
      </c>
      <c r="M5" s="10" t="s">
        <v>26</v>
      </c>
      <c r="N5" s="10" t="s">
        <v>26</v>
      </c>
      <c r="O5" s="46" t="s">
        <v>26</v>
      </c>
      <c r="P5" s="10" t="s">
        <v>26</v>
      </c>
      <c r="Q5" s="10" t="s">
        <v>26</v>
      </c>
      <c r="R5" s="10" t="s">
        <v>26</v>
      </c>
      <c r="S5" s="10" t="s">
        <v>26</v>
      </c>
      <c r="T5" s="10" t="s">
        <v>26</v>
      </c>
      <c r="U5" s="10" t="s">
        <v>26</v>
      </c>
      <c r="V5" s="7" t="s">
        <v>26</v>
      </c>
      <c r="W5" s="7" t="s">
        <v>26</v>
      </c>
    </row>
    <row r="6">
      <c r="A6" s="8">
        <v>40299.0</v>
      </c>
      <c r="B6" s="9" t="str">
        <f>IFERROR(__xludf.DUMMYFUNCTION("""COMPUTED_VALUE""")," ")</f>
        <v> </v>
      </c>
      <c r="C6" s="10" t="s">
        <v>26</v>
      </c>
      <c r="D6" s="10" t="s">
        <v>26</v>
      </c>
      <c r="E6" s="10" t="s">
        <v>26</v>
      </c>
      <c r="F6" s="10" t="s">
        <v>26</v>
      </c>
      <c r="G6" s="10" t="s">
        <v>26</v>
      </c>
      <c r="H6" s="10" t="s">
        <v>26</v>
      </c>
      <c r="I6" s="10" t="s">
        <v>26</v>
      </c>
      <c r="J6" s="10" t="s">
        <v>26</v>
      </c>
      <c r="K6" s="10" t="s">
        <v>26</v>
      </c>
      <c r="L6" s="10" t="s">
        <v>26</v>
      </c>
      <c r="M6" s="10" t="s">
        <v>26</v>
      </c>
      <c r="N6" s="10" t="s">
        <v>26</v>
      </c>
      <c r="O6" s="46" t="s">
        <v>26</v>
      </c>
      <c r="P6" s="10" t="s">
        <v>26</v>
      </c>
      <c r="Q6" s="10" t="s">
        <v>26</v>
      </c>
      <c r="R6" s="10" t="s">
        <v>26</v>
      </c>
      <c r="S6" s="10" t="s">
        <v>26</v>
      </c>
      <c r="T6" s="10" t="s">
        <v>26</v>
      </c>
      <c r="U6" s="10" t="s">
        <v>26</v>
      </c>
      <c r="V6" s="7" t="s">
        <v>26</v>
      </c>
      <c r="W6" s="7" t="s">
        <v>26</v>
      </c>
    </row>
    <row r="7">
      <c r="A7" s="8">
        <v>40330.0</v>
      </c>
      <c r="B7" s="9">
        <f>IFERROR(__xludf.DUMMYFUNCTION("""COMPUTED_VALUE"""),179.0)</f>
        <v>179</v>
      </c>
      <c r="C7" s="10" t="s">
        <v>26</v>
      </c>
      <c r="D7" s="10" t="s">
        <v>26</v>
      </c>
      <c r="E7" s="10" t="s">
        <v>26</v>
      </c>
      <c r="F7" s="10" t="s">
        <v>26</v>
      </c>
      <c r="G7" s="10" t="s">
        <v>26</v>
      </c>
      <c r="H7" s="10" t="s">
        <v>26</v>
      </c>
      <c r="I7" s="10" t="s">
        <v>26</v>
      </c>
      <c r="J7" s="10" t="s">
        <v>26</v>
      </c>
      <c r="K7" s="10" t="s">
        <v>26</v>
      </c>
      <c r="L7" s="10" t="s">
        <v>26</v>
      </c>
      <c r="M7" s="10" t="s">
        <v>26</v>
      </c>
      <c r="N7" s="10" t="s">
        <v>26</v>
      </c>
      <c r="O7" s="46" t="s">
        <v>26</v>
      </c>
      <c r="P7" s="10" t="s">
        <v>26</v>
      </c>
      <c r="Q7" s="10" t="s">
        <v>26</v>
      </c>
      <c r="R7" s="10" t="s">
        <v>26</v>
      </c>
      <c r="S7" s="10" t="s">
        <v>26</v>
      </c>
      <c r="T7" s="10" t="s">
        <v>26</v>
      </c>
      <c r="U7" s="10" t="s">
        <v>26</v>
      </c>
      <c r="V7" s="7" t="s">
        <v>26</v>
      </c>
      <c r="W7" s="7" t="s">
        <v>26</v>
      </c>
    </row>
    <row r="8">
      <c r="A8" s="8">
        <v>40360.0</v>
      </c>
      <c r="B8" s="9">
        <f>IFERROR(__xludf.DUMMYFUNCTION("""COMPUTED_VALUE"""),94.0)</f>
        <v>94</v>
      </c>
      <c r="C8" s="10" t="s">
        <v>26</v>
      </c>
      <c r="D8" s="10" t="s">
        <v>26</v>
      </c>
      <c r="E8" s="10" t="s">
        <v>26</v>
      </c>
      <c r="F8" s="10" t="s">
        <v>26</v>
      </c>
      <c r="G8" s="10" t="s">
        <v>26</v>
      </c>
      <c r="H8" s="10" t="s">
        <v>26</v>
      </c>
      <c r="I8" s="10" t="s">
        <v>26</v>
      </c>
      <c r="J8" s="10" t="s">
        <v>26</v>
      </c>
      <c r="K8" s="10" t="s">
        <v>26</v>
      </c>
      <c r="L8" s="10" t="s">
        <v>26</v>
      </c>
      <c r="M8" s="10" t="s">
        <v>26</v>
      </c>
      <c r="N8" s="10" t="s">
        <v>26</v>
      </c>
      <c r="O8" s="46" t="s">
        <v>26</v>
      </c>
      <c r="P8" s="10" t="s">
        <v>26</v>
      </c>
      <c r="Q8" s="10" t="s">
        <v>26</v>
      </c>
      <c r="R8" s="10" t="s">
        <v>26</v>
      </c>
      <c r="S8" s="10" t="s">
        <v>26</v>
      </c>
      <c r="T8" s="10" t="s">
        <v>26</v>
      </c>
      <c r="U8" s="10" t="s">
        <v>26</v>
      </c>
      <c r="V8" s="7" t="s">
        <v>26</v>
      </c>
      <c r="W8" s="7" t="s">
        <v>26</v>
      </c>
    </row>
    <row r="9">
      <c r="A9" s="8">
        <v>40391.0</v>
      </c>
      <c r="B9" s="9">
        <f>IFERROR(__xludf.DUMMYFUNCTION("""COMPUTED_VALUE"""),194.0)</f>
        <v>194</v>
      </c>
      <c r="C9" s="10" t="s">
        <v>26</v>
      </c>
      <c r="D9" s="10" t="s">
        <v>26</v>
      </c>
      <c r="E9" s="10" t="s">
        <v>26</v>
      </c>
      <c r="F9" s="10" t="s">
        <v>26</v>
      </c>
      <c r="G9" s="10" t="s">
        <v>26</v>
      </c>
      <c r="H9" s="10" t="s">
        <v>26</v>
      </c>
      <c r="I9" s="10" t="s">
        <v>26</v>
      </c>
      <c r="J9" s="10" t="s">
        <v>26</v>
      </c>
      <c r="K9" s="10" t="s">
        <v>26</v>
      </c>
      <c r="L9" s="10" t="s">
        <v>26</v>
      </c>
      <c r="M9" s="10" t="s">
        <v>26</v>
      </c>
      <c r="N9" s="10" t="s">
        <v>26</v>
      </c>
      <c r="O9" s="46" t="s">
        <v>26</v>
      </c>
      <c r="P9" s="10" t="s">
        <v>26</v>
      </c>
      <c r="Q9" s="10" t="s">
        <v>26</v>
      </c>
      <c r="R9" s="10" t="s">
        <v>26</v>
      </c>
      <c r="S9" s="10" t="s">
        <v>26</v>
      </c>
      <c r="T9" s="10" t="s">
        <v>26</v>
      </c>
      <c r="U9" s="10" t="s">
        <v>26</v>
      </c>
      <c r="V9" s="7" t="s">
        <v>26</v>
      </c>
      <c r="W9" s="7" t="s">
        <v>26</v>
      </c>
    </row>
    <row r="10">
      <c r="A10" s="8">
        <v>40422.0</v>
      </c>
      <c r="B10" s="9">
        <f>IFERROR(__xludf.DUMMYFUNCTION("""COMPUTED_VALUE"""),89.0)</f>
        <v>89</v>
      </c>
      <c r="C10" s="10" t="s">
        <v>26</v>
      </c>
      <c r="D10" s="10" t="s">
        <v>26</v>
      </c>
      <c r="E10" s="10" t="s">
        <v>26</v>
      </c>
      <c r="F10" s="10" t="s">
        <v>26</v>
      </c>
      <c r="G10" s="10" t="s">
        <v>26</v>
      </c>
      <c r="H10" s="10" t="s">
        <v>26</v>
      </c>
      <c r="I10" s="10" t="s">
        <v>26</v>
      </c>
      <c r="J10" s="10" t="s">
        <v>26</v>
      </c>
      <c r="K10" s="10" t="s">
        <v>26</v>
      </c>
      <c r="L10" s="10" t="s">
        <v>26</v>
      </c>
      <c r="M10" s="10" t="s">
        <v>26</v>
      </c>
      <c r="N10" s="10" t="s">
        <v>26</v>
      </c>
      <c r="O10" s="46" t="s">
        <v>26</v>
      </c>
      <c r="P10" s="10" t="s">
        <v>26</v>
      </c>
      <c r="Q10" s="10" t="s">
        <v>26</v>
      </c>
      <c r="R10" s="10" t="s">
        <v>26</v>
      </c>
      <c r="S10" s="10" t="s">
        <v>26</v>
      </c>
      <c r="T10" s="10" t="s">
        <v>26</v>
      </c>
      <c r="U10" s="10" t="s">
        <v>26</v>
      </c>
      <c r="V10" s="7" t="s">
        <v>26</v>
      </c>
      <c r="W10" s="7" t="s">
        <v>26</v>
      </c>
    </row>
    <row r="11">
      <c r="A11" s="8">
        <v>40452.0</v>
      </c>
      <c r="B11" s="9">
        <f>IFERROR(__xludf.DUMMYFUNCTION("""COMPUTED_VALUE"""),112.0)</f>
        <v>112</v>
      </c>
      <c r="C11" s="10" t="s">
        <v>26</v>
      </c>
      <c r="D11" s="10" t="s">
        <v>26</v>
      </c>
      <c r="E11" s="10" t="s">
        <v>26</v>
      </c>
      <c r="F11" s="10" t="s">
        <v>26</v>
      </c>
      <c r="G11" s="10" t="s">
        <v>26</v>
      </c>
      <c r="H11" s="10" t="s">
        <v>26</v>
      </c>
      <c r="I11" s="10" t="s">
        <v>26</v>
      </c>
      <c r="J11" s="10" t="s">
        <v>26</v>
      </c>
      <c r="K11" s="10" t="s">
        <v>26</v>
      </c>
      <c r="L11" s="10" t="s">
        <v>26</v>
      </c>
      <c r="M11" s="10" t="s">
        <v>26</v>
      </c>
      <c r="N11" s="10" t="s">
        <v>26</v>
      </c>
      <c r="O11" s="46" t="s">
        <v>26</v>
      </c>
      <c r="P11" s="10" t="s">
        <v>26</v>
      </c>
      <c r="Q11" s="10" t="s">
        <v>26</v>
      </c>
      <c r="R11" s="10" t="s">
        <v>26</v>
      </c>
      <c r="S11" s="10" t="s">
        <v>26</v>
      </c>
      <c r="T11" s="10" t="s">
        <v>26</v>
      </c>
      <c r="U11" s="10" t="s">
        <v>26</v>
      </c>
      <c r="V11" s="7" t="s">
        <v>26</v>
      </c>
      <c r="W11" s="7" t="s">
        <v>26</v>
      </c>
    </row>
    <row r="12">
      <c r="A12" s="8">
        <v>40483.0</v>
      </c>
      <c r="B12" s="9">
        <f>IFERROR(__xludf.DUMMYFUNCTION("""COMPUTED_VALUE"""),198.0)</f>
        <v>198</v>
      </c>
      <c r="C12" s="10" t="s">
        <v>26</v>
      </c>
      <c r="D12" s="10" t="s">
        <v>26</v>
      </c>
      <c r="E12" s="10" t="s">
        <v>26</v>
      </c>
      <c r="F12" s="10" t="s">
        <v>26</v>
      </c>
      <c r="G12" s="10" t="s">
        <v>26</v>
      </c>
      <c r="H12" s="10" t="s">
        <v>26</v>
      </c>
      <c r="I12" s="10" t="s">
        <v>26</v>
      </c>
      <c r="J12" s="10" t="s">
        <v>26</v>
      </c>
      <c r="K12" s="10" t="s">
        <v>26</v>
      </c>
      <c r="L12" s="10" t="s">
        <v>26</v>
      </c>
      <c r="M12" s="10" t="s">
        <v>26</v>
      </c>
      <c r="N12" s="10" t="s">
        <v>26</v>
      </c>
      <c r="O12" s="46" t="s">
        <v>26</v>
      </c>
      <c r="P12" s="10" t="s">
        <v>26</v>
      </c>
      <c r="Q12" s="10" t="s">
        <v>26</v>
      </c>
      <c r="R12" s="10" t="s">
        <v>26</v>
      </c>
      <c r="S12" s="10" t="s">
        <v>26</v>
      </c>
      <c r="T12" s="10" t="s">
        <v>26</v>
      </c>
      <c r="U12" s="10" t="s">
        <v>26</v>
      </c>
      <c r="V12" s="7" t="s">
        <v>26</v>
      </c>
      <c r="W12" s="7" t="s">
        <v>26</v>
      </c>
    </row>
    <row r="13">
      <c r="A13" s="8">
        <v>40513.0</v>
      </c>
      <c r="B13" s="9">
        <f>IFERROR(__xludf.DUMMYFUNCTION("""COMPUTED_VALUE"""),91.0)</f>
        <v>91</v>
      </c>
      <c r="C13" s="10" t="s">
        <v>26</v>
      </c>
      <c r="D13" s="10" t="s">
        <v>26</v>
      </c>
      <c r="E13" s="10" t="s">
        <v>26</v>
      </c>
      <c r="F13" s="10" t="s">
        <v>26</v>
      </c>
      <c r="G13" s="10" t="s">
        <v>26</v>
      </c>
      <c r="H13" s="10" t="s">
        <v>26</v>
      </c>
      <c r="I13" s="10" t="s">
        <v>26</v>
      </c>
      <c r="J13" s="10" t="s">
        <v>26</v>
      </c>
      <c r="K13" s="10" t="s">
        <v>26</v>
      </c>
      <c r="L13" s="10" t="s">
        <v>26</v>
      </c>
      <c r="M13" s="10" t="s">
        <v>26</v>
      </c>
      <c r="N13" s="10" t="s">
        <v>26</v>
      </c>
      <c r="O13" s="46" t="s">
        <v>26</v>
      </c>
      <c r="P13" s="10" t="s">
        <v>26</v>
      </c>
      <c r="Q13" s="10" t="s">
        <v>26</v>
      </c>
      <c r="R13" s="10" t="s">
        <v>26</v>
      </c>
      <c r="S13" s="10" t="s">
        <v>26</v>
      </c>
      <c r="T13" s="10" t="s">
        <v>26</v>
      </c>
      <c r="U13" s="10" t="s">
        <v>26</v>
      </c>
      <c r="V13" s="7" t="s">
        <v>26</v>
      </c>
      <c r="W13" s="7" t="s">
        <v>26</v>
      </c>
    </row>
    <row r="14">
      <c r="A14" s="8">
        <v>40544.0</v>
      </c>
      <c r="B14" s="9">
        <f>IFERROR(__xludf.DUMMYFUNCTION("""COMPUTED_VALUE"""),506.0)</f>
        <v>506</v>
      </c>
      <c r="C14" s="10" t="s">
        <v>26</v>
      </c>
      <c r="D14" s="10" t="s">
        <v>26</v>
      </c>
      <c r="E14" s="10" t="s">
        <v>26</v>
      </c>
      <c r="F14" s="10" t="s">
        <v>26</v>
      </c>
      <c r="G14" s="10" t="s">
        <v>26</v>
      </c>
      <c r="H14" s="10" t="s">
        <v>26</v>
      </c>
      <c r="I14" s="10" t="s">
        <v>26</v>
      </c>
      <c r="J14" s="10" t="s">
        <v>26</v>
      </c>
      <c r="K14" s="10" t="s">
        <v>26</v>
      </c>
      <c r="L14" s="10" t="s">
        <v>26</v>
      </c>
      <c r="M14" s="10" t="s">
        <v>26</v>
      </c>
      <c r="N14" s="10" t="s">
        <v>26</v>
      </c>
      <c r="O14" s="46" t="s">
        <v>26</v>
      </c>
      <c r="P14" s="10" t="s">
        <v>26</v>
      </c>
      <c r="Q14" s="10" t="s">
        <v>26</v>
      </c>
      <c r="R14" s="10" t="s">
        <v>26</v>
      </c>
      <c r="S14" s="10" t="s">
        <v>26</v>
      </c>
      <c r="T14" s="10" t="s">
        <v>26</v>
      </c>
      <c r="U14" s="10" t="s">
        <v>26</v>
      </c>
      <c r="V14" s="7" t="s">
        <v>26</v>
      </c>
      <c r="W14" s="7" t="s">
        <v>26</v>
      </c>
    </row>
    <row r="15">
      <c r="A15" s="8">
        <v>40575.0</v>
      </c>
      <c r="B15" s="9">
        <f>IFERROR(__xludf.DUMMYFUNCTION("""COMPUTED_VALUE"""),410.0)</f>
        <v>410</v>
      </c>
      <c r="C15" s="10" t="s">
        <v>26</v>
      </c>
      <c r="D15" s="10" t="s">
        <v>26</v>
      </c>
      <c r="E15" s="10" t="s">
        <v>26</v>
      </c>
      <c r="F15" s="10" t="s">
        <v>26</v>
      </c>
      <c r="G15" s="10" t="s">
        <v>26</v>
      </c>
      <c r="H15" s="10" t="s">
        <v>26</v>
      </c>
      <c r="I15" s="10" t="s">
        <v>26</v>
      </c>
      <c r="J15" s="10" t="s">
        <v>26</v>
      </c>
      <c r="K15" s="10" t="s">
        <v>26</v>
      </c>
      <c r="L15" s="10" t="s">
        <v>26</v>
      </c>
      <c r="M15" s="10" t="s">
        <v>26</v>
      </c>
      <c r="N15" s="10" t="s">
        <v>26</v>
      </c>
      <c r="O15" s="46" t="s">
        <v>26</v>
      </c>
      <c r="P15" s="10" t="s">
        <v>26</v>
      </c>
      <c r="Q15" s="10" t="s">
        <v>26</v>
      </c>
      <c r="R15" s="10" t="s">
        <v>26</v>
      </c>
      <c r="S15" s="10" t="s">
        <v>26</v>
      </c>
      <c r="T15" s="10" t="s">
        <v>26</v>
      </c>
      <c r="U15" s="10" t="s">
        <v>26</v>
      </c>
      <c r="V15" s="7" t="s">
        <v>26</v>
      </c>
      <c r="W15" s="7" t="s">
        <v>26</v>
      </c>
    </row>
    <row r="16">
      <c r="A16" s="8">
        <v>40603.0</v>
      </c>
      <c r="B16" s="9">
        <f>IFERROR(__xludf.DUMMYFUNCTION("""COMPUTED_VALUE"""),241.0)</f>
        <v>241</v>
      </c>
      <c r="C16" s="10" t="s">
        <v>26</v>
      </c>
      <c r="D16" s="10" t="s">
        <v>26</v>
      </c>
      <c r="E16" s="10" t="s">
        <v>26</v>
      </c>
      <c r="F16" s="10" t="s">
        <v>26</v>
      </c>
      <c r="G16" s="10" t="s">
        <v>26</v>
      </c>
      <c r="H16" s="10" t="s">
        <v>26</v>
      </c>
      <c r="I16" s="10" t="s">
        <v>26</v>
      </c>
      <c r="J16" s="10" t="s">
        <v>26</v>
      </c>
      <c r="K16" s="10" t="s">
        <v>26</v>
      </c>
      <c r="L16" s="10" t="s">
        <v>26</v>
      </c>
      <c r="M16" s="10" t="s">
        <v>26</v>
      </c>
      <c r="N16" s="10" t="s">
        <v>26</v>
      </c>
      <c r="O16" s="46" t="s">
        <v>26</v>
      </c>
      <c r="P16" s="10" t="s">
        <v>26</v>
      </c>
      <c r="Q16" s="10" t="s">
        <v>26</v>
      </c>
      <c r="R16" s="10" t="s">
        <v>26</v>
      </c>
      <c r="S16" s="10" t="s">
        <v>26</v>
      </c>
      <c r="T16" s="10" t="s">
        <v>26</v>
      </c>
      <c r="U16" s="10" t="s">
        <v>26</v>
      </c>
      <c r="V16" s="7" t="s">
        <v>26</v>
      </c>
      <c r="W16" s="7" t="s">
        <v>26</v>
      </c>
    </row>
    <row r="17">
      <c r="A17" s="8">
        <v>40634.0</v>
      </c>
      <c r="B17" s="9">
        <f>IFERROR(__xludf.DUMMYFUNCTION("""COMPUTED_VALUE"""),531.0)</f>
        <v>531</v>
      </c>
      <c r="C17" s="10" t="s">
        <v>26</v>
      </c>
      <c r="D17" s="10" t="s">
        <v>26</v>
      </c>
      <c r="E17" s="10" t="s">
        <v>26</v>
      </c>
      <c r="F17" s="10" t="s">
        <v>26</v>
      </c>
      <c r="G17" s="10" t="s">
        <v>26</v>
      </c>
      <c r="H17" s="10" t="s">
        <v>26</v>
      </c>
      <c r="I17" s="10" t="s">
        <v>26</v>
      </c>
      <c r="J17" s="10" t="s">
        <v>26</v>
      </c>
      <c r="K17" s="10" t="s">
        <v>26</v>
      </c>
      <c r="L17" s="10" t="s">
        <v>26</v>
      </c>
      <c r="M17" s="10" t="s">
        <v>26</v>
      </c>
      <c r="N17" s="10" t="s">
        <v>26</v>
      </c>
      <c r="O17" s="46" t="s">
        <v>26</v>
      </c>
      <c r="P17" s="10" t="s">
        <v>26</v>
      </c>
      <c r="Q17" s="10" t="s">
        <v>26</v>
      </c>
      <c r="R17" s="10" t="s">
        <v>26</v>
      </c>
      <c r="S17" s="10" t="s">
        <v>26</v>
      </c>
      <c r="T17" s="10" t="s">
        <v>26</v>
      </c>
      <c r="U17" s="10" t="s">
        <v>26</v>
      </c>
      <c r="V17" s="7" t="s">
        <v>26</v>
      </c>
      <c r="W17" s="7" t="s">
        <v>26</v>
      </c>
    </row>
    <row r="18">
      <c r="A18" s="8">
        <v>40664.0</v>
      </c>
      <c r="B18" s="9">
        <f>IFERROR(__xludf.DUMMYFUNCTION("""COMPUTED_VALUE"""),329.0)</f>
        <v>329</v>
      </c>
      <c r="C18" s="10" t="s">
        <v>26</v>
      </c>
      <c r="D18" s="10" t="s">
        <v>26</v>
      </c>
      <c r="E18" s="10" t="s">
        <v>26</v>
      </c>
      <c r="F18" s="10" t="s">
        <v>26</v>
      </c>
      <c r="G18" s="10" t="s">
        <v>26</v>
      </c>
      <c r="H18" s="10" t="s">
        <v>26</v>
      </c>
      <c r="I18" s="10" t="s">
        <v>26</v>
      </c>
      <c r="J18" s="10" t="s">
        <v>26</v>
      </c>
      <c r="K18" s="10" t="s">
        <v>26</v>
      </c>
      <c r="L18" s="10" t="s">
        <v>26</v>
      </c>
      <c r="M18" s="10" t="s">
        <v>26</v>
      </c>
      <c r="N18" s="10" t="s">
        <v>26</v>
      </c>
      <c r="O18" s="46" t="s">
        <v>26</v>
      </c>
      <c r="P18" s="10" t="s">
        <v>26</v>
      </c>
      <c r="Q18" s="10" t="s">
        <v>26</v>
      </c>
      <c r="R18" s="10" t="s">
        <v>26</v>
      </c>
      <c r="S18" s="10" t="s">
        <v>26</v>
      </c>
      <c r="T18" s="10" t="s">
        <v>26</v>
      </c>
      <c r="U18" s="10" t="s">
        <v>26</v>
      </c>
      <c r="V18" s="7" t="s">
        <v>26</v>
      </c>
      <c r="W18" s="7" t="s">
        <v>26</v>
      </c>
    </row>
    <row r="19">
      <c r="A19" s="8">
        <v>40695.0</v>
      </c>
      <c r="B19" s="9">
        <f>IFERROR(__xludf.DUMMYFUNCTION("""COMPUTED_VALUE"""),950.0)</f>
        <v>950</v>
      </c>
      <c r="C19" s="10" t="s">
        <v>26</v>
      </c>
      <c r="D19" s="10" t="s">
        <v>26</v>
      </c>
      <c r="E19" s="10" t="s">
        <v>26</v>
      </c>
      <c r="F19" s="10" t="s">
        <v>26</v>
      </c>
      <c r="G19" s="10" t="s">
        <v>26</v>
      </c>
      <c r="H19" s="10" t="s">
        <v>26</v>
      </c>
      <c r="I19" s="10" t="s">
        <v>26</v>
      </c>
      <c r="J19" s="10" t="s">
        <v>26</v>
      </c>
      <c r="K19" s="10" t="s">
        <v>26</v>
      </c>
      <c r="L19" s="10" t="s">
        <v>26</v>
      </c>
      <c r="M19" s="10" t="s">
        <v>26</v>
      </c>
      <c r="N19" s="10" t="s">
        <v>26</v>
      </c>
      <c r="O19" s="46" t="s">
        <v>26</v>
      </c>
      <c r="P19" s="10" t="s">
        <v>26</v>
      </c>
      <c r="Q19" s="10" t="s">
        <v>26</v>
      </c>
      <c r="R19" s="10" t="s">
        <v>26</v>
      </c>
      <c r="S19" s="10" t="s">
        <v>26</v>
      </c>
      <c r="T19" s="10" t="s">
        <v>26</v>
      </c>
      <c r="U19" s="10" t="s">
        <v>26</v>
      </c>
      <c r="V19" s="7" t="s">
        <v>26</v>
      </c>
      <c r="W19" s="7" t="s">
        <v>26</v>
      </c>
    </row>
    <row r="20">
      <c r="A20" s="8">
        <v>40725.0</v>
      </c>
      <c r="B20" s="9">
        <f>IFERROR(__xludf.DUMMYFUNCTION("""COMPUTED_VALUE"""),74.0)</f>
        <v>74</v>
      </c>
      <c r="C20" s="10" t="s">
        <v>26</v>
      </c>
      <c r="D20" s="10" t="s">
        <v>26</v>
      </c>
      <c r="E20" s="10" t="s">
        <v>26</v>
      </c>
      <c r="F20" s="10" t="s">
        <v>26</v>
      </c>
      <c r="G20" s="10" t="s">
        <v>26</v>
      </c>
      <c r="H20" s="10" t="s">
        <v>26</v>
      </c>
      <c r="I20" s="10" t="s">
        <v>26</v>
      </c>
      <c r="J20" s="10" t="s">
        <v>26</v>
      </c>
      <c r="K20" s="10" t="s">
        <v>26</v>
      </c>
      <c r="L20" s="10" t="s">
        <v>26</v>
      </c>
      <c r="M20" s="10" t="s">
        <v>26</v>
      </c>
      <c r="N20" s="10" t="s">
        <v>26</v>
      </c>
      <c r="O20" s="46" t="s">
        <v>26</v>
      </c>
      <c r="P20" s="10" t="s">
        <v>26</v>
      </c>
      <c r="Q20" s="10" t="s">
        <v>26</v>
      </c>
      <c r="R20" s="10" t="s">
        <v>26</v>
      </c>
      <c r="S20" s="10" t="s">
        <v>26</v>
      </c>
      <c r="T20" s="10" t="s">
        <v>26</v>
      </c>
      <c r="U20" s="10" t="s">
        <v>26</v>
      </c>
      <c r="V20" s="7" t="s">
        <v>26</v>
      </c>
      <c r="W20" s="7" t="s">
        <v>26</v>
      </c>
    </row>
    <row r="21">
      <c r="A21" s="8">
        <v>40756.0</v>
      </c>
      <c r="B21" s="9">
        <f>IFERROR(__xludf.DUMMYFUNCTION("""COMPUTED_VALUE"""),457.0)</f>
        <v>457</v>
      </c>
      <c r="C21" s="12">
        <v>123.433913323166</v>
      </c>
      <c r="D21" s="12">
        <v>276.09798075952</v>
      </c>
      <c r="E21" s="12">
        <v>0.0</v>
      </c>
      <c r="F21" s="12">
        <v>634.953817087861</v>
      </c>
      <c r="G21" s="12">
        <v>163.803479060764</v>
      </c>
      <c r="H21" s="12">
        <v>160.578116152568</v>
      </c>
      <c r="I21" s="12">
        <v>432.875568675721</v>
      </c>
      <c r="J21" s="12">
        <v>57.5821428571429</v>
      </c>
      <c r="K21" s="12">
        <v>171.500143671391</v>
      </c>
      <c r="L21" s="12">
        <v>401.382725283583</v>
      </c>
      <c r="M21" s="12">
        <v>162.744705815941</v>
      </c>
      <c r="N21" s="12">
        <v>151.925990508098</v>
      </c>
      <c r="O21" s="47">
        <v>340.057155962941</v>
      </c>
      <c r="P21" s="12">
        <v>29.5184903952381</v>
      </c>
      <c r="Q21" s="12">
        <v>4.82477169467607</v>
      </c>
      <c r="R21" s="12">
        <v>166.169515097559</v>
      </c>
      <c r="S21" s="12">
        <v>263.983558111877</v>
      </c>
      <c r="T21" s="12">
        <v>365.8</v>
      </c>
      <c r="U21" s="12">
        <v>484.199004426982</v>
      </c>
      <c r="V21" s="7">
        <v>124.284</v>
      </c>
      <c r="W21" s="7">
        <v>224.005194550233</v>
      </c>
    </row>
    <row r="22">
      <c r="A22" s="8">
        <v>40787.0</v>
      </c>
      <c r="B22" s="9">
        <f>IFERROR(__xludf.DUMMYFUNCTION("""COMPUTED_VALUE"""),118.0)</f>
        <v>118</v>
      </c>
      <c r="C22" s="12">
        <v>240.186807260305</v>
      </c>
      <c r="D22" s="12">
        <v>254.108652259206</v>
      </c>
      <c r="E22" s="12">
        <v>87.88</v>
      </c>
      <c r="F22" s="12">
        <v>258.827939365099</v>
      </c>
      <c r="G22" s="12">
        <v>110.307854060764</v>
      </c>
      <c r="H22" s="12">
        <v>119.166836450289</v>
      </c>
      <c r="I22" s="12">
        <v>86.0054791954479</v>
      </c>
      <c r="J22" s="12">
        <v>80.35</v>
      </c>
      <c r="K22" s="12">
        <v>194.500143671391</v>
      </c>
      <c r="L22" s="12">
        <v>32.0871024821963</v>
      </c>
      <c r="M22" s="12">
        <v>156.122988805147</v>
      </c>
      <c r="N22" s="12">
        <v>51.690442788368</v>
      </c>
      <c r="O22" s="47">
        <v>18.1841539805797</v>
      </c>
      <c r="P22" s="12">
        <v>180.921736178879</v>
      </c>
      <c r="Q22" s="12">
        <v>2.86350601577009</v>
      </c>
      <c r="R22" s="12">
        <v>51.5460315023109</v>
      </c>
      <c r="S22" s="12">
        <v>256.298861541504</v>
      </c>
      <c r="T22" s="12">
        <v>457.401481481481</v>
      </c>
      <c r="U22" s="12">
        <v>-30.9384263241871</v>
      </c>
      <c r="V22" s="7">
        <v>153.84</v>
      </c>
      <c r="W22" s="7">
        <v>125.720191898204</v>
      </c>
    </row>
    <row r="23">
      <c r="A23" s="8">
        <v>40817.0</v>
      </c>
      <c r="B23" s="9">
        <f>IFERROR(__xludf.DUMMYFUNCTION("""COMPUTED_VALUE"""),224.0)</f>
        <v>224</v>
      </c>
      <c r="C23" s="12">
        <v>236.535017748321</v>
      </c>
      <c r="D23" s="12">
        <v>231.829299594699</v>
      </c>
      <c r="E23" s="12">
        <v>30.25</v>
      </c>
      <c r="F23" s="12">
        <v>238.642991137299</v>
      </c>
      <c r="G23" s="12">
        <v>112.656291560764</v>
      </c>
      <c r="H23" s="12">
        <v>77.6885603315537</v>
      </c>
      <c r="I23" s="12">
        <v>373.902453161334</v>
      </c>
      <c r="J23" s="12">
        <v>84.625</v>
      </c>
      <c r="K23" s="12">
        <v>146.369486616251</v>
      </c>
      <c r="L23" s="12">
        <v>43.6429506520778</v>
      </c>
      <c r="M23" s="12">
        <v>215.044705815941</v>
      </c>
      <c r="N23" s="12">
        <v>34.2594526417977</v>
      </c>
      <c r="O23" s="47">
        <v>159.490012236208</v>
      </c>
      <c r="P23" s="12">
        <v>198.66502460048</v>
      </c>
      <c r="Q23" s="12">
        <v>2.06447058399513</v>
      </c>
      <c r="R23" s="12">
        <v>120.962284207647</v>
      </c>
      <c r="S23" s="12">
        <v>277.155164678218</v>
      </c>
      <c r="T23" s="12">
        <v>55.5</v>
      </c>
      <c r="U23" s="12">
        <v>130.163763491009</v>
      </c>
      <c r="V23" s="7">
        <v>205.025244826647</v>
      </c>
      <c r="W23" s="7">
        <v>307.803892821066</v>
      </c>
    </row>
    <row r="24">
      <c r="A24" s="8">
        <v>40848.0</v>
      </c>
      <c r="B24" s="9">
        <f>IFERROR(__xludf.DUMMYFUNCTION("""COMPUTED_VALUE"""),237.0)</f>
        <v>237</v>
      </c>
      <c r="C24" s="12">
        <v>236.452505008603</v>
      </c>
      <c r="D24" s="12">
        <v>208.326389715212</v>
      </c>
      <c r="E24" s="12">
        <v>57.96</v>
      </c>
      <c r="F24" s="12">
        <v>-50.4340543892471</v>
      </c>
      <c r="G24" s="12">
        <v>164.285979060764</v>
      </c>
      <c r="H24" s="12">
        <v>77.3293562723856</v>
      </c>
      <c r="I24" s="12">
        <v>168.982837688023</v>
      </c>
      <c r="J24" s="12">
        <v>90.8607142857143</v>
      </c>
      <c r="K24" s="12">
        <v>109.000143671391</v>
      </c>
      <c r="L24" s="12">
        <v>-264.399704456718</v>
      </c>
      <c r="M24" s="12">
        <v>219.26950866673</v>
      </c>
      <c r="N24" s="12">
        <v>13.7518216277506</v>
      </c>
      <c r="O24" s="47">
        <v>223.721769826997</v>
      </c>
      <c r="P24" s="12">
        <v>101.175660964266</v>
      </c>
      <c r="Q24" s="12">
        <v>-0.513010294589499</v>
      </c>
      <c r="R24" s="12">
        <v>157.646330248812</v>
      </c>
      <c r="S24" s="12">
        <v>262.755164678218</v>
      </c>
      <c r="T24" s="12">
        <v>282.0</v>
      </c>
      <c r="U24" s="12">
        <v>218.71159755217</v>
      </c>
      <c r="V24" s="7">
        <v>150.58</v>
      </c>
      <c r="W24" s="7">
        <v>245.67639392918</v>
      </c>
    </row>
    <row r="25">
      <c r="A25" s="8">
        <v>40878.0</v>
      </c>
      <c r="B25" s="9">
        <f>IFERROR(__xludf.DUMMYFUNCTION("""COMPUTED_VALUE"""),142.0)</f>
        <v>142</v>
      </c>
      <c r="C25" s="12">
        <v>289.988692993055</v>
      </c>
      <c r="D25" s="12">
        <v>205.084281091794</v>
      </c>
      <c r="E25" s="12">
        <v>41.58</v>
      </c>
      <c r="F25" s="12">
        <v>382.699737790914</v>
      </c>
      <c r="G25" s="12">
        <v>156.125666560764</v>
      </c>
      <c r="H25" s="12">
        <v>121.083431109806</v>
      </c>
      <c r="I25" s="12">
        <v>186.389918918855</v>
      </c>
      <c r="J25" s="12">
        <v>104.685714285714</v>
      </c>
      <c r="K25" s="12">
        <v>156.500143671391</v>
      </c>
      <c r="L25" s="12">
        <v>153.988862014761</v>
      </c>
      <c r="M25" s="12">
        <v>171.444705815941</v>
      </c>
      <c r="N25" s="12">
        <v>-57.1784517238323</v>
      </c>
      <c r="O25" s="47">
        <v>227.980191875815</v>
      </c>
      <c r="P25" s="12">
        <v>42.2608486027778</v>
      </c>
      <c r="Q25" s="12">
        <v>-68.6454285018675</v>
      </c>
      <c r="R25" s="12">
        <v>156.787039002495</v>
      </c>
      <c r="S25" s="12">
        <v>237.798666094311</v>
      </c>
      <c r="T25" s="12">
        <v>114.139370865038</v>
      </c>
      <c r="U25" s="12">
        <v>42.4354862492327</v>
      </c>
      <c r="V25" s="7">
        <v>161.775</v>
      </c>
      <c r="W25" s="7">
        <v>315.874812768807</v>
      </c>
    </row>
    <row r="26">
      <c r="A26" s="8">
        <v>40909.0</v>
      </c>
      <c r="B26" s="9">
        <f>IFERROR(__xludf.DUMMYFUNCTION("""COMPUTED_VALUE"""),97.0)</f>
        <v>97</v>
      </c>
      <c r="C26" s="12">
        <v>13.2240122583711</v>
      </c>
      <c r="D26" s="12">
        <v>241.881408181804</v>
      </c>
      <c r="E26" s="12">
        <v>0.0</v>
      </c>
      <c r="F26" s="12">
        <v>230.108697578858</v>
      </c>
      <c r="G26" s="12">
        <v>136.328166560764</v>
      </c>
      <c r="H26" s="12">
        <v>61.0419833208773</v>
      </c>
      <c r="I26" s="12">
        <v>112.255829268614</v>
      </c>
      <c r="J26" s="12">
        <v>81.2571428571429</v>
      </c>
      <c r="K26" s="12">
        <v>206.500143671391</v>
      </c>
      <c r="L26" s="12">
        <v>7.91438372440496</v>
      </c>
      <c r="M26" s="12">
        <v>151.344705815941</v>
      </c>
      <c r="N26" s="12">
        <v>67.9967941898619</v>
      </c>
      <c r="O26" s="47">
        <v>147.102971119591</v>
      </c>
      <c r="P26" s="12">
        <v>81.1636906666667</v>
      </c>
      <c r="Q26" s="12">
        <v>-2.55907713667262</v>
      </c>
      <c r="R26" s="12">
        <v>28.7125238943487</v>
      </c>
      <c r="S26" s="12">
        <v>237.798666094311</v>
      </c>
      <c r="T26" s="12">
        <v>6.16222222222222</v>
      </c>
      <c r="U26" s="12">
        <v>25.038622715856</v>
      </c>
      <c r="V26" s="7">
        <v>156.6</v>
      </c>
      <c r="W26" s="7">
        <v>95.6957819881234</v>
      </c>
    </row>
    <row r="27">
      <c r="A27" s="8">
        <v>40940.0</v>
      </c>
      <c r="B27" s="9">
        <f>IFERROR(__xludf.DUMMYFUNCTION("""COMPUTED_VALUE"""),133.0)</f>
        <v>133</v>
      </c>
      <c r="C27" s="12">
        <v>43.8074828005252</v>
      </c>
      <c r="D27" s="12">
        <v>171.084281091794</v>
      </c>
      <c r="E27" s="12">
        <v>0.0</v>
      </c>
      <c r="F27" s="12">
        <v>210.335140773997</v>
      </c>
      <c r="G27" s="12">
        <v>121.287541560764</v>
      </c>
      <c r="H27" s="12">
        <v>21.9912617802012</v>
      </c>
      <c r="I27" s="12">
        <v>72.9194032851528</v>
      </c>
      <c r="J27" s="12">
        <v>12.2571428571429</v>
      </c>
      <c r="K27" s="12">
        <v>375.500143671391</v>
      </c>
      <c r="L27" s="12">
        <v>374.017144708092</v>
      </c>
      <c r="M27" s="12">
        <v>156.644705815941</v>
      </c>
      <c r="N27" s="12">
        <v>111.960200740227</v>
      </c>
      <c r="O27" s="47">
        <v>131.800964485471</v>
      </c>
      <c r="P27" s="12">
        <v>150.582972154815</v>
      </c>
      <c r="Q27" s="12">
        <v>369.972562838607</v>
      </c>
      <c r="R27" s="12">
        <v>16.0422240160146</v>
      </c>
      <c r="S27" s="12">
        <v>237.798666094311</v>
      </c>
      <c r="T27" s="12">
        <v>82.0</v>
      </c>
      <c r="U27" s="12">
        <v>386.979425150073</v>
      </c>
      <c r="V27" s="7">
        <v>129.666666666667</v>
      </c>
      <c r="W27" s="7">
        <v>100.546894884768</v>
      </c>
    </row>
    <row r="28">
      <c r="A28" s="8">
        <v>40969.0</v>
      </c>
      <c r="B28" s="9">
        <f>IFERROR(__xludf.DUMMYFUNCTION("""COMPUTED_VALUE"""),77.0)</f>
        <v>77</v>
      </c>
      <c r="C28" s="12">
        <v>65.9220263263883</v>
      </c>
      <c r="D28" s="12">
        <v>185.477967990529</v>
      </c>
      <c r="E28" s="12">
        <v>48.62</v>
      </c>
      <c r="F28" s="12">
        <v>802.31494930378</v>
      </c>
      <c r="G28" s="12">
        <v>80.168791560764</v>
      </c>
      <c r="H28" s="12">
        <v>27.2180855648128</v>
      </c>
      <c r="I28" s="12">
        <v>42.1264845159851</v>
      </c>
      <c r="J28" s="12">
        <v>0.8</v>
      </c>
      <c r="K28" s="12">
        <v>189.500143671391</v>
      </c>
      <c r="L28" s="12">
        <v>1063.37721776381</v>
      </c>
      <c r="M28" s="12">
        <v>273.922988805147</v>
      </c>
      <c r="N28" s="12">
        <v>39.536081149658</v>
      </c>
      <c r="O28" s="47">
        <v>103.609247949026</v>
      </c>
      <c r="P28" s="12">
        <v>47.0312653937897</v>
      </c>
      <c r="Q28" s="12">
        <v>328.570730912052</v>
      </c>
      <c r="R28" s="12">
        <v>95.2980620219911</v>
      </c>
      <c r="S28" s="12">
        <v>237.798666094311</v>
      </c>
      <c r="T28" s="12">
        <v>16.3</v>
      </c>
      <c r="U28" s="12">
        <v>664.439630702032</v>
      </c>
      <c r="V28" s="7">
        <v>91.5</v>
      </c>
      <c r="W28" s="7">
        <v>140.658097647211</v>
      </c>
    </row>
    <row r="29">
      <c r="A29" s="8">
        <v>41000.0</v>
      </c>
      <c r="B29" s="9">
        <f>IFERROR(__xludf.DUMMYFUNCTION("""COMPUTED_VALUE"""),451.0)</f>
        <v>451</v>
      </c>
      <c r="C29" s="12">
        <v>58.0323900263479</v>
      </c>
      <c r="D29" s="12">
        <v>236.068498338631</v>
      </c>
      <c r="E29" s="12">
        <v>0.0</v>
      </c>
      <c r="F29" s="12">
        <v>336.389658581415</v>
      </c>
      <c r="G29" s="12">
        <v>58.481291560764</v>
      </c>
      <c r="H29" s="12">
        <v>2.85714285714286</v>
      </c>
      <c r="I29" s="12">
        <v>206.607244799161</v>
      </c>
      <c r="J29" s="12">
        <v>0.828571428571429</v>
      </c>
      <c r="K29" s="12">
        <v>201.806951687173</v>
      </c>
      <c r="L29" s="12">
        <v>511.329033510361</v>
      </c>
      <c r="M29" s="12">
        <v>410.344705815941</v>
      </c>
      <c r="N29" s="12">
        <v>177.145111048312</v>
      </c>
      <c r="O29" s="47">
        <v>277.657177083137</v>
      </c>
      <c r="P29" s="12">
        <v>264.210750775101</v>
      </c>
      <c r="Q29" s="12">
        <v>282.187510836258</v>
      </c>
      <c r="R29" s="12">
        <v>27.1202193466068</v>
      </c>
      <c r="S29" s="12">
        <v>237.798666094311</v>
      </c>
      <c r="T29" s="12">
        <v>139.0</v>
      </c>
      <c r="U29" s="12">
        <v>387.23915136773</v>
      </c>
      <c r="V29" s="7">
        <v>172.584749708808</v>
      </c>
      <c r="W29" s="7">
        <v>226.993395085293</v>
      </c>
    </row>
    <row r="30">
      <c r="A30" s="8">
        <v>41030.0</v>
      </c>
      <c r="B30" s="9">
        <f>IFERROR(__xludf.DUMMYFUNCTION("""COMPUTED_VALUE"""),142.0)</f>
        <v>142</v>
      </c>
      <c r="C30" s="12">
        <v>196.903760037271</v>
      </c>
      <c r="D30" s="12">
        <v>202.26060696205</v>
      </c>
      <c r="E30" s="12">
        <v>0.0</v>
      </c>
      <c r="F30" s="12">
        <v>224.674257854019</v>
      </c>
      <c r="G30" s="12">
        <v>112.837854060764</v>
      </c>
      <c r="H30" s="12">
        <v>4.0</v>
      </c>
      <c r="I30" s="12">
        <v>152.762753438494</v>
      </c>
      <c r="J30" s="12">
        <v>472.724874462222</v>
      </c>
      <c r="K30" s="12">
        <v>137.594655822746</v>
      </c>
      <c r="L30" s="12">
        <v>376.448362827174</v>
      </c>
      <c r="M30" s="12">
        <v>242.719705815941</v>
      </c>
      <c r="N30" s="12">
        <v>147.314744256049</v>
      </c>
      <c r="O30" s="47">
        <v>97.3112158670954</v>
      </c>
      <c r="P30" s="12">
        <v>110.404885474685</v>
      </c>
      <c r="Q30" s="12">
        <v>378.131950181445</v>
      </c>
      <c r="R30" s="12">
        <v>345.345000057247</v>
      </c>
      <c r="S30" s="12">
        <v>294.741014379497</v>
      </c>
      <c r="T30" s="12">
        <v>374.0</v>
      </c>
      <c r="U30" s="12">
        <v>326.062245478502</v>
      </c>
      <c r="V30" s="7">
        <v>109.95</v>
      </c>
      <c r="W30" s="7">
        <v>131.161775824472</v>
      </c>
    </row>
    <row r="31">
      <c r="A31" s="8">
        <v>41061.0</v>
      </c>
      <c r="B31" s="9">
        <f>IFERROR(__xludf.DUMMYFUNCTION("""COMPUTED_VALUE"""),135.0)</f>
        <v>135</v>
      </c>
      <c r="C31" s="12">
        <v>277.32781630571</v>
      </c>
      <c r="D31" s="12">
        <v>170.412185237366</v>
      </c>
      <c r="E31" s="12">
        <v>29.1408986168684</v>
      </c>
      <c r="F31" s="12">
        <v>234.03837216082</v>
      </c>
      <c r="G31" s="12">
        <v>149.818166560764</v>
      </c>
      <c r="H31" s="12">
        <v>29.8953962265669</v>
      </c>
      <c r="I31" s="12">
        <v>129.883997130991</v>
      </c>
      <c r="J31" s="12">
        <v>61.3642857142857</v>
      </c>
      <c r="K31" s="12">
        <v>152.080194153001</v>
      </c>
      <c r="L31" s="12">
        <v>351.274220644459</v>
      </c>
      <c r="M31" s="12">
        <v>235.30032217616</v>
      </c>
      <c r="N31" s="12">
        <v>291.558419590685</v>
      </c>
      <c r="O31" s="47">
        <v>102.978228220176</v>
      </c>
      <c r="P31" s="12">
        <v>235.910319172813</v>
      </c>
      <c r="Q31" s="12">
        <v>354.499034406773</v>
      </c>
      <c r="R31" s="12">
        <v>185.164714313395</v>
      </c>
      <c r="S31" s="12">
        <v>321.441014379497</v>
      </c>
      <c r="T31" s="12">
        <v>55.5540740740741</v>
      </c>
      <c r="U31" s="12">
        <v>248.751191434154</v>
      </c>
      <c r="V31" s="7">
        <v>129.173933619985</v>
      </c>
      <c r="W31" s="7">
        <v>134.781319683424</v>
      </c>
    </row>
    <row r="32">
      <c r="A32" s="8">
        <v>41091.0</v>
      </c>
      <c r="B32" s="9">
        <f>IFERROR(__xludf.DUMMYFUNCTION("""COMPUTED_VALUE"""),243.0)</f>
        <v>243</v>
      </c>
      <c r="C32" s="12">
        <v>162.058639780186</v>
      </c>
      <c r="D32" s="12">
        <v>215.249559034836</v>
      </c>
      <c r="E32" s="12">
        <v>0.0</v>
      </c>
      <c r="F32" s="12">
        <v>229.491639083309</v>
      </c>
      <c r="G32" s="12">
        <v>121.187541560764</v>
      </c>
      <c r="H32" s="12">
        <v>73.3816744279542</v>
      </c>
      <c r="I32" s="12">
        <v>221.031966820562</v>
      </c>
      <c r="J32" s="12">
        <v>39.6071428571429</v>
      </c>
      <c r="K32" s="12">
        <v>182.212975706649</v>
      </c>
      <c r="L32" s="12">
        <v>224.083382065018</v>
      </c>
      <c r="M32" s="12">
        <v>178.044705815941</v>
      </c>
      <c r="N32" s="12">
        <v>155.290008278608</v>
      </c>
      <c r="O32" s="47">
        <v>70.7798585804573</v>
      </c>
      <c r="P32" s="12">
        <v>136.586585692904</v>
      </c>
      <c r="Q32" s="12">
        <v>210.325465155498</v>
      </c>
      <c r="R32" s="12">
        <v>131.67953475869</v>
      </c>
      <c r="S32" s="12">
        <v>260.961081809292</v>
      </c>
      <c r="T32" s="12">
        <v>137.8</v>
      </c>
      <c r="U32" s="12">
        <v>211.859561327904</v>
      </c>
      <c r="V32" s="7">
        <v>177.035734479941</v>
      </c>
      <c r="W32" s="7">
        <v>262.200101926026</v>
      </c>
    </row>
    <row r="33">
      <c r="A33" s="8">
        <v>41122.0</v>
      </c>
      <c r="B33" s="9">
        <f>IFERROR(__xludf.DUMMYFUNCTION("""COMPUTED_VALUE"""),240.0)</f>
        <v>240</v>
      </c>
      <c r="C33" s="12">
        <v>106.783394853759</v>
      </c>
      <c r="D33" s="12">
        <v>225.079546265845</v>
      </c>
      <c r="E33" s="12">
        <v>0.0</v>
      </c>
      <c r="F33" s="12">
        <v>222.441750325793</v>
      </c>
      <c r="G33" s="12">
        <v>228.162541560764</v>
      </c>
      <c r="H33" s="12">
        <v>102.649807033945</v>
      </c>
      <c r="I33" s="12">
        <v>258.397628158099</v>
      </c>
      <c r="J33" s="12">
        <v>61.575</v>
      </c>
      <c r="K33" s="12">
        <v>148.181043773728</v>
      </c>
      <c r="L33" s="12">
        <v>147.847602619924</v>
      </c>
      <c r="M33" s="12">
        <v>171.744705815941</v>
      </c>
      <c r="N33" s="12">
        <v>192.147845133303</v>
      </c>
      <c r="O33" s="47">
        <v>97.6007267429111</v>
      </c>
      <c r="P33" s="12">
        <v>123.732970666667</v>
      </c>
      <c r="Q33" s="12">
        <v>163.348245103941</v>
      </c>
      <c r="R33" s="12">
        <v>194.044764871214</v>
      </c>
      <c r="S33" s="12">
        <v>270.387471920521</v>
      </c>
      <c r="T33" s="12">
        <v>144.0</v>
      </c>
      <c r="U33" s="12">
        <v>198.858591115437</v>
      </c>
      <c r="V33" s="7">
        <v>165.712785631088</v>
      </c>
      <c r="W33" s="7">
        <v>203.020176175419</v>
      </c>
    </row>
    <row r="34">
      <c r="A34" s="8">
        <v>41153.0</v>
      </c>
      <c r="B34" s="9">
        <f>IFERROR(__xludf.DUMMYFUNCTION("""COMPUTED_VALUE"""),260.0)</f>
        <v>260</v>
      </c>
      <c r="C34" s="12">
        <v>135.579200912171</v>
      </c>
      <c r="D34" s="12">
        <v>230.243245933571</v>
      </c>
      <c r="E34" s="12">
        <v>0.0</v>
      </c>
      <c r="F34" s="12">
        <v>221.650736396309</v>
      </c>
      <c r="G34" s="12">
        <v>180.790041560764</v>
      </c>
      <c r="H34" s="12">
        <v>91.7395345490318</v>
      </c>
      <c r="I34" s="12">
        <v>226.735353198197</v>
      </c>
      <c r="J34" s="12">
        <v>81.95</v>
      </c>
      <c r="K34" s="12">
        <v>217.500143671391</v>
      </c>
      <c r="L34" s="12">
        <v>195.477404361397</v>
      </c>
      <c r="M34" s="12">
        <v>180.194705815941</v>
      </c>
      <c r="N34" s="12">
        <v>200.590055481287</v>
      </c>
      <c r="O34" s="47">
        <v>111.853035351359</v>
      </c>
      <c r="P34" s="12">
        <v>285.975124709424</v>
      </c>
      <c r="Q34" s="12">
        <v>216.382997491109</v>
      </c>
      <c r="R34" s="12">
        <v>266.978890459676</v>
      </c>
      <c r="S34" s="12">
        <v>302.82365330801</v>
      </c>
      <c r="T34" s="12">
        <v>82.5985185185185</v>
      </c>
      <c r="U34" s="12">
        <v>198.982284020544</v>
      </c>
      <c r="V34" s="7">
        <v>176.32</v>
      </c>
      <c r="W34" s="7">
        <v>154.374256646133</v>
      </c>
    </row>
    <row r="35">
      <c r="A35" s="8">
        <v>41183.0</v>
      </c>
      <c r="B35" s="9">
        <f>IFERROR(__xludf.DUMMYFUNCTION("""COMPUTED_VALUE"""),254.0)</f>
        <v>254</v>
      </c>
      <c r="C35" s="12">
        <v>282.190500330708</v>
      </c>
      <c r="D35" s="12">
        <v>151.051642120272</v>
      </c>
      <c r="E35" s="12">
        <v>0.0</v>
      </c>
      <c r="F35" s="12">
        <v>279.95847309256</v>
      </c>
      <c r="G35" s="12">
        <v>932.167541560764</v>
      </c>
      <c r="H35" s="12">
        <v>84.5225784684774</v>
      </c>
      <c r="I35" s="12">
        <v>182.216821640112</v>
      </c>
      <c r="J35" s="12">
        <v>78.925</v>
      </c>
      <c r="K35" s="12">
        <v>153.352150880036</v>
      </c>
      <c r="L35" s="12">
        <v>247.860602296785</v>
      </c>
      <c r="M35" s="12">
        <v>220.944705815941</v>
      </c>
      <c r="N35" s="12">
        <v>315.682395283876</v>
      </c>
      <c r="O35" s="47">
        <v>142.73127817872</v>
      </c>
      <c r="P35" s="12">
        <v>296.436552045476</v>
      </c>
      <c r="Q35" s="12">
        <v>263.974400665314</v>
      </c>
      <c r="R35" s="12">
        <v>236.225567638309</v>
      </c>
      <c r="S35" s="12">
        <v>331.918274226969</v>
      </c>
      <c r="T35" s="12">
        <v>247.0</v>
      </c>
      <c r="U35" s="12">
        <v>432.051140748122</v>
      </c>
      <c r="V35" s="7">
        <v>224.553933619985</v>
      </c>
      <c r="W35" s="7">
        <v>204.376304793165</v>
      </c>
    </row>
    <row r="36">
      <c r="A36" s="8">
        <v>41214.0</v>
      </c>
      <c r="B36" s="9">
        <f>IFERROR(__xludf.DUMMYFUNCTION("""COMPUTED_VALUE"""),310.0)</f>
        <v>310</v>
      </c>
      <c r="C36" s="12">
        <v>237.528658057779</v>
      </c>
      <c r="D36" s="12">
        <v>287.636735972278</v>
      </c>
      <c r="E36" s="12">
        <v>0.0</v>
      </c>
      <c r="F36" s="12">
        <v>228.999442418052</v>
      </c>
      <c r="G36" s="12">
        <v>515.904773703621</v>
      </c>
      <c r="H36" s="12">
        <v>90.186088602282</v>
      </c>
      <c r="I36" s="12">
        <v>285.368185711735</v>
      </c>
      <c r="J36" s="12">
        <v>73.225</v>
      </c>
      <c r="K36" s="12">
        <v>507.100143671391</v>
      </c>
      <c r="L36" s="12">
        <v>327.301168548358</v>
      </c>
      <c r="M36" s="12">
        <v>278.094705815941</v>
      </c>
      <c r="N36" s="12">
        <v>301.78268418689</v>
      </c>
      <c r="O36" s="47">
        <v>293.500034563604</v>
      </c>
      <c r="P36" s="12">
        <v>184.130234295552</v>
      </c>
      <c r="Q36" s="12">
        <v>304.30582010582</v>
      </c>
      <c r="R36" s="12">
        <v>251.992781912616</v>
      </c>
      <c r="S36" s="12">
        <v>342.595299537809</v>
      </c>
      <c r="T36" s="12">
        <v>167.078518518519</v>
      </c>
      <c r="U36" s="12">
        <v>291.293857209315</v>
      </c>
      <c r="V36" s="7">
        <v>201.64</v>
      </c>
      <c r="W36" s="7">
        <v>287.681468378584</v>
      </c>
    </row>
    <row r="37">
      <c r="A37" s="8">
        <v>41244.0</v>
      </c>
      <c r="B37" s="9">
        <f>IFERROR(__xludf.DUMMYFUNCTION("""COMPUTED_VALUE"""),171.0)</f>
        <v>171</v>
      </c>
      <c r="C37" s="12">
        <v>157.945254902961</v>
      </c>
      <c r="D37" s="12">
        <v>216.627118079249</v>
      </c>
      <c r="E37" s="12">
        <v>0.0</v>
      </c>
      <c r="F37" s="12">
        <v>223.426873383426</v>
      </c>
      <c r="G37" s="12">
        <v>379.974237989336</v>
      </c>
      <c r="H37" s="12">
        <v>32.4610641521175</v>
      </c>
      <c r="I37" s="12">
        <v>354.9683579446</v>
      </c>
      <c r="J37" s="12">
        <v>135.421428571429</v>
      </c>
      <c r="K37" s="12">
        <v>159.500143671391</v>
      </c>
      <c r="L37" s="12">
        <v>207.243602722107</v>
      </c>
      <c r="M37" s="12">
        <v>167.944705815941</v>
      </c>
      <c r="N37" s="12">
        <v>152.135854637152</v>
      </c>
      <c r="O37" s="47">
        <v>59.7311416501927</v>
      </c>
      <c r="P37" s="12">
        <v>109.34656</v>
      </c>
      <c r="Q37" s="12">
        <v>205.702851751693</v>
      </c>
      <c r="R37" s="12">
        <v>172.525543232254</v>
      </c>
      <c r="S37" s="12">
        <v>347.995299537809</v>
      </c>
      <c r="T37" s="12">
        <v>189.6</v>
      </c>
      <c r="U37" s="12">
        <v>152.19565138808</v>
      </c>
      <c r="V37" s="7">
        <v>197.08</v>
      </c>
      <c r="W37" s="7">
        <v>186.110925219281</v>
      </c>
    </row>
    <row r="38">
      <c r="A38" s="8">
        <v>41275.0</v>
      </c>
      <c r="B38" s="9">
        <f>IFERROR(__xludf.DUMMYFUNCTION("""COMPUTED_VALUE"""),145.0)</f>
        <v>145</v>
      </c>
      <c r="C38" s="12">
        <v>202.44557804283</v>
      </c>
      <c r="D38" s="12">
        <v>140.279041455725</v>
      </c>
      <c r="E38" s="12">
        <v>68.8513952567451</v>
      </c>
      <c r="F38" s="12">
        <v>147.336862044375</v>
      </c>
      <c r="G38" s="12">
        <v>141.892541560764</v>
      </c>
      <c r="H38" s="12">
        <v>18.0567524357836</v>
      </c>
      <c r="I38" s="12">
        <v>137.712784395836</v>
      </c>
      <c r="J38" s="12">
        <v>7.575</v>
      </c>
      <c r="K38" s="12">
        <v>144.500143671391</v>
      </c>
      <c r="L38" s="12">
        <v>75.4979236283711</v>
      </c>
      <c r="M38" s="12">
        <v>239.950824808468</v>
      </c>
      <c r="N38" s="12">
        <v>151.16724693262</v>
      </c>
      <c r="O38" s="47">
        <v>96.7784196026705</v>
      </c>
      <c r="P38" s="12">
        <v>169.695523789385</v>
      </c>
      <c r="Q38" s="12">
        <v>147.759944165078</v>
      </c>
      <c r="R38" s="12">
        <v>440.578125</v>
      </c>
      <c r="S38" s="12">
        <v>290.295299537809</v>
      </c>
      <c r="T38" s="12">
        <v>129.117037037037</v>
      </c>
      <c r="U38" s="12">
        <v>133.485402837093</v>
      </c>
      <c r="V38" s="7">
        <v>146.138852011103</v>
      </c>
      <c r="W38" s="7">
        <v>95.5976979820705</v>
      </c>
    </row>
    <row r="39">
      <c r="A39" s="8">
        <v>41306.0</v>
      </c>
      <c r="B39" s="9">
        <f>IFERROR(__xludf.DUMMYFUNCTION("""COMPUTED_VALUE"""),123.0)</f>
        <v>123</v>
      </c>
      <c r="C39" s="12">
        <v>132.75195232173</v>
      </c>
      <c r="D39" s="12">
        <v>191.436932832306</v>
      </c>
      <c r="E39" s="12">
        <v>19.6754242233541</v>
      </c>
      <c r="F39" s="12">
        <v>279.21360559547</v>
      </c>
      <c r="G39" s="12">
        <v>95.837541560764</v>
      </c>
      <c r="H39" s="12">
        <v>19.1014613624956</v>
      </c>
      <c r="I39" s="12">
        <v>193.642434429029</v>
      </c>
      <c r="J39" s="12">
        <v>0.0</v>
      </c>
      <c r="K39" s="12">
        <v>135.500143671391</v>
      </c>
      <c r="L39" s="12">
        <v>201.1441415254</v>
      </c>
      <c r="M39" s="12">
        <v>124.444705815941</v>
      </c>
      <c r="N39" s="12">
        <v>165.341103003281</v>
      </c>
      <c r="O39" s="47">
        <v>45.8009644854706</v>
      </c>
      <c r="P39" s="12">
        <v>138.644821333333</v>
      </c>
      <c r="Q39" s="12">
        <v>62.3094072035169</v>
      </c>
      <c r="R39" s="12">
        <v>196.447414964282</v>
      </c>
      <c r="S39" s="12">
        <v>310.978569351204</v>
      </c>
      <c r="T39" s="12">
        <v>132.933333333333</v>
      </c>
      <c r="U39" s="12">
        <v>139.512369335709</v>
      </c>
      <c r="V39" s="7">
        <v>107.271888387005</v>
      </c>
      <c r="W39" s="7">
        <v>114.381744914842</v>
      </c>
    </row>
    <row r="40">
      <c r="A40" s="8">
        <v>41334.0</v>
      </c>
      <c r="B40" s="9">
        <f>IFERROR(__xludf.DUMMYFUNCTION("""COMPUTED_VALUE"""),60.0)</f>
        <v>60</v>
      </c>
      <c r="C40" s="12">
        <v>113.100253123873</v>
      </c>
      <c r="D40" s="12">
        <v>210.73165485295</v>
      </c>
      <c r="E40" s="12">
        <v>6.24496881588119</v>
      </c>
      <c r="F40" s="12">
        <v>322.450799158932</v>
      </c>
      <c r="G40" s="12">
        <v>178.384684417907</v>
      </c>
      <c r="H40" s="12">
        <v>10.3337343275385</v>
      </c>
      <c r="I40" s="12">
        <v>152.848571802709</v>
      </c>
      <c r="J40" s="12">
        <v>0.0</v>
      </c>
      <c r="K40" s="12">
        <v>131.500143671391</v>
      </c>
      <c r="L40" s="12">
        <v>233.96713077264</v>
      </c>
      <c r="M40" s="12">
        <v>104.644705815941</v>
      </c>
      <c r="N40" s="12">
        <v>172.590212755498</v>
      </c>
      <c r="O40" s="47">
        <v>54.2290707843039</v>
      </c>
      <c r="P40" s="12">
        <v>146.704013213135</v>
      </c>
      <c r="Q40" s="12">
        <v>22.114866153853</v>
      </c>
      <c r="R40" s="12">
        <v>195.962045309859</v>
      </c>
      <c r="S40" s="12">
        <v>291.105169451888</v>
      </c>
      <c r="T40" s="12">
        <v>121.420740740741</v>
      </c>
      <c r="U40" s="12">
        <v>94.8938163849488</v>
      </c>
      <c r="V40" s="7">
        <v>112.0</v>
      </c>
      <c r="W40" s="7">
        <v>283.933765723592</v>
      </c>
    </row>
    <row r="41">
      <c r="A41" s="8">
        <v>41365.0</v>
      </c>
      <c r="B41" s="9">
        <f>IFERROR(__xludf.DUMMYFUNCTION("""COMPUTED_VALUE"""),106.0)</f>
        <v>106</v>
      </c>
      <c r="C41" s="12">
        <v>166.326853140176</v>
      </c>
      <c r="D41" s="12">
        <v>182.03585936711</v>
      </c>
      <c r="E41" s="12">
        <v>4.71130415846436</v>
      </c>
      <c r="F41" s="12">
        <v>216.559381027454</v>
      </c>
      <c r="G41" s="12">
        <v>71.8316359945373</v>
      </c>
      <c r="H41" s="12">
        <v>9.52018138711937</v>
      </c>
      <c r="I41" s="12">
        <v>39.7238800127153</v>
      </c>
      <c r="J41" s="12">
        <v>12.0</v>
      </c>
      <c r="K41" s="12">
        <v>108.200143671391</v>
      </c>
      <c r="L41" s="12">
        <v>165.535362351494</v>
      </c>
      <c r="M41" s="12">
        <v>270.869705815941</v>
      </c>
      <c r="N41" s="12">
        <v>231.521293614448</v>
      </c>
      <c r="O41" s="47">
        <v>42.7803228067721</v>
      </c>
      <c r="P41" s="12">
        <v>144.887261343495</v>
      </c>
      <c r="Q41" s="12">
        <v>191.064959109743</v>
      </c>
      <c r="R41" s="12">
        <v>175.618833940764</v>
      </c>
      <c r="S41" s="12">
        <v>406.887980083224</v>
      </c>
      <c r="T41" s="12">
        <v>81.1366666666667</v>
      </c>
      <c r="U41" s="12">
        <v>187.799759534259</v>
      </c>
      <c r="V41" s="7">
        <v>160.1</v>
      </c>
      <c r="W41" s="7">
        <v>167.760441085929</v>
      </c>
    </row>
    <row r="42">
      <c r="A42" s="8">
        <v>41395.0</v>
      </c>
      <c r="B42" s="9">
        <f>IFERROR(__xludf.DUMMYFUNCTION("""COMPUTED_VALUE"""),287.0)</f>
        <v>287</v>
      </c>
      <c r="C42" s="12">
        <v>214.292024563789</v>
      </c>
      <c r="D42" s="12">
        <v>234.831124541161</v>
      </c>
      <c r="E42" s="12">
        <v>26.7</v>
      </c>
      <c r="F42" s="12">
        <v>225.494743593013</v>
      </c>
      <c r="G42" s="12">
        <v>100.347541560764</v>
      </c>
      <c r="H42" s="12">
        <v>35.3828733793509</v>
      </c>
      <c r="I42" s="12">
        <v>206.960296366477</v>
      </c>
      <c r="J42" s="12">
        <v>30.7</v>
      </c>
      <c r="K42" s="12">
        <v>154.700143671391</v>
      </c>
      <c r="L42" s="12">
        <v>185.267782395739</v>
      </c>
      <c r="M42" s="12">
        <v>242.244705815941</v>
      </c>
      <c r="N42" s="12">
        <v>303.833080411145</v>
      </c>
      <c r="O42" s="47">
        <v>119.377271693618</v>
      </c>
      <c r="P42" s="12">
        <v>367.968365428899</v>
      </c>
      <c r="Q42" s="12">
        <v>200.889876881134</v>
      </c>
      <c r="R42" s="12">
        <v>206.990738580905</v>
      </c>
      <c r="S42" s="12">
        <v>398.108858041086</v>
      </c>
      <c r="T42" s="12">
        <v>176.673333333333</v>
      </c>
      <c r="U42" s="12">
        <v>243.60291555959</v>
      </c>
      <c r="V42" s="7">
        <v>191.06</v>
      </c>
      <c r="W42" s="7">
        <v>201.395933939936</v>
      </c>
    </row>
    <row r="43">
      <c r="A43" s="8">
        <v>41426.0</v>
      </c>
      <c r="B43" s="9">
        <f>IFERROR(__xludf.DUMMYFUNCTION("""COMPUTED_VALUE"""),230.0)</f>
        <v>230</v>
      </c>
      <c r="C43" s="12">
        <v>178.670648572596</v>
      </c>
      <c r="D43" s="12">
        <v>82.8248114398963</v>
      </c>
      <c r="E43" s="12">
        <v>21.702508196961</v>
      </c>
      <c r="F43" s="12">
        <v>224.698423393183</v>
      </c>
      <c r="G43" s="12">
        <v>328.07761258017</v>
      </c>
      <c r="H43" s="12">
        <v>59.0697841131254</v>
      </c>
      <c r="I43" s="12">
        <v>103.785869355284</v>
      </c>
      <c r="J43" s="12">
        <v>177.146428571429</v>
      </c>
      <c r="K43" s="12">
        <v>270.846427829592</v>
      </c>
      <c r="L43" s="12">
        <v>190.999693300786</v>
      </c>
      <c r="M43" s="12">
        <v>252.494705815941</v>
      </c>
      <c r="N43" s="12">
        <v>252.050438848417</v>
      </c>
      <c r="O43" s="47">
        <v>171.928627872498</v>
      </c>
      <c r="P43" s="12">
        <v>131.91362596317</v>
      </c>
      <c r="Q43" s="12">
        <v>217.705281135116</v>
      </c>
      <c r="R43" s="12">
        <v>288.236064252278</v>
      </c>
      <c r="S43" s="12">
        <v>470.261521569245</v>
      </c>
      <c r="T43" s="12">
        <v>174.304444444444</v>
      </c>
      <c r="U43" s="12">
        <v>245.487232654034</v>
      </c>
      <c r="V43" s="7">
        <v>301.225995218601</v>
      </c>
      <c r="W43" s="7">
        <v>191.933784918409</v>
      </c>
    </row>
    <row r="44">
      <c r="A44" s="8">
        <v>41456.0</v>
      </c>
      <c r="B44" s="9">
        <f>IFERROR(__xludf.DUMMYFUNCTION("""COMPUTED_VALUE"""),267.0)</f>
        <v>267</v>
      </c>
      <c r="C44" s="12">
        <v>214.818240008285</v>
      </c>
      <c r="D44" s="12">
        <v>223.391667658255</v>
      </c>
      <c r="E44" s="12">
        <v>0.935806990379906</v>
      </c>
      <c r="F44" s="12">
        <v>247.964933272581</v>
      </c>
      <c r="G44" s="12">
        <v>245.910354060764</v>
      </c>
      <c r="H44" s="12">
        <v>60.6706669417395</v>
      </c>
      <c r="I44" s="12">
        <v>195.130287000324</v>
      </c>
      <c r="J44" s="12">
        <v>336.796428571429</v>
      </c>
      <c r="K44" s="12">
        <v>170.700143671391</v>
      </c>
      <c r="L44" s="12">
        <v>266.94818890599</v>
      </c>
      <c r="M44" s="12">
        <v>218.844705815941</v>
      </c>
      <c r="N44" s="12">
        <v>212.065372945692</v>
      </c>
      <c r="O44" s="47">
        <v>161.63304865755</v>
      </c>
      <c r="P44" s="12">
        <v>182.566107702572</v>
      </c>
      <c r="Q44" s="12">
        <v>239.393884717712</v>
      </c>
      <c r="R44" s="12">
        <v>284.778390128123</v>
      </c>
      <c r="S44" s="12">
        <v>419.461521569245</v>
      </c>
      <c r="T44" s="12">
        <v>209.3</v>
      </c>
      <c r="U44" s="12">
        <v>246.920800990238</v>
      </c>
      <c r="V44" s="7">
        <v>205.080326435529</v>
      </c>
      <c r="W44" s="7">
        <v>232.562499238896</v>
      </c>
    </row>
    <row r="45">
      <c r="A45" s="8">
        <v>41487.0</v>
      </c>
      <c r="B45" s="9">
        <f>IFERROR(__xludf.DUMMYFUNCTION("""COMPUTED_VALUE"""),252.0)</f>
        <v>252</v>
      </c>
      <c r="C45" s="12">
        <v>202.861950121654</v>
      </c>
      <c r="D45" s="12">
        <v>223.993750743691</v>
      </c>
      <c r="E45" s="12">
        <v>7.10250251952564</v>
      </c>
      <c r="F45" s="12">
        <v>244.525429213953</v>
      </c>
      <c r="G45" s="12">
        <v>76.251604060764</v>
      </c>
      <c r="H45" s="12">
        <v>103.573270405379</v>
      </c>
      <c r="I45" s="12">
        <v>49.6909512330292</v>
      </c>
      <c r="J45" s="12">
        <v>197.103571428571</v>
      </c>
      <c r="K45" s="12">
        <v>153.804158088681</v>
      </c>
      <c r="L45" s="12">
        <v>224.748834440329</v>
      </c>
      <c r="M45" s="12">
        <v>166.244705815941</v>
      </c>
      <c r="N45" s="12">
        <v>283.688514906834</v>
      </c>
      <c r="O45" s="47">
        <v>252.138696070051</v>
      </c>
      <c r="P45" s="12">
        <v>120.305127420139</v>
      </c>
      <c r="Q45" s="12">
        <v>233.206717628704</v>
      </c>
      <c r="R45" s="12">
        <v>236.109982665058</v>
      </c>
      <c r="S45" s="12">
        <v>405.077489401513</v>
      </c>
      <c r="T45" s="12">
        <v>195.833333333333</v>
      </c>
      <c r="U45" s="12">
        <v>257.681411889657</v>
      </c>
      <c r="V45" s="7">
        <v>218.78786723997</v>
      </c>
      <c r="W45" s="7">
        <v>229.073671034834</v>
      </c>
    </row>
    <row r="46">
      <c r="A46" s="8">
        <v>41518.0</v>
      </c>
      <c r="B46" s="9">
        <f>IFERROR(__xludf.DUMMYFUNCTION("""COMPUTED_VALUE"""),276.0)</f>
        <v>276</v>
      </c>
      <c r="C46" s="12">
        <v>223.729441907826</v>
      </c>
      <c r="D46" s="12">
        <v>141.353220395589</v>
      </c>
      <c r="E46" s="12">
        <v>40.0</v>
      </c>
      <c r="F46" s="12">
        <v>287.045218190936</v>
      </c>
      <c r="G46" s="12">
        <v>157.457229060764</v>
      </c>
      <c r="H46" s="12">
        <v>103.991332914423</v>
      </c>
      <c r="I46" s="12">
        <v>-9.8153481234379</v>
      </c>
      <c r="J46" s="12">
        <v>73.15</v>
      </c>
      <c r="K46" s="12">
        <v>165.500143671391</v>
      </c>
      <c r="L46" s="12">
        <v>228.545214016559</v>
      </c>
      <c r="M46" s="12">
        <v>241.119705815941</v>
      </c>
      <c r="N46" s="12">
        <v>276.179072019546</v>
      </c>
      <c r="O46" s="47">
        <v>312.862711998032</v>
      </c>
      <c r="P46" s="12">
        <v>234.186581333333</v>
      </c>
      <c r="Q46" s="12">
        <v>231.511117397989</v>
      </c>
      <c r="R46" s="12">
        <v>199.678528172441</v>
      </c>
      <c r="S46" s="12">
        <v>354.357568671163</v>
      </c>
      <c r="T46" s="12">
        <v>266.203703703704</v>
      </c>
      <c r="U46" s="12">
        <v>375.981589341738</v>
      </c>
      <c r="V46" s="7">
        <v>136.147976075681</v>
      </c>
      <c r="W46" s="7">
        <v>146.663687596037</v>
      </c>
    </row>
    <row r="47">
      <c r="A47" s="8">
        <v>41548.0</v>
      </c>
      <c r="B47" s="9">
        <f>IFERROR(__xludf.DUMMYFUNCTION("""COMPUTED_VALUE"""),338.0)</f>
        <v>338</v>
      </c>
      <c r="C47" s="12">
        <v>344.679207922557</v>
      </c>
      <c r="D47" s="12">
        <v>263.584755767765</v>
      </c>
      <c r="E47" s="12">
        <v>180.356338721002</v>
      </c>
      <c r="F47" s="12">
        <v>336.540081377375</v>
      </c>
      <c r="G47" s="12">
        <v>127.669729060764</v>
      </c>
      <c r="H47" s="12">
        <v>117.357538738397</v>
      </c>
      <c r="I47" s="12">
        <v>301.075272786831</v>
      </c>
      <c r="J47" s="12">
        <v>238.989285714286</v>
      </c>
      <c r="K47" s="12">
        <v>300.823690521674</v>
      </c>
      <c r="L47" s="12">
        <v>288.315798732038</v>
      </c>
      <c r="M47" s="12">
        <v>321.144705815941</v>
      </c>
      <c r="N47" s="12">
        <v>339.292962878157</v>
      </c>
      <c r="O47" s="47">
        <v>283.060068560941</v>
      </c>
      <c r="P47" s="12">
        <v>209.553757371052</v>
      </c>
      <c r="Q47" s="12">
        <v>198.839954691782</v>
      </c>
      <c r="R47" s="12">
        <v>260.600063426356</v>
      </c>
      <c r="S47" s="12">
        <v>414.781145318501</v>
      </c>
      <c r="T47" s="12">
        <v>305.212222222222</v>
      </c>
      <c r="U47" s="12">
        <v>263.479199751316</v>
      </c>
      <c r="V47" s="7">
        <v>318.35527352779</v>
      </c>
      <c r="W47" s="7">
        <v>429.494801508554</v>
      </c>
    </row>
    <row r="48">
      <c r="A48" s="8">
        <v>41579.0</v>
      </c>
      <c r="B48" s="9">
        <f>IFERROR(__xludf.DUMMYFUNCTION("""COMPUTED_VALUE"""),384.0)</f>
        <v>384</v>
      </c>
      <c r="C48" s="12">
        <v>370.054770542901</v>
      </c>
      <c r="D48" s="12">
        <v>242.872629924446</v>
      </c>
      <c r="E48" s="12">
        <v>55.5396456048664</v>
      </c>
      <c r="F48" s="12">
        <v>293.475828811919</v>
      </c>
      <c r="G48" s="12">
        <v>168.131143811664</v>
      </c>
      <c r="H48" s="12">
        <v>118.89132773956</v>
      </c>
      <c r="I48" s="12">
        <v>349.420435599327</v>
      </c>
      <c r="J48" s="12">
        <v>443.325</v>
      </c>
      <c r="K48" s="12">
        <v>377.400143671391</v>
      </c>
      <c r="L48" s="12">
        <v>335.466504408586</v>
      </c>
      <c r="M48" s="12">
        <v>341.744705815941</v>
      </c>
      <c r="N48" s="12">
        <v>457.674882526309</v>
      </c>
      <c r="O48" s="47">
        <v>435.399853569668</v>
      </c>
      <c r="P48" s="12">
        <v>229.798963985858</v>
      </c>
      <c r="Q48" s="12">
        <v>258.436520388373</v>
      </c>
      <c r="R48" s="12">
        <v>434.658611167068</v>
      </c>
      <c r="S48" s="12">
        <v>502.403129050754</v>
      </c>
      <c r="T48" s="12">
        <v>226.192592592593</v>
      </c>
      <c r="U48" s="12">
        <v>278.479425150073</v>
      </c>
      <c r="V48" s="7">
        <v>127.12</v>
      </c>
      <c r="W48" s="7">
        <v>364.837966383279</v>
      </c>
    </row>
    <row r="49">
      <c r="A49" s="8">
        <v>41609.0</v>
      </c>
      <c r="B49" s="9">
        <f>IFERROR(__xludf.DUMMYFUNCTION("""COMPUTED_VALUE"""),330.0)</f>
        <v>330</v>
      </c>
      <c r="C49" s="12">
        <v>383.27416923875</v>
      </c>
      <c r="D49" s="12">
        <v>232.691050384281</v>
      </c>
      <c r="E49" s="12">
        <v>133.646466205665</v>
      </c>
      <c r="F49" s="12">
        <v>341.163902312767</v>
      </c>
      <c r="G49" s="12">
        <v>231.450041560764</v>
      </c>
      <c r="H49" s="12">
        <v>95.5285376836854</v>
      </c>
      <c r="I49" s="12">
        <v>279.424509459576</v>
      </c>
      <c r="J49" s="12">
        <v>1382.11428571429</v>
      </c>
      <c r="K49" s="12">
        <v>525.000143671391</v>
      </c>
      <c r="L49" s="12">
        <v>285.26437960252</v>
      </c>
      <c r="M49" s="12">
        <v>401.344705815941</v>
      </c>
      <c r="N49" s="12">
        <v>257.369129925211</v>
      </c>
      <c r="O49" s="47">
        <v>282.193753006685</v>
      </c>
      <c r="P49" s="12">
        <v>233.788957997961</v>
      </c>
      <c r="Q49" s="12">
        <v>228.904100110207</v>
      </c>
      <c r="R49" s="12">
        <v>336.85674320222</v>
      </c>
      <c r="S49" s="12">
        <v>504.579312612279</v>
      </c>
      <c r="T49" s="12">
        <v>302.944444444444</v>
      </c>
      <c r="U49" s="12">
        <v>274.034711177855</v>
      </c>
      <c r="V49" s="7">
        <v>193.58</v>
      </c>
      <c r="W49" s="7">
        <v>376.146543971479</v>
      </c>
    </row>
    <row r="50">
      <c r="A50" s="8">
        <v>41640.0</v>
      </c>
      <c r="B50" s="9">
        <f>IFERROR(__xludf.DUMMYFUNCTION("""COMPUTED_VALUE"""),271.0)</f>
        <v>271</v>
      </c>
      <c r="C50" s="12">
        <v>182.786326954467</v>
      </c>
      <c r="D50" s="12">
        <v>317.743670616855</v>
      </c>
      <c r="E50" s="12">
        <v>63.33</v>
      </c>
      <c r="F50" s="12">
        <v>239.194689076838</v>
      </c>
      <c r="G50" s="12">
        <v>55.1320986275906</v>
      </c>
      <c r="H50" s="12">
        <v>74.291974950402</v>
      </c>
      <c r="I50" s="12">
        <v>318.594982673617</v>
      </c>
      <c r="J50" s="12">
        <v>369.642857142857</v>
      </c>
      <c r="K50" s="12">
        <v>136.394952989929</v>
      </c>
      <c r="L50" s="12">
        <v>192.545125789649</v>
      </c>
      <c r="M50" s="12">
        <v>222.944705815941</v>
      </c>
      <c r="N50" s="12">
        <v>271.13029126865</v>
      </c>
      <c r="O50" s="47">
        <v>234.844007448113</v>
      </c>
      <c r="P50" s="12">
        <v>303.880521009921</v>
      </c>
      <c r="Q50" s="12">
        <v>266.669919816276</v>
      </c>
      <c r="R50" s="12">
        <v>280.545469940689</v>
      </c>
      <c r="S50" s="12">
        <v>393.881936686653</v>
      </c>
      <c r="T50" s="12">
        <v>288.497777777778</v>
      </c>
      <c r="U50" s="12">
        <v>242.231236992632</v>
      </c>
      <c r="V50" s="7">
        <v>95.58</v>
      </c>
      <c r="W50" s="7">
        <v>204.411579314602</v>
      </c>
    </row>
    <row r="51">
      <c r="A51" s="8">
        <v>41671.0</v>
      </c>
      <c r="B51" s="9">
        <f>IFERROR(__xludf.DUMMYFUNCTION("""COMPUTED_VALUE"""),197.0)</f>
        <v>197</v>
      </c>
      <c r="C51" s="12">
        <v>242.074738016321</v>
      </c>
      <c r="D51" s="12">
        <v>139.097412104444</v>
      </c>
      <c r="E51" s="12">
        <v>84.0750706342204</v>
      </c>
      <c r="F51" s="12">
        <v>255.465948002079</v>
      </c>
      <c r="G51" s="12">
        <v>34.2246502612439</v>
      </c>
      <c r="H51" s="12">
        <v>39.0992268915978</v>
      </c>
      <c r="I51" s="12">
        <v>153.374207126324</v>
      </c>
      <c r="J51" s="12">
        <v>173.6</v>
      </c>
      <c r="K51" s="12">
        <v>159.283708184458</v>
      </c>
      <c r="L51" s="12">
        <v>131.452200661802</v>
      </c>
      <c r="M51" s="12">
        <v>213.144705815941</v>
      </c>
      <c r="N51" s="12">
        <v>177.901328746374</v>
      </c>
      <c r="O51" s="47">
        <v>187.819973343707</v>
      </c>
      <c r="P51" s="12">
        <v>225.463424</v>
      </c>
      <c r="Q51" s="12">
        <v>132.866667619668</v>
      </c>
      <c r="R51" s="12">
        <v>287.952498867249</v>
      </c>
      <c r="S51" s="12">
        <v>398.357568671163</v>
      </c>
      <c r="T51" s="12">
        <v>316.444444444444</v>
      </c>
      <c r="U51" s="12">
        <v>312.970903645391</v>
      </c>
      <c r="V51" s="7">
        <v>131.324263064634</v>
      </c>
      <c r="W51" s="7">
        <v>499.467448017647</v>
      </c>
    </row>
    <row r="52">
      <c r="A52" s="8">
        <v>41699.0</v>
      </c>
      <c r="B52" s="9">
        <f>IFERROR(__xludf.DUMMYFUNCTION("""COMPUTED_VALUE"""),99.0)</f>
        <v>99</v>
      </c>
      <c r="C52" s="12">
        <v>103.631879915008</v>
      </c>
      <c r="D52" s="12">
        <v>177.969576254737</v>
      </c>
      <c r="E52" s="12">
        <v>129.330589630636</v>
      </c>
      <c r="F52" s="12">
        <v>373.363831176387</v>
      </c>
      <c r="G52" s="12">
        <v>-14.675583439236</v>
      </c>
      <c r="H52" s="12">
        <v>19.2480672289945</v>
      </c>
      <c r="I52" s="12">
        <v>65.4294217591522</v>
      </c>
      <c r="J52" s="12">
        <v>11.2</v>
      </c>
      <c r="K52" s="12">
        <v>185.500143671391</v>
      </c>
      <c r="L52" s="12">
        <v>331.916989872795</v>
      </c>
      <c r="M52" s="12">
        <v>139.944705815941</v>
      </c>
      <c r="N52" s="12">
        <v>256.4521253819</v>
      </c>
      <c r="O52" s="47">
        <v>131.200964485471</v>
      </c>
      <c r="P52" s="12">
        <v>224.89475683631</v>
      </c>
      <c r="Q52" s="12">
        <v>33.4117844160928</v>
      </c>
      <c r="R52" s="12">
        <v>193.007652586082</v>
      </c>
      <c r="S52" s="12">
        <v>359.488760311434</v>
      </c>
      <c r="T52" s="12">
        <v>142.732141153509</v>
      </c>
      <c r="U52" s="12">
        <v>298.567360385192</v>
      </c>
      <c r="V52" s="7">
        <v>102.96</v>
      </c>
      <c r="W52" s="7">
        <v>225.119307608728</v>
      </c>
    </row>
    <row r="53">
      <c r="A53" s="8">
        <v>41730.0</v>
      </c>
      <c r="B53" s="9">
        <f>IFERROR(__xludf.DUMMYFUNCTION("""COMPUTED_VALUE"""),115.0)</f>
        <v>115</v>
      </c>
      <c r="C53" s="12">
        <v>128.964398007477</v>
      </c>
      <c r="D53" s="12">
        <v>190.228374370634</v>
      </c>
      <c r="E53" s="12">
        <v>13.8298129194096</v>
      </c>
      <c r="F53" s="12">
        <v>232.716801636538</v>
      </c>
      <c r="G53" s="12">
        <v>19.1707304283105</v>
      </c>
      <c r="H53" s="12">
        <v>22.3777479019997</v>
      </c>
      <c r="I53" s="12">
        <v>146.396860701597</v>
      </c>
      <c r="J53" s="12">
        <v>132.0</v>
      </c>
      <c r="K53" s="12">
        <v>192.792765987057</v>
      </c>
      <c r="L53" s="12">
        <v>247.865579240297</v>
      </c>
      <c r="M53" s="12">
        <v>223.744705815941</v>
      </c>
      <c r="N53" s="12">
        <v>173.552459473464</v>
      </c>
      <c r="O53" s="47">
        <v>155.047285276483</v>
      </c>
      <c r="P53" s="12">
        <v>180.858133333333</v>
      </c>
      <c r="Q53" s="12">
        <v>226.71797691907</v>
      </c>
      <c r="R53" s="12">
        <v>219.982169646301</v>
      </c>
      <c r="S53" s="12">
        <v>341.1364227805</v>
      </c>
      <c r="T53" s="12">
        <v>109.652592592593</v>
      </c>
      <c r="U53" s="12">
        <v>311.671133300533</v>
      </c>
      <c r="V53" s="7">
        <v>62.71</v>
      </c>
      <c r="W53" s="7">
        <v>139.678423400911</v>
      </c>
    </row>
    <row r="54">
      <c r="A54" s="8">
        <v>41760.0</v>
      </c>
      <c r="B54" s="9">
        <f>IFERROR(__xludf.DUMMYFUNCTION("""COMPUTED_VALUE"""),322.0)</f>
        <v>322</v>
      </c>
      <c r="C54" s="12">
        <v>-46.2862361830842</v>
      </c>
      <c r="D54" s="12">
        <v>211.147412104444</v>
      </c>
      <c r="E54" s="12">
        <v>26.1756759642431</v>
      </c>
      <c r="F54" s="12">
        <v>223.211824639128</v>
      </c>
      <c r="G54" s="12">
        <v>-91.756208439236</v>
      </c>
      <c r="H54" s="12">
        <v>16.4285714285714</v>
      </c>
      <c r="I54" s="12">
        <v>70.7696032699667</v>
      </c>
      <c r="J54" s="12">
        <v>-695.207855421162</v>
      </c>
      <c r="K54" s="12">
        <v>190.145054086082</v>
      </c>
      <c r="L54" s="12">
        <v>221.272256665075</v>
      </c>
      <c r="M54" s="12">
        <v>286.619705815941</v>
      </c>
      <c r="N54" s="12">
        <v>167.034725452559</v>
      </c>
      <c r="O54" s="47">
        <v>269.586911336054</v>
      </c>
      <c r="P54" s="12">
        <v>313.832064777966</v>
      </c>
      <c r="Q54" s="12">
        <v>253.380559907391</v>
      </c>
      <c r="R54" s="12">
        <v>204.686389524261</v>
      </c>
      <c r="S54" s="12">
        <v>757.021596240169</v>
      </c>
      <c r="T54" s="12">
        <v>214.875555555556</v>
      </c>
      <c r="U54" s="12">
        <v>426.383939158519</v>
      </c>
      <c r="V54" s="7">
        <v>174.708030457735</v>
      </c>
      <c r="W54" s="7">
        <v>669.420877508938</v>
      </c>
    </row>
    <row r="55">
      <c r="A55" s="8">
        <v>41791.0</v>
      </c>
      <c r="B55" s="9"/>
      <c r="C55" s="12">
        <v>235.721727752728</v>
      </c>
      <c r="D55" s="12">
        <v>132.845329019007</v>
      </c>
      <c r="E55" s="12">
        <v>133.018447098559</v>
      </c>
      <c r="F55" s="12">
        <v>243.677811836015</v>
      </c>
      <c r="G55" s="12">
        <v>519.457683599577</v>
      </c>
      <c r="H55" s="12">
        <v>71.5989473933511</v>
      </c>
      <c r="I55" s="12">
        <v>118.559986628905</v>
      </c>
      <c r="J55" s="12">
        <v>630.2</v>
      </c>
      <c r="K55" s="12">
        <v>343.440160558247</v>
      </c>
      <c r="L55" s="12">
        <v>212.45944657513</v>
      </c>
      <c r="M55" s="12">
        <v>418.869705815941</v>
      </c>
      <c r="N55" s="12">
        <v>354.384950051747</v>
      </c>
      <c r="O55" s="47">
        <v>381.418251159928</v>
      </c>
      <c r="P55" s="12">
        <v>281.740001496975</v>
      </c>
      <c r="Q55" s="12">
        <v>244.908058106024</v>
      </c>
      <c r="R55" s="12">
        <v>335.843340039542</v>
      </c>
      <c r="S55" s="12">
        <v>544.441757078832</v>
      </c>
      <c r="T55" s="12">
        <v>229.795555555556</v>
      </c>
      <c r="U55" s="12">
        <v>313.889704710425</v>
      </c>
      <c r="V55" s="7">
        <v>106.87409683775</v>
      </c>
      <c r="W55" s="7">
        <v>333.004645179909</v>
      </c>
    </row>
    <row r="56">
      <c r="A56" s="8">
        <v>41821.0</v>
      </c>
      <c r="B56" s="9" t="str">
        <f>IFERROR(__xludf.DUMMYFUNCTION("""COMPUTED_VALUE""")," ")</f>
        <v> </v>
      </c>
      <c r="C56" s="12">
        <v>185.03042044175</v>
      </c>
      <c r="D56" s="12">
        <v>160.389422297848</v>
      </c>
      <c r="E56" s="12">
        <v>62.3880890682307</v>
      </c>
      <c r="F56" s="12">
        <v>217.544175847344</v>
      </c>
      <c r="G56" s="12">
        <v>169.113574862084</v>
      </c>
      <c r="H56" s="12">
        <v>93.75</v>
      </c>
      <c r="I56" s="12">
        <v>201.255302001844</v>
      </c>
      <c r="J56" s="12">
        <v>278.7</v>
      </c>
      <c r="K56" s="12">
        <v>287.367345353376</v>
      </c>
      <c r="L56" s="12">
        <v>138.399032310504</v>
      </c>
      <c r="M56" s="12">
        <v>188.444705815941</v>
      </c>
      <c r="N56" s="12">
        <v>238.829457978288</v>
      </c>
      <c r="O56" s="47" t="s">
        <v>26</v>
      </c>
      <c r="P56" s="12">
        <v>333.505053421183</v>
      </c>
      <c r="Q56" s="12">
        <v>308.068751696345</v>
      </c>
      <c r="R56" s="12">
        <v>296.366923242248</v>
      </c>
      <c r="S56" s="12">
        <v>382.615399001525</v>
      </c>
      <c r="T56" s="12">
        <v>256.103703703704</v>
      </c>
      <c r="U56" s="12">
        <v>385.5</v>
      </c>
      <c r="V56" s="7">
        <v>268.245046837003</v>
      </c>
      <c r="W56" s="7">
        <v>256.204581445732</v>
      </c>
    </row>
    <row r="57">
      <c r="A57" s="8">
        <v>41852.0</v>
      </c>
      <c r="B57" s="9" t="str">
        <f>IFERROR(__xludf.DUMMYFUNCTION("""COMPUTED_VALUE""")," ")</f>
        <v> </v>
      </c>
      <c r="C57" s="12">
        <v>178.303176775868</v>
      </c>
      <c r="D57" s="12">
        <v>205.036932832306</v>
      </c>
      <c r="E57" s="12">
        <v>120.3</v>
      </c>
      <c r="F57" s="12">
        <v>225.699079573551</v>
      </c>
      <c r="G57" s="12">
        <v>219.709476362684</v>
      </c>
      <c r="H57" s="12">
        <v>107.114285714286</v>
      </c>
      <c r="I57" s="12">
        <v>108.437687764006</v>
      </c>
      <c r="J57" s="12">
        <v>256.575</v>
      </c>
      <c r="K57" s="12">
        <v>368.839879667867</v>
      </c>
      <c r="L57" s="12">
        <v>254.5</v>
      </c>
      <c r="M57" s="12">
        <v>171.344705815941</v>
      </c>
      <c r="N57" s="12">
        <v>245.587002788395</v>
      </c>
      <c r="O57" s="47" t="s">
        <v>26</v>
      </c>
      <c r="P57" s="12">
        <v>351.8286175034</v>
      </c>
      <c r="Q57" s="12">
        <v>388.369887028804</v>
      </c>
      <c r="R57" s="12">
        <v>317.334488147258</v>
      </c>
      <c r="S57" s="12">
        <v>350.52289164551</v>
      </c>
      <c r="T57" s="12">
        <v>171.0</v>
      </c>
      <c r="U57" s="12">
        <v>331.25</v>
      </c>
      <c r="V57" s="7">
        <v>144.96</v>
      </c>
      <c r="W57" s="7">
        <v>345.887409081839</v>
      </c>
    </row>
    <row r="58">
      <c r="A58" s="8">
        <v>41883.0</v>
      </c>
      <c r="B58" s="9">
        <f>IFERROR(__xludf.DUMMYFUNCTION("""COMPUTED_VALUE"""),297.0)</f>
        <v>297</v>
      </c>
      <c r="C58" s="12">
        <v>188.703269687582</v>
      </c>
      <c r="D58" s="12">
        <v>141.44848556964</v>
      </c>
      <c r="E58" s="12">
        <v>145.16</v>
      </c>
      <c r="F58" s="12">
        <v>215.179844134085</v>
      </c>
      <c r="G58" s="12">
        <v>-31.4419227249503</v>
      </c>
      <c r="H58" s="12">
        <v>135.144636154992</v>
      </c>
      <c r="I58" s="12">
        <v>97.675721279666</v>
      </c>
      <c r="J58" s="12">
        <v>53.075</v>
      </c>
      <c r="K58" s="12">
        <v>259.767345353376</v>
      </c>
      <c r="L58" s="12">
        <v>205.198121167762</v>
      </c>
      <c r="M58" s="12">
        <v>256.33007881345</v>
      </c>
      <c r="N58" s="12">
        <v>260.692767000981</v>
      </c>
      <c r="O58" s="47">
        <v>271.523460467526</v>
      </c>
      <c r="P58" s="12">
        <v>283.994752</v>
      </c>
      <c r="Q58" s="12">
        <v>381.779978551068</v>
      </c>
      <c r="R58" s="12">
        <v>292.013442333143</v>
      </c>
      <c r="S58" s="12">
        <v>380.780699718078</v>
      </c>
      <c r="T58" s="12">
        <v>155.0</v>
      </c>
      <c r="U58" s="12">
        <v>597.49887114694</v>
      </c>
      <c r="V58" s="7">
        <v>195.22</v>
      </c>
      <c r="W58" s="7">
        <v>318.168177952066</v>
      </c>
    </row>
    <row r="59">
      <c r="A59" s="8">
        <v>41913.0</v>
      </c>
      <c r="B59" s="9">
        <f>IFERROR(__xludf.DUMMYFUNCTION("""COMPUTED_VALUE"""),528.0)</f>
        <v>528</v>
      </c>
      <c r="C59" s="12">
        <v>203.200662992384</v>
      </c>
      <c r="D59" s="12">
        <v>150.602146930393</v>
      </c>
      <c r="E59" s="12">
        <v>176.68085704608</v>
      </c>
      <c r="F59" s="12">
        <v>246.360179268053</v>
      </c>
      <c r="G59" s="12">
        <v>-86.9419776700052</v>
      </c>
      <c r="H59" s="12">
        <v>130.547549522506</v>
      </c>
      <c r="I59" s="12">
        <v>211.028737669457</v>
      </c>
      <c r="J59" s="12">
        <v>53.65</v>
      </c>
      <c r="K59" s="12">
        <v>287.372677985882</v>
      </c>
      <c r="L59" s="12">
        <v>371.793168191785</v>
      </c>
      <c r="M59" s="12">
        <v>310.644705815941</v>
      </c>
      <c r="N59" s="12">
        <v>399.87095167433</v>
      </c>
      <c r="O59" s="47">
        <v>391.96841131488</v>
      </c>
      <c r="P59" s="12">
        <v>437.144425601715</v>
      </c>
      <c r="Q59" s="12">
        <v>537.692788342154</v>
      </c>
      <c r="R59" s="12">
        <v>384.731108178972</v>
      </c>
      <c r="S59" s="12">
        <v>490.450782200792</v>
      </c>
      <c r="T59" s="12">
        <v>594.8</v>
      </c>
      <c r="U59" s="12">
        <v>639.41541555959</v>
      </c>
      <c r="V59" s="7">
        <v>299.974249202794</v>
      </c>
      <c r="W59" s="7">
        <v>536.990009566063</v>
      </c>
    </row>
    <row r="60">
      <c r="A60" s="8">
        <v>41944.0</v>
      </c>
      <c r="B60" s="9">
        <f>IFERROR(__xludf.DUMMYFUNCTION("""COMPUTED_VALUE"""),576.0)</f>
        <v>576</v>
      </c>
      <c r="C60" s="12">
        <v>344.162644547795</v>
      </c>
      <c r="D60" s="12">
        <v>208.686456004863</v>
      </c>
      <c r="E60" s="12">
        <v>204.824048433033</v>
      </c>
      <c r="F60" s="12">
        <v>239.176990920046</v>
      </c>
      <c r="G60" s="12">
        <v>598.443791560764</v>
      </c>
      <c r="H60" s="12">
        <v>121.264285714286</v>
      </c>
      <c r="I60" s="12">
        <v>335.982213623365</v>
      </c>
      <c r="J60" s="12">
        <v>585.85</v>
      </c>
      <c r="K60" s="12">
        <v>554.254635036535</v>
      </c>
      <c r="L60" s="12">
        <v>431.611009556834</v>
      </c>
      <c r="M60" s="12">
        <v>243.119705815941</v>
      </c>
      <c r="N60" s="12">
        <v>518.243766934141</v>
      </c>
      <c r="O60" s="47">
        <v>224.245175097309</v>
      </c>
      <c r="P60" s="12">
        <v>352.650263218531</v>
      </c>
      <c r="Q60" s="12">
        <v>532.012302996123</v>
      </c>
      <c r="R60" s="12">
        <v>313.842789854771</v>
      </c>
      <c r="S60" s="12">
        <v>546.228545237645</v>
      </c>
      <c r="T60" s="12">
        <v>382.0</v>
      </c>
      <c r="U60" s="12">
        <v>547.434960080615</v>
      </c>
      <c r="V60" s="7">
        <v>352.18</v>
      </c>
      <c r="W60" s="7">
        <v>580.777997615683</v>
      </c>
    </row>
    <row r="61">
      <c r="A61" s="8">
        <v>41974.0</v>
      </c>
      <c r="B61" s="9">
        <f>IFERROR(__xludf.DUMMYFUNCTION("""COMPUTED_VALUE"""),428.0)</f>
        <v>428</v>
      </c>
      <c r="C61" s="12">
        <v>254.350323443062</v>
      </c>
      <c r="D61" s="12">
        <v>163.318287444763</v>
      </c>
      <c r="E61" s="12">
        <v>84.3677259413425</v>
      </c>
      <c r="F61" s="12">
        <v>254.521813946663</v>
      </c>
      <c r="G61" s="12">
        <v>249.031931501114</v>
      </c>
      <c r="H61" s="12">
        <v>103.442857142857</v>
      </c>
      <c r="I61" s="12">
        <v>177.530576796306</v>
      </c>
      <c r="J61" s="12">
        <v>125.975</v>
      </c>
      <c r="K61" s="12">
        <v>383.568950399331</v>
      </c>
      <c r="L61" s="12">
        <v>461.149015731862</v>
      </c>
      <c r="M61" s="12">
        <v>183.844705815941</v>
      </c>
      <c r="N61" s="12">
        <v>458.246975712008</v>
      </c>
      <c r="O61" s="47">
        <v>286.823157405304</v>
      </c>
      <c r="P61" s="12">
        <v>500.10253984963</v>
      </c>
      <c r="Q61" s="12">
        <v>441.575672497233</v>
      </c>
      <c r="R61" s="12">
        <v>439.7616152364</v>
      </c>
      <c r="S61" s="12">
        <v>410.273652838761</v>
      </c>
      <c r="T61" s="12">
        <v>432.0</v>
      </c>
      <c r="U61" s="12">
        <v>658.919438351042</v>
      </c>
      <c r="V61" s="7">
        <v>327.68</v>
      </c>
      <c r="W61" s="7">
        <v>449.466156692163</v>
      </c>
    </row>
    <row r="62">
      <c r="A62" s="8">
        <v>42005.0</v>
      </c>
      <c r="B62" s="9">
        <f>IFERROR(__xludf.DUMMYFUNCTION("""COMPUTED_VALUE"""),1031.0)</f>
        <v>1031</v>
      </c>
      <c r="C62" s="12">
        <v>171.469916801387</v>
      </c>
      <c r="D62" s="12">
        <v>665.917714753317</v>
      </c>
      <c r="E62" s="12">
        <v>195.64680038031</v>
      </c>
      <c r="F62" s="12">
        <v>331.145847608035</v>
      </c>
      <c r="G62" s="12">
        <v>-77.234208439236</v>
      </c>
      <c r="H62" s="12">
        <v>332.515522204352</v>
      </c>
      <c r="I62" s="12">
        <v>750.338952176159</v>
      </c>
      <c r="J62" s="12">
        <v>852.828562605283</v>
      </c>
      <c r="K62" s="12">
        <v>242.389478406378</v>
      </c>
      <c r="L62" s="12">
        <v>564.89644456104</v>
      </c>
      <c r="M62" s="12">
        <v>160.444705815941</v>
      </c>
      <c r="N62" s="12">
        <v>418.012078655673</v>
      </c>
      <c r="O62" s="47">
        <v>265.513158853523</v>
      </c>
      <c r="P62" s="12">
        <v>513.766976</v>
      </c>
      <c r="Q62" s="12">
        <v>592.165718075451</v>
      </c>
      <c r="R62" s="12">
        <v>1021.67799596217</v>
      </c>
      <c r="S62" s="12">
        <v>530.811121892306</v>
      </c>
      <c r="T62" s="12">
        <v>981.351845209948</v>
      </c>
      <c r="U62" s="12">
        <v>693.603711048619</v>
      </c>
      <c r="V62" s="7">
        <v>272.58</v>
      </c>
      <c r="W62" s="7">
        <v>792.464064414071</v>
      </c>
    </row>
    <row r="63">
      <c r="A63" s="8">
        <v>42036.0</v>
      </c>
      <c r="B63" s="9">
        <f>IFERROR(__xludf.DUMMYFUNCTION("""COMPUTED_VALUE"""),382.0)</f>
        <v>382</v>
      </c>
      <c r="C63" s="12">
        <v>190.308970356023</v>
      </c>
      <c r="D63" s="12">
        <v>182.393164018405</v>
      </c>
      <c r="E63" s="12">
        <v>188.990984258066</v>
      </c>
      <c r="F63" s="12">
        <v>348.254014580953</v>
      </c>
      <c r="G63" s="12">
        <v>187.882011696817</v>
      </c>
      <c r="H63" s="12">
        <v>20.0</v>
      </c>
      <c r="I63" s="12">
        <v>161.171524934932</v>
      </c>
      <c r="J63" s="12">
        <v>301.2</v>
      </c>
      <c r="K63" s="12">
        <v>344.500143671391</v>
      </c>
      <c r="L63" s="12">
        <v>559.661417922405</v>
      </c>
      <c r="M63" s="12">
        <v>161.586683313865</v>
      </c>
      <c r="N63" s="12">
        <v>417.355893067195</v>
      </c>
      <c r="O63" s="47">
        <v>193.067468660896</v>
      </c>
      <c r="P63" s="12">
        <v>395.54584797004</v>
      </c>
      <c r="Q63" s="12">
        <v>447.741821660647</v>
      </c>
      <c r="R63" s="12">
        <v>273.94755655792</v>
      </c>
      <c r="S63" s="12">
        <v>495.574708364469</v>
      </c>
      <c r="T63" s="12">
        <v>285.48</v>
      </c>
      <c r="U63" s="12">
        <v>361.3453819236</v>
      </c>
      <c r="V63" s="7">
        <v>348.602948848853</v>
      </c>
      <c r="W63" s="7">
        <v>319.215509057067</v>
      </c>
    </row>
    <row r="64">
      <c r="A64" s="8">
        <v>42064.0</v>
      </c>
      <c r="B64" s="9">
        <f>IFERROR(__xludf.DUMMYFUNCTION("""COMPUTED_VALUE"""),226.0)</f>
        <v>226</v>
      </c>
      <c r="C64" s="12">
        <v>221.856956327355</v>
      </c>
      <c r="D64" s="12">
        <v>137.083509155879</v>
      </c>
      <c r="E64" s="12">
        <v>248.050167140815</v>
      </c>
      <c r="F64" s="12">
        <v>440.149254679144</v>
      </c>
      <c r="G64" s="12">
        <v>-88.0845844556427</v>
      </c>
      <c r="H64" s="12">
        <v>29.8571428571429</v>
      </c>
      <c r="I64" s="12">
        <v>9.34553944032321</v>
      </c>
      <c r="J64" s="12">
        <v>52.0</v>
      </c>
      <c r="K64" s="12">
        <v>203.500143671391</v>
      </c>
      <c r="L64" s="12">
        <v>620.355158568572</v>
      </c>
      <c r="M64" s="12">
        <v>180.344705815941</v>
      </c>
      <c r="N64" s="12">
        <v>394.56054959285</v>
      </c>
      <c r="O64" s="47">
        <v>125.114746613374</v>
      </c>
      <c r="P64" s="12">
        <v>339.409575035913</v>
      </c>
      <c r="Q64" s="12">
        <v>591.044158393606</v>
      </c>
      <c r="R64" s="12">
        <v>533.370959023783</v>
      </c>
      <c r="S64" s="12">
        <v>419.889444347714</v>
      </c>
      <c r="T64" s="12">
        <v>252.845925925926</v>
      </c>
      <c r="U64" s="12">
        <v>63.3416605471841</v>
      </c>
      <c r="V64" s="7">
        <v>205.262532314229</v>
      </c>
      <c r="W64" s="7">
        <v>304.200793472103</v>
      </c>
    </row>
    <row r="65">
      <c r="A65" s="8">
        <v>42095.0</v>
      </c>
      <c r="B65" s="9">
        <f>IFERROR(__xludf.DUMMYFUNCTION("""COMPUTED_VALUE"""),1155.0)</f>
        <v>1155</v>
      </c>
      <c r="C65" s="12">
        <v>253.64709712814</v>
      </c>
      <c r="D65" s="12">
        <v>404.570291595583</v>
      </c>
      <c r="E65" s="12">
        <v>158.418818010187</v>
      </c>
      <c r="F65" s="12">
        <v>279.121661217855</v>
      </c>
      <c r="G65" s="12">
        <v>-47.654208439236</v>
      </c>
      <c r="H65" s="12">
        <v>198.752890551888</v>
      </c>
      <c r="I65" s="12">
        <v>389.064423330026</v>
      </c>
      <c r="J65" s="12">
        <v>1105.95006916235</v>
      </c>
      <c r="K65" s="12">
        <v>367.912841051335</v>
      </c>
      <c r="L65" s="12">
        <v>481.422012628075</v>
      </c>
      <c r="M65" s="12">
        <v>252.244705815941</v>
      </c>
      <c r="N65" s="12">
        <v>1147.14020903726</v>
      </c>
      <c r="O65" s="47">
        <v>1172.60122937625</v>
      </c>
      <c r="P65" s="12">
        <v>1189.73484877456</v>
      </c>
      <c r="Q65" s="12">
        <v>451.558144535261</v>
      </c>
      <c r="R65" s="12">
        <v>1315.18315152168</v>
      </c>
      <c r="S65" s="12">
        <v>415.253891439481</v>
      </c>
      <c r="T65" s="12">
        <v>463.924444444444</v>
      </c>
      <c r="U65" s="12">
        <v>629.16166223836</v>
      </c>
      <c r="V65" s="7">
        <v>478.118852011103</v>
      </c>
      <c r="W65" s="7">
        <v>924.150924961587</v>
      </c>
    </row>
    <row r="66">
      <c r="A66" s="8">
        <v>42125.0</v>
      </c>
      <c r="B66" s="9">
        <f>IFERROR(__xludf.DUMMYFUNCTION("""COMPUTED_VALUE"""),2408.0)</f>
        <v>2408</v>
      </c>
      <c r="C66" s="12">
        <v>2450.41607987832</v>
      </c>
      <c r="D66" s="12">
        <v>2342.45520486944</v>
      </c>
      <c r="E66" s="12">
        <v>1709.01661632276</v>
      </c>
      <c r="F66" s="12">
        <v>279.412740967464</v>
      </c>
      <c r="G66" s="12">
        <v>2227.27217927866</v>
      </c>
      <c r="H66" s="12">
        <v>29.7142857142857</v>
      </c>
      <c r="I66" s="12">
        <v>2407.99876222947</v>
      </c>
      <c r="J66" s="12">
        <v>2666.71413708691</v>
      </c>
      <c r="K66" s="12">
        <v>2406.59564341541</v>
      </c>
      <c r="L66" s="12">
        <v>2051.20660552493</v>
      </c>
      <c r="M66" s="12">
        <v>2542.04236801499</v>
      </c>
      <c r="N66" s="12">
        <v>2354.31496969883</v>
      </c>
      <c r="O66" s="47">
        <v>2410.53312427537</v>
      </c>
      <c r="P66" s="12">
        <v>2282.04620667181</v>
      </c>
      <c r="Q66" s="12">
        <v>907.527905788754</v>
      </c>
      <c r="R66" s="12">
        <v>2402.03652412772</v>
      </c>
      <c r="S66" s="12">
        <v>1521.30352810123</v>
      </c>
      <c r="T66" s="12">
        <v>2366.0</v>
      </c>
      <c r="U66" s="12">
        <v>652.056100680481</v>
      </c>
      <c r="V66" s="7">
        <v>1776.84563764219</v>
      </c>
      <c r="W66" s="7">
        <v>2412.78591827023</v>
      </c>
    </row>
    <row r="67">
      <c r="A67" s="8">
        <v>42156.0</v>
      </c>
      <c r="B67" s="9">
        <f>IFERROR(__xludf.DUMMYFUNCTION("""COMPUTED_VALUE"""),192.0)</f>
        <v>192</v>
      </c>
      <c r="C67" s="12">
        <v>288.116730657271</v>
      </c>
      <c r="D67" s="12">
        <v>177.759650411617</v>
      </c>
      <c r="E67" s="12">
        <v>40.85</v>
      </c>
      <c r="F67" s="12">
        <v>352.793850860256</v>
      </c>
      <c r="G67" s="12">
        <v>-88.740583439236</v>
      </c>
      <c r="H67" s="12">
        <v>30.8571428571429</v>
      </c>
      <c r="I67" s="12">
        <v>193.879986105521</v>
      </c>
      <c r="J67" s="12">
        <v>16.375</v>
      </c>
      <c r="K67" s="12">
        <v>252.344719318737</v>
      </c>
      <c r="L67" s="12">
        <v>388.197059921534</v>
      </c>
      <c r="M67" s="12">
        <v>179.244705815941</v>
      </c>
      <c r="N67" s="12">
        <v>300.940686657314</v>
      </c>
      <c r="O67" s="47">
        <v>168.424043228915</v>
      </c>
      <c r="P67" s="12">
        <v>217.928373860675</v>
      </c>
      <c r="Q67" s="12">
        <v>306.930445382256</v>
      </c>
      <c r="R67" s="12">
        <v>307.417350303191</v>
      </c>
      <c r="S67" s="12">
        <v>430.533877610811</v>
      </c>
      <c r="T67" s="12">
        <v>476.0</v>
      </c>
      <c r="U67" s="12">
        <v>577.316235309505</v>
      </c>
      <c r="V67" s="7">
        <v>390.949015228867</v>
      </c>
      <c r="W67" s="7">
        <v>397.027072778055</v>
      </c>
    </row>
    <row r="68">
      <c r="A68" s="8">
        <v>42186.0</v>
      </c>
      <c r="B68" s="9">
        <f>IFERROR(__xludf.DUMMYFUNCTION("""COMPUTED_VALUE"""),1611.0)</f>
        <v>1611</v>
      </c>
      <c r="C68" s="12">
        <v>285.964390473094</v>
      </c>
      <c r="D68" s="12">
        <v>615.574145779993</v>
      </c>
      <c r="E68" s="12">
        <v>991.48</v>
      </c>
      <c r="F68" s="12">
        <v>235.679878398758</v>
      </c>
      <c r="G68" s="12">
        <v>2623.19454782326</v>
      </c>
      <c r="H68" s="12">
        <v>31.5714285714286</v>
      </c>
      <c r="I68" s="12">
        <v>618.016725965705</v>
      </c>
      <c r="J68" s="12">
        <v>1917.375</v>
      </c>
      <c r="K68" s="12">
        <v>1220.50014367139</v>
      </c>
      <c r="L68" s="12">
        <v>229.304460082521</v>
      </c>
      <c r="M68" s="12">
        <v>215.244705815941</v>
      </c>
      <c r="N68" s="12">
        <v>1610.98829163077</v>
      </c>
      <c r="O68" s="47">
        <v>331.924043228915</v>
      </c>
      <c r="P68" s="12">
        <v>1623.46019307936</v>
      </c>
      <c r="Q68" s="12">
        <v>314.244166444663</v>
      </c>
      <c r="R68" s="12">
        <v>259.242137458193</v>
      </c>
      <c r="S68" s="12">
        <v>492.93852953596</v>
      </c>
      <c r="T68" s="12">
        <v>1336.0</v>
      </c>
      <c r="U68" s="12">
        <v>600.221688061278</v>
      </c>
      <c r="V68" s="7">
        <v>546.6</v>
      </c>
      <c r="W68" s="7">
        <v>1504.17842033912</v>
      </c>
    </row>
    <row r="69">
      <c r="A69" s="8">
        <v>42217.0</v>
      </c>
      <c r="B69" s="9">
        <f>IFERROR(__xludf.DUMMYFUNCTION("""COMPUTED_VALUE"""),270.0)</f>
        <v>270</v>
      </c>
      <c r="C69" s="12">
        <v>274.924612963892</v>
      </c>
      <c r="D69" s="12">
        <v>323.391297651537</v>
      </c>
      <c r="E69" s="12">
        <v>51.87</v>
      </c>
      <c r="F69" s="12">
        <v>226.44007557045</v>
      </c>
      <c r="G69" s="12">
        <v>-93.5853751059027</v>
      </c>
      <c r="H69" s="12">
        <v>38.5714285714286</v>
      </c>
      <c r="I69" s="12">
        <v>240.415831483793</v>
      </c>
      <c r="J69" s="12">
        <v>0.0</v>
      </c>
      <c r="K69" s="12">
        <v>382.500143671391</v>
      </c>
      <c r="L69" s="12">
        <v>153.29134017171</v>
      </c>
      <c r="M69" s="12">
        <v>265.144220308053</v>
      </c>
      <c r="N69" s="12">
        <v>265.844104968443</v>
      </c>
      <c r="O69" s="47">
        <v>388.924043228915</v>
      </c>
      <c r="P69" s="12">
        <v>236.837617175238</v>
      </c>
      <c r="Q69" s="12">
        <v>211.501609328641</v>
      </c>
      <c r="R69" s="12">
        <v>404.23075280617</v>
      </c>
      <c r="S69" s="12">
        <v>384.045546861533</v>
      </c>
      <c r="T69" s="12">
        <v>163.0</v>
      </c>
      <c r="U69" s="12">
        <v>607.898901471265</v>
      </c>
      <c r="V69" s="7">
        <v>365.038929900444</v>
      </c>
      <c r="W69" s="7">
        <v>360.162590039202</v>
      </c>
    </row>
    <row r="70">
      <c r="A70" s="8">
        <v>42248.0</v>
      </c>
      <c r="B70" s="9">
        <f>IFERROR(__xludf.DUMMYFUNCTION("""COMPUTED_VALUE"""),473.0)</f>
        <v>473</v>
      </c>
      <c r="C70" s="12">
        <v>243.932073065312</v>
      </c>
      <c r="D70" s="12">
        <v>93.9987826480123</v>
      </c>
      <c r="E70" s="12">
        <v>122.150263527758</v>
      </c>
      <c r="F70" s="12">
        <v>216.040553936367</v>
      </c>
      <c r="G70" s="12">
        <v>-11.396208439236</v>
      </c>
      <c r="H70" s="12">
        <v>34.0</v>
      </c>
      <c r="I70" s="12">
        <v>193.005656930192</v>
      </c>
      <c r="J70" s="12">
        <v>0.0</v>
      </c>
      <c r="K70" s="12">
        <v>220.500143671391</v>
      </c>
      <c r="L70" s="12">
        <v>158.640796200715</v>
      </c>
      <c r="M70" s="12">
        <v>306.244705815941</v>
      </c>
      <c r="N70" s="12">
        <v>319.591391360321</v>
      </c>
      <c r="O70" s="47">
        <v>552.505830157953</v>
      </c>
      <c r="P70" s="12">
        <v>341.161970237678</v>
      </c>
      <c r="Q70" s="12">
        <v>410.138933222071</v>
      </c>
      <c r="R70" s="12">
        <v>395.197798241754</v>
      </c>
      <c r="S70" s="12">
        <v>367.938129148287</v>
      </c>
      <c r="T70" s="12">
        <v>123.0</v>
      </c>
      <c r="U70" s="12">
        <v>481.228035015525</v>
      </c>
      <c r="V70" s="7">
        <v>318.089008658162</v>
      </c>
      <c r="W70" s="7">
        <v>375.866319497422</v>
      </c>
    </row>
    <row r="71">
      <c r="A71" s="8">
        <v>42278.0</v>
      </c>
      <c r="B71" s="9">
        <f>IFERROR(__xludf.DUMMYFUNCTION("""COMPUTED_VALUE"""),450.0)</f>
        <v>450</v>
      </c>
      <c r="C71" s="12">
        <v>222.130056978822</v>
      </c>
      <c r="D71" s="12">
        <v>178.057542420622</v>
      </c>
      <c r="E71" s="12">
        <v>80.2063488229093</v>
      </c>
      <c r="F71" s="12">
        <v>384.035704747593</v>
      </c>
      <c r="G71" s="12">
        <v>283.343791560764</v>
      </c>
      <c r="H71" s="12">
        <v>24.4285714285714</v>
      </c>
      <c r="I71" s="12">
        <v>284.039394062226</v>
      </c>
      <c r="J71" s="12">
        <v>0.0</v>
      </c>
      <c r="K71" s="12">
        <v>249.500143671391</v>
      </c>
      <c r="L71" s="12">
        <v>253.03282997875</v>
      </c>
      <c r="M71" s="12">
        <v>426.244705815941</v>
      </c>
      <c r="N71" s="12">
        <v>396.794653732694</v>
      </c>
      <c r="O71" s="47">
        <v>568.420878269587</v>
      </c>
      <c r="P71" s="12">
        <v>232.950278944246</v>
      </c>
      <c r="Q71" s="12">
        <v>337.477390632501</v>
      </c>
      <c r="R71" s="12">
        <v>292.536194540187</v>
      </c>
      <c r="S71" s="12">
        <v>367.948784328312</v>
      </c>
      <c r="T71" s="12">
        <v>141.0</v>
      </c>
      <c r="U71" s="12">
        <v>341.139683987992</v>
      </c>
      <c r="V71" s="7">
        <v>374.753190421365</v>
      </c>
      <c r="W71" s="7">
        <v>363.571166006452</v>
      </c>
    </row>
    <row r="72">
      <c r="A72" s="8">
        <v>42309.0</v>
      </c>
      <c r="B72" s="9">
        <f>IFERROR(__xludf.DUMMYFUNCTION("""COMPUTED_VALUE"""),395.0)</f>
        <v>395</v>
      </c>
      <c r="C72" s="12">
        <v>200.496290107067</v>
      </c>
      <c r="D72" s="12">
        <v>147.50790600653</v>
      </c>
      <c r="E72" s="12">
        <v>7.80634882290929</v>
      </c>
      <c r="F72" s="12">
        <v>288.498363627553</v>
      </c>
      <c r="G72" s="12">
        <v>43.1461725131449</v>
      </c>
      <c r="H72" s="12">
        <v>23.5714285714286</v>
      </c>
      <c r="I72" s="12">
        <v>176.632312831394</v>
      </c>
      <c r="J72" s="12">
        <v>0.0</v>
      </c>
      <c r="K72" s="12">
        <v>396.500143671391</v>
      </c>
      <c r="L72" s="12">
        <v>151.828416259578</v>
      </c>
      <c r="M72" s="12">
        <v>264.244705815941</v>
      </c>
      <c r="N72" s="12">
        <v>362.479886718643</v>
      </c>
      <c r="O72" s="47">
        <v>354.981865590897</v>
      </c>
      <c r="P72" s="12">
        <v>265.733295890926</v>
      </c>
      <c r="Q72" s="12">
        <v>333.246224155834</v>
      </c>
      <c r="R72" s="12">
        <v>326.2226507807</v>
      </c>
      <c r="S72" s="12">
        <v>378.125756339052</v>
      </c>
      <c r="T72" s="12">
        <v>274.0</v>
      </c>
      <c r="U72" s="12">
        <v>343.411112248639</v>
      </c>
      <c r="V72" s="7">
        <v>399.385233937099</v>
      </c>
      <c r="W72" s="7">
        <v>456.42809359485</v>
      </c>
    </row>
    <row r="73">
      <c r="A73" s="8">
        <v>42339.0</v>
      </c>
      <c r="B73" s="9">
        <f>IFERROR(__xludf.DUMMYFUNCTION("""COMPUTED_VALUE"""),324.0)</f>
        <v>324</v>
      </c>
      <c r="C73" s="12">
        <v>142.841897773328</v>
      </c>
      <c r="D73" s="12">
        <v>164.431339108258</v>
      </c>
      <c r="E73" s="12">
        <v>0.250330814563486</v>
      </c>
      <c r="F73" s="12">
        <v>363.28389388432</v>
      </c>
      <c r="G73" s="12">
        <v>212.812707847278</v>
      </c>
      <c r="H73" s="12">
        <v>23.1428571428571</v>
      </c>
      <c r="I73" s="12">
        <v>181.188976128559</v>
      </c>
      <c r="J73" s="12">
        <v>112.5</v>
      </c>
      <c r="K73" s="12">
        <v>452.907272606359</v>
      </c>
      <c r="L73" s="12">
        <v>176.279568982403</v>
      </c>
      <c r="M73" s="12">
        <v>293.244705815941</v>
      </c>
      <c r="N73" s="12">
        <v>353.155441649078</v>
      </c>
      <c r="O73" s="47">
        <v>402.504076700499</v>
      </c>
      <c r="P73" s="12">
        <v>381.3557840183</v>
      </c>
      <c r="Q73" s="12">
        <v>437.624490326587</v>
      </c>
      <c r="R73" s="12">
        <v>300.565410962615</v>
      </c>
      <c r="S73" s="12">
        <v>408.982497866809</v>
      </c>
      <c r="T73" s="12">
        <v>183.0</v>
      </c>
      <c r="U73" s="12">
        <v>503.540273361522</v>
      </c>
      <c r="V73" s="7">
        <v>408.348603723501</v>
      </c>
      <c r="W73" s="7">
        <v>388.317575745075</v>
      </c>
    </row>
    <row r="74">
      <c r="A74" s="8">
        <v>42370.0</v>
      </c>
      <c r="B74" s="9">
        <f>IFERROR(__xludf.DUMMYFUNCTION("""COMPUTED_VALUE"""),462.0)</f>
        <v>462</v>
      </c>
      <c r="C74" s="12">
        <v>50.056551083868</v>
      </c>
      <c r="D74" s="12">
        <v>155.392720072692</v>
      </c>
      <c r="E74" s="12">
        <v>24.6502635277581</v>
      </c>
      <c r="F74" s="12">
        <v>459.711617066937</v>
      </c>
      <c r="G74" s="12">
        <v>434.674510936512</v>
      </c>
      <c r="H74" s="12">
        <v>28.2302828004719</v>
      </c>
      <c r="I74" s="12">
        <v>183.004614641306</v>
      </c>
      <c r="J74" s="12">
        <v>373.0</v>
      </c>
      <c r="K74" s="12">
        <v>372.500143671391</v>
      </c>
      <c r="L74" s="12">
        <v>1439.77297979019</v>
      </c>
      <c r="M74" s="12">
        <v>440.244705815941</v>
      </c>
      <c r="N74" s="12">
        <v>454.419062035457</v>
      </c>
      <c r="O74" s="47">
        <v>639.504076700499</v>
      </c>
      <c r="P74" s="12">
        <v>368.61552934984</v>
      </c>
      <c r="Q74" s="12">
        <v>442.06370500306</v>
      </c>
      <c r="R74" s="12">
        <v>451.956840144662</v>
      </c>
      <c r="S74" s="12">
        <v>415.817165094698</v>
      </c>
      <c r="T74" s="12">
        <v>331.0</v>
      </c>
      <c r="U74" s="12">
        <v>658.713660043214</v>
      </c>
      <c r="V74" s="7">
        <v>384.840025599378</v>
      </c>
      <c r="W74" s="7">
        <v>689.720804360022</v>
      </c>
    </row>
    <row r="75">
      <c r="A75" s="8">
        <v>42401.0</v>
      </c>
      <c r="B75" s="9">
        <f>IFERROR(__xludf.DUMMYFUNCTION("""COMPUTED_VALUE"""),535.0)</f>
        <v>535</v>
      </c>
      <c r="C75" s="12">
        <v>159.007095114835</v>
      </c>
      <c r="D75" s="12">
        <v>332.569897460987</v>
      </c>
      <c r="E75" s="12">
        <v>57.2000094233715</v>
      </c>
      <c r="F75" s="12">
        <v>452.371672157526</v>
      </c>
      <c r="G75" s="12">
        <v>554.878678451518</v>
      </c>
      <c r="H75" s="12">
        <v>1314.37999096725</v>
      </c>
      <c r="I75" s="12">
        <v>311.659361342677</v>
      </c>
      <c r="J75" s="12">
        <v>438.5</v>
      </c>
      <c r="K75" s="12">
        <v>221.03411070656</v>
      </c>
      <c r="L75" s="12">
        <v>330.380754549689</v>
      </c>
      <c r="M75" s="12">
        <v>435.244705815941</v>
      </c>
      <c r="N75" s="12">
        <v>283.014318492734</v>
      </c>
      <c r="O75" s="47">
        <v>640.739753112594</v>
      </c>
      <c r="P75" s="12">
        <v>516.168010235722</v>
      </c>
      <c r="Q75" s="12">
        <v>257.576441072092</v>
      </c>
      <c r="R75" s="12">
        <v>511.155879742951</v>
      </c>
      <c r="S75" s="12">
        <v>471.026604835749</v>
      </c>
      <c r="T75" s="12">
        <v>597.413333333333</v>
      </c>
      <c r="U75" s="12">
        <v>476.223028761914</v>
      </c>
      <c r="V75" s="7">
        <v>819.581050111682</v>
      </c>
      <c r="W75" s="7">
        <v>413.5473993421</v>
      </c>
    </row>
    <row r="76">
      <c r="A76" s="8">
        <v>42430.0</v>
      </c>
      <c r="B76" s="9">
        <f>IFERROR(__xludf.DUMMYFUNCTION("""COMPUTED_VALUE"""),641.0)</f>
        <v>641</v>
      </c>
      <c r="C76" s="12">
        <v>235.466343713456</v>
      </c>
      <c r="D76" s="12">
        <v>379.25804824139</v>
      </c>
      <c r="E76" s="12">
        <v>196.232970958931</v>
      </c>
      <c r="F76" s="12">
        <v>359.050330249948</v>
      </c>
      <c r="G76" s="12">
        <v>451.412568449516</v>
      </c>
      <c r="H76" s="12">
        <v>10.0</v>
      </c>
      <c r="I76" s="12">
        <v>318.66605476026</v>
      </c>
      <c r="J76" s="12">
        <v>549.97</v>
      </c>
      <c r="K76" s="12">
        <v>676.731255049777</v>
      </c>
      <c r="L76" s="12">
        <v>247.597932576155</v>
      </c>
      <c r="M76" s="12">
        <v>416.244705815941</v>
      </c>
      <c r="N76" s="12">
        <v>307.158716042126</v>
      </c>
      <c r="O76" s="47">
        <v>604.590895987555</v>
      </c>
      <c r="P76" s="12">
        <v>534.531657075521</v>
      </c>
      <c r="Q76" s="12">
        <v>284.904797906933</v>
      </c>
      <c r="R76" s="12">
        <v>350.15628866218</v>
      </c>
      <c r="S76" s="12">
        <v>519.068260804423</v>
      </c>
      <c r="T76" s="12">
        <v>519.666666666667</v>
      </c>
      <c r="U76" s="12">
        <v>412.056227002122</v>
      </c>
      <c r="V76" s="7">
        <v>599.063341565324</v>
      </c>
      <c r="W76" s="7">
        <v>272.373661360869</v>
      </c>
    </row>
    <row r="77">
      <c r="A77" s="8">
        <v>42461.0</v>
      </c>
      <c r="B77" s="9">
        <f>IFERROR(__xludf.DUMMYFUNCTION("""COMPUTED_VALUE"""),405.0)</f>
        <v>405</v>
      </c>
      <c r="C77" s="12">
        <v>264.07311758738</v>
      </c>
      <c r="D77" s="12">
        <v>180.219229961357</v>
      </c>
      <c r="E77" s="12">
        <v>82.4811929023153</v>
      </c>
      <c r="F77" s="12">
        <v>1213.68518524242</v>
      </c>
      <c r="G77" s="12">
        <v>1180.10490408577</v>
      </c>
      <c r="H77" s="12">
        <v>911.76035314107</v>
      </c>
      <c r="I77" s="12">
        <v>99.0593348537254</v>
      </c>
      <c r="J77" s="12">
        <v>125.0</v>
      </c>
      <c r="K77" s="12">
        <v>350.664611773624</v>
      </c>
      <c r="L77" s="12">
        <v>1046.79923461123</v>
      </c>
      <c r="M77" s="12">
        <v>220.244705815941</v>
      </c>
      <c r="N77" s="12">
        <v>636.826803152015</v>
      </c>
      <c r="O77" s="47">
        <v>376.334853335865</v>
      </c>
      <c r="P77" s="12">
        <v>333.543263210514</v>
      </c>
      <c r="Q77" s="12">
        <v>429.667848779722</v>
      </c>
      <c r="R77" s="12">
        <v>386.866925801592</v>
      </c>
      <c r="S77" s="12">
        <v>469.86640794795</v>
      </c>
      <c r="T77" s="12">
        <v>494.382222222222</v>
      </c>
      <c r="U77" s="12">
        <v>603.003663544621</v>
      </c>
      <c r="V77" s="7">
        <v>642.746965859529</v>
      </c>
      <c r="W77" s="7">
        <v>353.958149826954</v>
      </c>
    </row>
    <row r="78">
      <c r="A78" s="8">
        <v>42491.0</v>
      </c>
      <c r="B78" s="9">
        <f>IFERROR(__xludf.DUMMYFUNCTION("""COMPUTED_VALUE"""),525.0)</f>
        <v>525</v>
      </c>
      <c r="C78" s="12">
        <v>298.239784254046</v>
      </c>
      <c r="D78" s="12">
        <v>329.399712141416</v>
      </c>
      <c r="E78" s="12">
        <v>507.368258717521</v>
      </c>
      <c r="F78" s="12">
        <v>331.510806633955</v>
      </c>
      <c r="G78" s="12">
        <v>875.781834265846</v>
      </c>
      <c r="H78" s="12">
        <v>20.3852000516651</v>
      </c>
      <c r="I78" s="12">
        <v>270.344244396758</v>
      </c>
      <c r="J78" s="12">
        <v>4905.48214285714</v>
      </c>
      <c r="K78" s="12">
        <v>371.267945556624</v>
      </c>
      <c r="L78" s="12">
        <v>210.486794907568</v>
      </c>
      <c r="M78" s="12">
        <v>472.744705815941</v>
      </c>
      <c r="N78" s="12">
        <v>529.740365762952</v>
      </c>
      <c r="O78" s="47">
        <v>369.137922378102</v>
      </c>
      <c r="P78" s="12">
        <v>318.402806376785</v>
      </c>
      <c r="Q78" s="12">
        <v>266.888962792532</v>
      </c>
      <c r="R78" s="12">
        <v>319.343046819812</v>
      </c>
      <c r="S78" s="12">
        <v>575.273575719745</v>
      </c>
      <c r="T78" s="12">
        <v>468.611111111111</v>
      </c>
      <c r="U78" s="12">
        <v>454.088452013423</v>
      </c>
      <c r="V78" s="7">
        <v>411.004033706873</v>
      </c>
      <c r="W78" s="7">
        <v>387.785776464933</v>
      </c>
    </row>
    <row r="79">
      <c r="A79" s="8">
        <v>42522.0</v>
      </c>
      <c r="B79" s="9">
        <f>IFERROR(__xludf.DUMMYFUNCTION("""COMPUTED_VALUE"""),471.0)</f>
        <v>471</v>
      </c>
      <c r="C79" s="12">
        <v>218.209688519201</v>
      </c>
      <c r="D79" s="12">
        <v>280.993367117672</v>
      </c>
      <c r="E79" s="12">
        <v>343.638790099522</v>
      </c>
      <c r="F79" s="12">
        <v>455.9533795</v>
      </c>
      <c r="G79" s="12">
        <v>210.229505846478</v>
      </c>
      <c r="H79" s="12">
        <v>410.544936164472</v>
      </c>
      <c r="I79" s="12">
        <v>317.2002816557</v>
      </c>
      <c r="J79" s="12">
        <v>4823.1</v>
      </c>
      <c r="K79" s="12">
        <v>455.824920314874</v>
      </c>
      <c r="L79" s="12">
        <v>384.033123340282</v>
      </c>
      <c r="M79" s="12">
        <v>370.544705815941</v>
      </c>
      <c r="N79" s="12">
        <v>433.339223529566</v>
      </c>
      <c r="O79" s="47">
        <v>486.443014238519</v>
      </c>
      <c r="P79" s="12">
        <v>280.866897212599</v>
      </c>
      <c r="Q79" s="12">
        <v>367.637985999472</v>
      </c>
      <c r="R79" s="12">
        <v>340.453223744745</v>
      </c>
      <c r="S79" s="12">
        <v>509.948289069595</v>
      </c>
      <c r="T79" s="12">
        <v>682.96</v>
      </c>
      <c r="U79" s="12">
        <v>456.123948901897</v>
      </c>
      <c r="V79" s="7">
        <v>380.141474424426</v>
      </c>
      <c r="W79" s="7">
        <v>558.709947320006</v>
      </c>
    </row>
    <row r="80">
      <c r="A80" s="8">
        <v>42552.0</v>
      </c>
      <c r="B80" s="9">
        <f>IFERROR(__xludf.DUMMYFUNCTION("""COMPUTED_VALUE"""),424.0)</f>
        <v>424</v>
      </c>
      <c r="C80" s="12">
        <v>1457.70879444955</v>
      </c>
      <c r="D80" s="12">
        <v>1214.90911702893</v>
      </c>
      <c r="E80" s="12">
        <v>321.65282697404</v>
      </c>
      <c r="F80" s="12">
        <v>528.964577857708</v>
      </c>
      <c r="G80" s="12">
        <v>1116.15133956923</v>
      </c>
      <c r="H80" s="12">
        <v>283.230481460068</v>
      </c>
      <c r="I80" s="12">
        <v>1460.38368907454</v>
      </c>
      <c r="J80" s="12">
        <v>5152.62857142857</v>
      </c>
      <c r="K80" s="12">
        <v>414.249856421236</v>
      </c>
      <c r="L80" s="12">
        <v>434.213967890958</v>
      </c>
      <c r="M80" s="12">
        <v>237.244705815941</v>
      </c>
      <c r="N80" s="12">
        <v>418.63527750886</v>
      </c>
      <c r="O80" s="47">
        <v>421.737399227957</v>
      </c>
      <c r="P80" s="12">
        <v>352.326392942242</v>
      </c>
      <c r="Q80" s="12">
        <v>281.986712368085</v>
      </c>
      <c r="R80" s="12">
        <v>403.965080672325</v>
      </c>
      <c r="S80" s="12">
        <v>425.667120615348</v>
      </c>
      <c r="T80" s="12">
        <v>274.0</v>
      </c>
      <c r="U80" s="12">
        <v>438.825819966475</v>
      </c>
      <c r="V80" s="7">
        <v>305.539691883435</v>
      </c>
      <c r="W80" s="7">
        <v>403.044489294902</v>
      </c>
    </row>
    <row r="81">
      <c r="A81" s="8">
        <v>42583.0</v>
      </c>
      <c r="B81" s="9">
        <f>IFERROR(__xludf.DUMMYFUNCTION("""COMPUTED_VALUE"""),385.0)</f>
        <v>385</v>
      </c>
      <c r="C81" s="12">
        <v>107.168135329369</v>
      </c>
      <c r="D81" s="12">
        <v>329.485093488863</v>
      </c>
      <c r="E81" s="12">
        <v>227.063193855158</v>
      </c>
      <c r="F81" s="12">
        <v>305.882082133289</v>
      </c>
      <c r="G81" s="12">
        <v>-76.4304941535217</v>
      </c>
      <c r="H81" s="12">
        <v>285.038451508079</v>
      </c>
      <c r="I81" s="12">
        <v>232.713817558265</v>
      </c>
      <c r="J81" s="12">
        <v>42.93</v>
      </c>
      <c r="K81" s="12">
        <v>356.500143671391</v>
      </c>
      <c r="L81" s="12">
        <v>261.744939577353</v>
      </c>
      <c r="M81" s="12">
        <v>359.844705815941</v>
      </c>
      <c r="N81" s="12">
        <v>436.206064047117</v>
      </c>
      <c r="O81" s="47">
        <v>397.116997799879</v>
      </c>
      <c r="P81" s="12">
        <v>361.195870876925</v>
      </c>
      <c r="Q81" s="12">
        <v>360.472709538778</v>
      </c>
      <c r="R81" s="12">
        <v>335.81719234549</v>
      </c>
      <c r="S81" s="12">
        <v>414.236285521637</v>
      </c>
      <c r="T81" s="12">
        <v>268.0</v>
      </c>
      <c r="U81" s="12">
        <v>424.703284846801</v>
      </c>
      <c r="V81" s="7">
        <v>195.853874720891</v>
      </c>
      <c r="W81" s="7">
        <v>815.40373505534</v>
      </c>
    </row>
    <row r="82">
      <c r="A82" s="8">
        <v>42614.0</v>
      </c>
      <c r="B82" s="9">
        <f>IFERROR(__xludf.DUMMYFUNCTION("""COMPUTED_VALUE"""),270.0)</f>
        <v>270</v>
      </c>
      <c r="C82" s="12">
        <v>117.070331357838</v>
      </c>
      <c r="D82" s="12">
        <v>455.554822435641</v>
      </c>
      <c r="E82" s="12">
        <v>466.303040640542</v>
      </c>
      <c r="F82" s="12">
        <v>262.678559799388</v>
      </c>
      <c r="G82" s="12">
        <v>79.178791560764</v>
      </c>
      <c r="H82" s="12">
        <v>211.655330411122</v>
      </c>
      <c r="I82" s="12">
        <v>367.717487000336</v>
      </c>
      <c r="J82" s="12">
        <v>239.006485453118</v>
      </c>
      <c r="K82" s="12">
        <v>463.065096133634</v>
      </c>
      <c r="L82" s="12">
        <v>199.969980379349</v>
      </c>
      <c r="M82" s="12">
        <v>232.761215231337</v>
      </c>
      <c r="N82" s="12">
        <v>296.714540315839</v>
      </c>
      <c r="O82" s="47">
        <v>242.014886140011</v>
      </c>
      <c r="P82" s="12">
        <v>320.337595575011</v>
      </c>
      <c r="Q82" s="12">
        <v>315.260152498623</v>
      </c>
      <c r="R82" s="12">
        <v>327.82811455573</v>
      </c>
      <c r="S82" s="12">
        <v>354.177378757151</v>
      </c>
      <c r="T82" s="12">
        <v>251.0</v>
      </c>
      <c r="U82" s="12">
        <v>333.760674836775</v>
      </c>
      <c r="V82" s="7">
        <v>311.811362409456</v>
      </c>
      <c r="W82" s="7">
        <v>258.842156347373</v>
      </c>
    </row>
    <row r="83">
      <c r="A83" s="8">
        <v>42644.0</v>
      </c>
      <c r="B83" s="9">
        <f>IFERROR(__xludf.DUMMYFUNCTION("""COMPUTED_VALUE"""),290.0)</f>
        <v>290</v>
      </c>
      <c r="C83" s="12">
        <v>102.93277409137</v>
      </c>
      <c r="D83" s="12">
        <v>86.0769552081686</v>
      </c>
      <c r="E83" s="12">
        <v>2.19417823260691</v>
      </c>
      <c r="F83" s="12">
        <v>261.136978875684</v>
      </c>
      <c r="G83" s="12">
        <v>-59.1490655820932</v>
      </c>
      <c r="H83" s="12">
        <v>27.4285714285714</v>
      </c>
      <c r="I83" s="12">
        <v>2.49241071119403</v>
      </c>
      <c r="J83" s="12">
        <v>196.307612421763</v>
      </c>
      <c r="K83" s="12">
        <v>224.618726119439</v>
      </c>
      <c r="L83" s="12">
        <v>190.331974211119</v>
      </c>
      <c r="M83" s="12">
        <v>260.844705815941</v>
      </c>
      <c r="N83" s="12">
        <v>292.360834678653</v>
      </c>
      <c r="O83" s="47">
        <v>317.578456741389</v>
      </c>
      <c r="P83" s="12">
        <v>316.406197860675</v>
      </c>
      <c r="Q83" s="12">
        <v>282.191637916233</v>
      </c>
      <c r="R83" s="12">
        <v>264.418758045562</v>
      </c>
      <c r="S83" s="12">
        <v>361.106588405023</v>
      </c>
      <c r="T83" s="12">
        <v>202.444444444444</v>
      </c>
      <c r="U83" s="12">
        <v>323.418252958335</v>
      </c>
      <c r="V83" s="7">
        <v>260.525935216087</v>
      </c>
      <c r="W83" s="7">
        <v>269.74589384086</v>
      </c>
    </row>
    <row r="84">
      <c r="A84" s="8">
        <v>42675.0</v>
      </c>
      <c r="B84" s="9">
        <f>IFERROR(__xludf.DUMMYFUNCTION("""COMPUTED_VALUE"""),450.0)</f>
        <v>450</v>
      </c>
      <c r="C84" s="12">
        <v>150.004122382246</v>
      </c>
      <c r="D84" s="12">
        <v>236.842572427671</v>
      </c>
      <c r="E84" s="12">
        <v>162.010541110324</v>
      </c>
      <c r="F84" s="12">
        <v>381.009860670814</v>
      </c>
      <c r="G84" s="12">
        <v>87.744291560764</v>
      </c>
      <c r="H84" s="12">
        <v>188.174824288873</v>
      </c>
      <c r="I84" s="12">
        <v>85.0027981693336</v>
      </c>
      <c r="J84" s="12">
        <v>794.091834860736</v>
      </c>
      <c r="K84" s="12">
        <v>236.500143671391</v>
      </c>
      <c r="L84" s="12">
        <v>401.801003424189</v>
      </c>
      <c r="M84" s="12">
        <v>326.244705815941</v>
      </c>
      <c r="N84" s="12">
        <v>369.190994791231</v>
      </c>
      <c r="O84" s="47">
        <v>489.253322498837</v>
      </c>
      <c r="P84" s="12">
        <v>342.624811239127</v>
      </c>
      <c r="Q84" s="12">
        <v>436.771049369912</v>
      </c>
      <c r="R84" s="12">
        <v>278.212994176637</v>
      </c>
      <c r="S84" s="12">
        <v>1072.25153404251</v>
      </c>
      <c r="T84" s="12">
        <v>229.712592592593</v>
      </c>
      <c r="U84" s="12">
        <v>447.284917181515</v>
      </c>
      <c r="V84" s="7">
        <v>284.5</v>
      </c>
      <c r="W84" s="7">
        <v>312.347659298448</v>
      </c>
    </row>
    <row r="85">
      <c r="A85" s="8">
        <v>42705.0</v>
      </c>
      <c r="B85" s="9">
        <f>IFERROR(__xludf.DUMMYFUNCTION("""COMPUTED_VALUE"""),212.0)</f>
        <v>212</v>
      </c>
      <c r="C85" s="12">
        <v>47.7903336281865</v>
      </c>
      <c r="D85" s="12">
        <v>411.785765024863</v>
      </c>
      <c r="E85" s="12">
        <v>43.8835646521381</v>
      </c>
      <c r="F85" s="12">
        <v>213.527502366902</v>
      </c>
      <c r="G85" s="12">
        <v>-98.4886655147936</v>
      </c>
      <c r="H85" s="12">
        <v>25.1428571428571</v>
      </c>
      <c r="I85" s="12">
        <v>181.563677635687</v>
      </c>
      <c r="J85" s="12">
        <v>281.705358484473</v>
      </c>
      <c r="K85" s="12">
        <v>343.059967669042</v>
      </c>
      <c r="L85" s="12">
        <v>161.511498520083</v>
      </c>
      <c r="M85" s="12">
        <v>186.244705815941</v>
      </c>
      <c r="N85" s="12">
        <v>-1735.85705363284</v>
      </c>
      <c r="O85" s="47">
        <v>6627.38449866768</v>
      </c>
      <c r="P85" s="12">
        <v>405.487425928889</v>
      </c>
      <c r="Q85" s="12">
        <v>501.198350456345</v>
      </c>
      <c r="R85" s="12">
        <v>-596.990635846612</v>
      </c>
      <c r="S85" s="12">
        <v>889.96572512613</v>
      </c>
      <c r="T85" s="12">
        <v>142.246666666667</v>
      </c>
      <c r="U85" s="12">
        <v>641.121039467204</v>
      </c>
      <c r="V85" s="7">
        <v>240.000000028938</v>
      </c>
      <c r="W85" s="7">
        <v>292.935038025713</v>
      </c>
    </row>
    <row r="86">
      <c r="A86" s="8">
        <v>42736.0</v>
      </c>
      <c r="B86" s="9">
        <f>IFERROR(__xludf.DUMMYFUNCTION("""COMPUTED_VALUE"""),19698.0)</f>
        <v>19698</v>
      </c>
      <c r="C86" s="12">
        <v>-19.9044460649569</v>
      </c>
      <c r="D86" s="12">
        <v>19584.9362723356</v>
      </c>
      <c r="E86" s="12">
        <v>19486.2407168438</v>
      </c>
      <c r="F86" s="12">
        <v>19697.7010590348</v>
      </c>
      <c r="G86" s="12">
        <v>19414.6927458064</v>
      </c>
      <c r="H86" s="12">
        <v>21.5714285714286</v>
      </c>
      <c r="I86" s="12">
        <v>19516.7095988822</v>
      </c>
      <c r="J86" s="12">
        <v>19357.68</v>
      </c>
      <c r="K86" s="12">
        <v>19679.5923911896</v>
      </c>
      <c r="L86" s="12">
        <v>19646.8750190681</v>
      </c>
      <c r="M86" s="12">
        <v>19513.5439510414</v>
      </c>
      <c r="N86" s="12">
        <v>19811.0141697667</v>
      </c>
      <c r="O86" s="47">
        <v>19677.0270665259</v>
      </c>
      <c r="P86" s="12">
        <v>367.576902573491</v>
      </c>
      <c r="Q86" s="12">
        <v>19784.8166817076</v>
      </c>
      <c r="R86" s="12">
        <v>17855.465045798</v>
      </c>
      <c r="S86" s="12">
        <v>19713.5826533492</v>
      </c>
      <c r="T86" s="12">
        <v>19677.027896024</v>
      </c>
      <c r="U86" s="12">
        <v>20664.5539400955</v>
      </c>
      <c r="V86" s="7">
        <v>19674.2350745697</v>
      </c>
      <c r="W86" s="7">
        <v>19661.4096101554</v>
      </c>
    </row>
    <row r="87">
      <c r="A87" s="8">
        <v>42767.0</v>
      </c>
      <c r="B87" s="9">
        <f>IFERROR(__xludf.DUMMYFUNCTION("""COMPUTED_VALUE"""),1663.0)</f>
        <v>1663</v>
      </c>
      <c r="C87" s="12">
        <v>3.02911949826989</v>
      </c>
      <c r="D87" s="12">
        <v>1567.85724728477</v>
      </c>
      <c r="E87" s="12">
        <v>1414.46334512141</v>
      </c>
      <c r="F87" s="12">
        <v>1553.97948277053</v>
      </c>
      <c r="G87" s="12">
        <v>1402.15329290068</v>
      </c>
      <c r="H87" s="12">
        <v>21.0</v>
      </c>
      <c r="I87" s="12">
        <v>1424.3028420978</v>
      </c>
      <c r="J87" s="12">
        <v>1291.76701445696</v>
      </c>
      <c r="K87" s="12">
        <v>1321.85281503204</v>
      </c>
      <c r="L87" s="12">
        <v>1741.88411868642</v>
      </c>
      <c r="M87" s="12">
        <v>1977.62219359921</v>
      </c>
      <c r="N87" s="12">
        <v>1389.59946557465</v>
      </c>
      <c r="O87" s="47">
        <v>1450.6917732052</v>
      </c>
      <c r="P87" s="12">
        <v>254.71539257246</v>
      </c>
      <c r="Q87" s="12">
        <v>1479.70184369369</v>
      </c>
      <c r="R87" s="12">
        <v>1196.848023556</v>
      </c>
      <c r="S87" s="12">
        <v>2168.76270626157</v>
      </c>
      <c r="T87" s="12">
        <v>1083.96888888889</v>
      </c>
      <c r="U87" s="12">
        <v>1215.62904818631</v>
      </c>
      <c r="V87" s="7">
        <v>1316.69881265461</v>
      </c>
      <c r="W87" s="7">
        <v>1880.02999280126</v>
      </c>
    </row>
    <row r="88">
      <c r="A88" s="8">
        <v>42795.0</v>
      </c>
      <c r="B88" s="9">
        <f>IFERROR(__xludf.DUMMYFUNCTION("""COMPUTED_VALUE"""),3837.0)</f>
        <v>3837</v>
      </c>
      <c r="C88" s="12">
        <v>2079.6847515212</v>
      </c>
      <c r="D88" s="12">
        <v>3687.42508850217</v>
      </c>
      <c r="E88" s="12">
        <v>1.0</v>
      </c>
      <c r="F88" s="12">
        <v>3736.596473341</v>
      </c>
      <c r="G88" s="12">
        <v>3613.5517739097</v>
      </c>
      <c r="H88" s="12">
        <v>20.1428571428571</v>
      </c>
      <c r="I88" s="12">
        <v>3687.33224678321</v>
      </c>
      <c r="J88" s="12">
        <v>4907.0</v>
      </c>
      <c r="K88" s="12">
        <v>3873.64687563083</v>
      </c>
      <c r="L88" s="12">
        <v>3939.11163465758</v>
      </c>
      <c r="M88" s="12">
        <v>3817.57740799615</v>
      </c>
      <c r="N88" s="12">
        <v>3792.58065356637</v>
      </c>
      <c r="O88" s="47">
        <v>4203.88656761356</v>
      </c>
      <c r="P88" s="12">
        <v>542.051490952736</v>
      </c>
      <c r="Q88" s="12">
        <v>4078.4869029566</v>
      </c>
      <c r="R88" s="12">
        <v>3887.09642694363</v>
      </c>
      <c r="S88" s="12">
        <v>2763.97678801244</v>
      </c>
      <c r="T88" s="12">
        <v>3812.0</v>
      </c>
      <c r="U88" s="12">
        <v>3983.67028540323</v>
      </c>
      <c r="V88" s="7">
        <v>2664.95139181528</v>
      </c>
      <c r="W88" s="7">
        <v>3811.5489265568</v>
      </c>
    </row>
    <row r="89">
      <c r="A89" s="8">
        <v>42826.0</v>
      </c>
      <c r="B89" s="9">
        <f>IFERROR(__xludf.DUMMYFUNCTION("""COMPUTED_VALUE"""),1643.0)</f>
        <v>1643</v>
      </c>
      <c r="C89" s="12">
        <v>2189.59952185595</v>
      </c>
      <c r="D89" s="12">
        <v>859.51640150372</v>
      </c>
      <c r="E89" s="12">
        <v>330.75</v>
      </c>
      <c r="F89" s="12">
        <v>1643.10081503196</v>
      </c>
      <c r="G89" s="12">
        <v>1579.96449622542</v>
      </c>
      <c r="H89" s="12">
        <v>249016.702216705</v>
      </c>
      <c r="I89" s="12">
        <v>1335.88044844704</v>
      </c>
      <c r="J89" s="12">
        <v>2085.91330590541</v>
      </c>
      <c r="K89" s="12">
        <v>1756.21054560877</v>
      </c>
      <c r="L89" s="12">
        <v>932.373934417207</v>
      </c>
      <c r="M89" s="12">
        <v>1552.3780982599</v>
      </c>
      <c r="N89" s="12">
        <v>607.308598197523</v>
      </c>
      <c r="O89" s="47">
        <v>1794.20062180044</v>
      </c>
      <c r="P89" s="12">
        <v>389.208946627618</v>
      </c>
      <c r="Q89" s="12">
        <v>1719.32333424153</v>
      </c>
      <c r="R89" s="12">
        <v>428.43354286791</v>
      </c>
      <c r="S89" s="12">
        <v>1350.99175326382</v>
      </c>
      <c r="T89" s="12">
        <v>2058.15333333333</v>
      </c>
      <c r="U89" s="12">
        <v>1517.75403626281</v>
      </c>
      <c r="V89" s="7">
        <v>1207.44270237781</v>
      </c>
      <c r="W89" s="7">
        <v>1450.00375275446</v>
      </c>
    </row>
    <row r="90">
      <c r="A90" s="8">
        <v>42856.0</v>
      </c>
      <c r="B90" s="9">
        <f>IFERROR(__xludf.DUMMYFUNCTION("""COMPUTED_VALUE"""),2093.0)</f>
        <v>2093</v>
      </c>
      <c r="C90" s="12">
        <v>2038.35607762545</v>
      </c>
      <c r="D90" s="12">
        <v>2356.68635356249</v>
      </c>
      <c r="E90" s="12">
        <v>614.682601505088</v>
      </c>
      <c r="F90" s="12">
        <v>2176.05673840139</v>
      </c>
      <c r="G90" s="12">
        <v>2141.48959989408</v>
      </c>
      <c r="H90" s="12">
        <v>143232.437683504</v>
      </c>
      <c r="I90" s="12">
        <v>2163.30790578443</v>
      </c>
      <c r="J90" s="12">
        <v>1875.14702586742</v>
      </c>
      <c r="K90" s="12">
        <v>2099.94254852727</v>
      </c>
      <c r="L90" s="12">
        <v>2166.24689587784</v>
      </c>
      <c r="M90" s="12">
        <v>245.250271528268</v>
      </c>
      <c r="N90" s="12">
        <v>1158.83742146616</v>
      </c>
      <c r="O90" s="47">
        <v>1981.55265675111</v>
      </c>
      <c r="P90" s="12">
        <v>613.782294541941</v>
      </c>
      <c r="Q90" s="12">
        <v>2308.9350413461</v>
      </c>
      <c r="R90" s="12">
        <v>1468.91599516953</v>
      </c>
      <c r="S90" s="12">
        <v>289.780628561628</v>
      </c>
      <c r="T90" s="12">
        <v>1750.34444444444</v>
      </c>
      <c r="U90" s="12">
        <v>2495.98426617506</v>
      </c>
      <c r="V90" s="7">
        <v>1978.77574550793</v>
      </c>
      <c r="W90" s="7">
        <v>2153.51649145968</v>
      </c>
    </row>
    <row r="91">
      <c r="A91" s="8">
        <v>42887.0</v>
      </c>
      <c r="B91" s="9">
        <f>IFERROR(__xludf.DUMMYFUNCTION("""COMPUTED_VALUE"""),1277.0)</f>
        <v>1277</v>
      </c>
      <c r="C91" s="12">
        <v>1852.29133284838</v>
      </c>
      <c r="D91" s="12">
        <v>1788.01234569663</v>
      </c>
      <c r="E91" s="12">
        <v>798.839259826527</v>
      </c>
      <c r="F91" s="12">
        <v>1786.41116352785</v>
      </c>
      <c r="G91" s="12">
        <v>4636.21602370362</v>
      </c>
      <c r="H91" s="12">
        <v>54680.2723621265</v>
      </c>
      <c r="I91" s="12">
        <v>1329.43497504202</v>
      </c>
      <c r="J91" s="12">
        <v>1109.5512552281</v>
      </c>
      <c r="K91" s="12">
        <v>1299.10087441797</v>
      </c>
      <c r="L91" s="12">
        <v>1886.22038175287</v>
      </c>
      <c r="M91" s="12">
        <v>1640.95986168284</v>
      </c>
      <c r="N91" s="12">
        <v>1489.30431568764</v>
      </c>
      <c r="O91" s="47">
        <v>1202.88121215377</v>
      </c>
      <c r="P91" s="12">
        <v>211.225861626607</v>
      </c>
      <c r="Q91" s="12">
        <v>1442.51851902826</v>
      </c>
      <c r="R91" s="12">
        <v>1563.0601657804</v>
      </c>
      <c r="S91" s="12">
        <v>-1509.43433888112</v>
      </c>
      <c r="T91" s="12">
        <v>1270.21703703704</v>
      </c>
      <c r="U91" s="12">
        <v>1273.10724102156</v>
      </c>
      <c r="V91" s="7">
        <v>1284.38107927935</v>
      </c>
      <c r="W91" s="7">
        <v>1198.72132979642</v>
      </c>
    </row>
    <row r="92">
      <c r="A92" s="8">
        <v>42917.0</v>
      </c>
      <c r="B92" s="56">
        <f>IFERROR(__xludf.DUMMYFUNCTION("""COMPUTED_VALUE"""),1304.0)</f>
        <v>1304</v>
      </c>
      <c r="C92" s="12">
        <v>6262.18403935352</v>
      </c>
      <c r="D92" s="12">
        <v>6052.71162747158</v>
      </c>
      <c r="E92" s="12">
        <v>665.25</v>
      </c>
      <c r="F92" s="12">
        <v>1304.02516334969</v>
      </c>
      <c r="G92" s="12">
        <v>8890.83807727505</v>
      </c>
      <c r="H92" s="12">
        <v>91561.2384406409</v>
      </c>
      <c r="I92" s="12">
        <v>6436.51418282859</v>
      </c>
      <c r="J92" s="12">
        <v>1000.17352349899</v>
      </c>
      <c r="K92" s="12">
        <v>1296.74933848972</v>
      </c>
      <c r="L92" s="12">
        <v>1383.69662007958</v>
      </c>
      <c r="M92" s="12">
        <v>49039.1650557418</v>
      </c>
      <c r="N92" s="12">
        <v>2899.33749484602</v>
      </c>
      <c r="O92" s="47">
        <v>11806.8173873839</v>
      </c>
      <c r="P92" s="12">
        <v>244.811061494821</v>
      </c>
      <c r="Q92" s="12">
        <v>12018.2439460468</v>
      </c>
      <c r="R92" s="12">
        <v>17493.4125495853</v>
      </c>
      <c r="S92" s="12">
        <v>-1051.88847354315</v>
      </c>
      <c r="T92" s="12">
        <v>1142.95925925926</v>
      </c>
      <c r="U92" s="12">
        <v>11109.080739401</v>
      </c>
      <c r="V92" s="7">
        <v>1161.61496721273</v>
      </c>
      <c r="W92" s="7">
        <v>820.603974109888</v>
      </c>
    </row>
    <row r="93">
      <c r="A93" s="8">
        <v>42948.0</v>
      </c>
      <c r="B93" s="9">
        <f>IFERROR(__xludf.DUMMYFUNCTION("""COMPUTED_VALUE"""),3435.0)</f>
        <v>3435</v>
      </c>
      <c r="C93" s="12">
        <v>11737.9217021303</v>
      </c>
      <c r="D93" s="12">
        <v>6067.54011741679</v>
      </c>
      <c r="E93" s="12">
        <v>2705.28070423576</v>
      </c>
      <c r="F93" s="12">
        <v>3385.28198702077</v>
      </c>
      <c r="G93" s="12">
        <v>12053.3710834395</v>
      </c>
      <c r="H93" s="12">
        <v>79476.6925711982</v>
      </c>
      <c r="I93" s="12">
        <v>6598.1015580433</v>
      </c>
      <c r="J93" s="12">
        <v>3037.64057686686</v>
      </c>
      <c r="K93" s="12">
        <v>3435.27668066829</v>
      </c>
      <c r="L93" s="12">
        <v>3261.63774140023</v>
      </c>
      <c r="M93" s="12">
        <v>4932.20337229887</v>
      </c>
      <c r="N93" s="12">
        <v>372.221729837864</v>
      </c>
      <c r="O93" s="47">
        <v>2097.6684607737</v>
      </c>
      <c r="P93" s="12">
        <v>486.859208036486</v>
      </c>
      <c r="Q93" s="12">
        <v>1020.88788814801</v>
      </c>
      <c r="R93" s="12">
        <v>2851.85566681409</v>
      </c>
      <c r="S93" s="12">
        <v>202.965656236072</v>
      </c>
      <c r="T93" s="12">
        <v>1209.81740740741</v>
      </c>
      <c r="U93" s="12">
        <v>1442.34698300457</v>
      </c>
      <c r="V93" s="7">
        <v>3484.82510274847</v>
      </c>
      <c r="W93" s="7">
        <v>3273.98736851697</v>
      </c>
    </row>
    <row r="94">
      <c r="A94" s="14">
        <v>42979.0</v>
      </c>
      <c r="B94" s="9">
        <f>IFERROR(__xludf.DUMMYFUNCTION("""COMPUTED_VALUE"""),10306.0)</f>
        <v>10306</v>
      </c>
      <c r="C94" s="12">
        <v>12849.1147833957</v>
      </c>
      <c r="D94" s="12">
        <v>12973.158462364</v>
      </c>
      <c r="E94" s="12">
        <v>10306.7835529118</v>
      </c>
      <c r="F94" s="12">
        <v>10305.898844829</v>
      </c>
      <c r="G94" s="12">
        <v>11326.3650862036</v>
      </c>
      <c r="H94" s="12">
        <v>9131.04141768225</v>
      </c>
      <c r="I94" s="12">
        <v>13448.996642621</v>
      </c>
      <c r="J94" s="12">
        <v>6994.19957962943</v>
      </c>
      <c r="K94" s="12">
        <v>10304.9703552576</v>
      </c>
      <c r="L94" s="12">
        <v>10306.8487008702</v>
      </c>
      <c r="M94" s="12">
        <v>63995.4172896765</v>
      </c>
      <c r="N94" s="12">
        <v>566.952375678798</v>
      </c>
      <c r="O94" s="47">
        <v>1624.58507765291</v>
      </c>
      <c r="P94" s="12">
        <v>377.135824067679</v>
      </c>
      <c r="Q94" s="12">
        <v>701.273482424241</v>
      </c>
      <c r="R94" s="12">
        <v>2176.00015784164</v>
      </c>
      <c r="S94" s="12">
        <v>452.543242477503</v>
      </c>
      <c r="T94" s="12">
        <v>733.873333333333</v>
      </c>
      <c r="U94" s="12">
        <v>1190.85112764613</v>
      </c>
      <c r="V94" s="7">
        <v>10213.7463365415</v>
      </c>
      <c r="W94" s="7">
        <v>10282.7312828199</v>
      </c>
    </row>
    <row r="95">
      <c r="A95" s="14">
        <v>43009.0</v>
      </c>
      <c r="B95" s="9">
        <f>IFERROR(__xludf.DUMMYFUNCTION("""COMPUTED_VALUE"""),1359.0)</f>
        <v>1359</v>
      </c>
      <c r="C95" s="12">
        <v>13898.7681101877</v>
      </c>
      <c r="D95" s="12">
        <v>7533.28620148216</v>
      </c>
      <c r="E95" s="12">
        <v>3426.47054640393</v>
      </c>
      <c r="F95" s="12">
        <v>1606.71861653413</v>
      </c>
      <c r="G95" s="12">
        <v>15415.8861927472</v>
      </c>
      <c r="H95" s="12">
        <v>16749.529641128</v>
      </c>
      <c r="I95" s="12">
        <v>8138.5674305855</v>
      </c>
      <c r="J95" s="12">
        <v>9640.10037674109</v>
      </c>
      <c r="K95" s="12">
        <v>2469.83250557127</v>
      </c>
      <c r="L95" s="12">
        <v>1296.39982960287</v>
      </c>
      <c r="M95" s="12">
        <v>1760.95533760377</v>
      </c>
      <c r="N95" s="12">
        <v>887.743336380879</v>
      </c>
      <c r="O95" s="47">
        <v>1705.36678496587</v>
      </c>
      <c r="P95" s="12">
        <v>3011.3346649741</v>
      </c>
      <c r="Q95" s="12">
        <v>178.63209479635</v>
      </c>
      <c r="R95" s="12">
        <v>3088.65498528281</v>
      </c>
      <c r="S95" s="12">
        <v>511.64363337189</v>
      </c>
      <c r="T95" s="12">
        <v>7110.81481481481</v>
      </c>
      <c r="U95" s="12">
        <v>1355.3860144902</v>
      </c>
      <c r="V95" s="7">
        <v>1155.21514633479</v>
      </c>
      <c r="W95" s="7">
        <v>1062.53459873281</v>
      </c>
    </row>
    <row r="96">
      <c r="A96" s="14">
        <v>43040.0</v>
      </c>
      <c r="B96" s="9">
        <f>IFERROR(__xludf.DUMMYFUNCTION("""COMPUTED_VALUE"""),754.0)</f>
        <v>754</v>
      </c>
      <c r="C96" s="12">
        <v>7.804764174943E7</v>
      </c>
      <c r="D96" s="12">
        <v>6906.11724905238</v>
      </c>
      <c r="E96" s="12">
        <v>6231.54343690387</v>
      </c>
      <c r="F96" s="12">
        <v>2665.63358909853</v>
      </c>
      <c r="G96" s="12">
        <v>14058.4570058465</v>
      </c>
      <c r="H96" s="12">
        <v>2843.95840498275</v>
      </c>
      <c r="I96" s="12">
        <v>7842.22648828416</v>
      </c>
      <c r="J96" s="12">
        <v>10942.4160041974</v>
      </c>
      <c r="K96" s="12">
        <v>4764.014632484</v>
      </c>
      <c r="L96" s="12">
        <v>2322.13266004108</v>
      </c>
      <c r="M96" s="12">
        <v>1430.24470581594</v>
      </c>
      <c r="N96" s="12">
        <v>3558.68872478584</v>
      </c>
      <c r="O96" s="47">
        <v>6539.64322334533</v>
      </c>
      <c r="P96" s="12">
        <v>335.696670477183</v>
      </c>
      <c r="Q96" s="12">
        <v>940.531871325348</v>
      </c>
      <c r="R96" s="12">
        <v>3856.54966427607</v>
      </c>
      <c r="S96" s="12">
        <v>1695.54363337189</v>
      </c>
      <c r="T96" s="12">
        <v>6713.28888888889</v>
      </c>
      <c r="U96" s="12">
        <v>1554.03958437825</v>
      </c>
      <c r="V96" s="7">
        <v>1288.11243733738</v>
      </c>
      <c r="W96" s="7">
        <v>884.253018474703</v>
      </c>
    </row>
    <row r="97">
      <c r="A97" s="14">
        <v>43070.0</v>
      </c>
      <c r="B97" s="9">
        <f>IFERROR(__xludf.DUMMYFUNCTION("""COMPUTED_VALUE"""),1428.0)</f>
        <v>1428</v>
      </c>
      <c r="C97" s="12">
        <v>12218.3827080489</v>
      </c>
      <c r="D97" s="12">
        <v>6876.83420719241</v>
      </c>
      <c r="E97" s="12">
        <v>856.149240607988</v>
      </c>
      <c r="F97" s="12">
        <v>10739.7175706118</v>
      </c>
      <c r="G97" s="12">
        <v>12256.0356313718</v>
      </c>
      <c r="H97" s="12">
        <v>2274.74607721391</v>
      </c>
      <c r="I97" s="12">
        <v>9115.94831102821</v>
      </c>
      <c r="J97" s="12">
        <v>9341.20826552161</v>
      </c>
      <c r="K97" s="12">
        <v>3173.03647234642</v>
      </c>
      <c r="L97" s="12">
        <v>8645.76233194651</v>
      </c>
      <c r="M97" s="12">
        <v>2271.4387647367</v>
      </c>
      <c r="N97" s="12">
        <v>1171.656175629</v>
      </c>
      <c r="O97" s="47">
        <v>8039.99234070073</v>
      </c>
      <c r="P97" s="12">
        <v>246.188804187698</v>
      </c>
      <c r="Q97" s="12">
        <v>190.677946840204</v>
      </c>
      <c r="R97" s="12">
        <v>16880.452638403</v>
      </c>
      <c r="S97" s="12">
        <v>511.04363337189</v>
      </c>
      <c r="T97" s="12">
        <v>3569.59</v>
      </c>
      <c r="U97" s="12">
        <v>2969.43629873799</v>
      </c>
      <c r="V97" s="7">
        <v>1253.53686061066</v>
      </c>
      <c r="W97" s="7">
        <v>1063.40285784018</v>
      </c>
    </row>
    <row r="98">
      <c r="A98" s="14">
        <v>43101.0</v>
      </c>
      <c r="B98" s="9">
        <f>IFERROR(__xludf.DUMMYFUNCTION("""COMPUTED_VALUE"""),1249.0)</f>
        <v>1249</v>
      </c>
      <c r="C98" s="12">
        <v>11387.5817830318</v>
      </c>
      <c r="D98" s="12">
        <v>21565.2510108174</v>
      </c>
      <c r="E98" s="12">
        <v>272.206872363996</v>
      </c>
      <c r="F98" s="12">
        <v>1556.05147025134</v>
      </c>
      <c r="G98" s="12">
        <v>73005.2804757261</v>
      </c>
      <c r="H98" s="12">
        <v>1893.09416872098</v>
      </c>
      <c r="I98" s="12">
        <v>22332.9112918861</v>
      </c>
      <c r="J98" s="12">
        <v>80556.0</v>
      </c>
      <c r="K98" s="12">
        <v>7850.90283528681</v>
      </c>
      <c r="L98" s="12">
        <v>1295.0910799236</v>
      </c>
      <c r="M98" s="12">
        <v>97486.4781821532</v>
      </c>
      <c r="N98" s="12">
        <v>192.708149255221</v>
      </c>
      <c r="O98" s="47">
        <v>1887.59756213069</v>
      </c>
      <c r="P98" s="12">
        <v>228.932982044007</v>
      </c>
      <c r="Q98" s="12">
        <v>494.36734389445</v>
      </c>
      <c r="R98" s="12">
        <v>3854.93623579148</v>
      </c>
      <c r="S98" s="12">
        <v>469.756966705224</v>
      </c>
      <c r="T98" s="12">
        <v>1541.0</v>
      </c>
      <c r="U98" s="12">
        <v>825.36559278909</v>
      </c>
      <c r="V98" s="7">
        <v>1810.07434551724</v>
      </c>
      <c r="W98" s="7">
        <v>21612.3063161582</v>
      </c>
    </row>
    <row r="99">
      <c r="A99" s="14">
        <v>43132.0</v>
      </c>
      <c r="B99" s="67">
        <f>IFERROR(__xludf.DUMMYFUNCTION("""COMPUTED_VALUE"""),3756.0)</f>
        <v>3756</v>
      </c>
      <c r="C99" s="12">
        <v>13920.452226115</v>
      </c>
      <c r="D99" s="12">
        <v>6507.01685754676</v>
      </c>
      <c r="E99" s="12">
        <v>34688.5688301254</v>
      </c>
      <c r="F99" s="12">
        <v>1960.22950174672</v>
      </c>
      <c r="G99" s="12">
        <v>14764.9329533575</v>
      </c>
      <c r="H99" s="12">
        <v>664.11846584099</v>
      </c>
      <c r="I99" s="12">
        <v>7085.79884322445</v>
      </c>
      <c r="J99" s="12">
        <v>2519.0</v>
      </c>
      <c r="K99" s="12">
        <v>15222.8763940685</v>
      </c>
      <c r="L99" s="12">
        <v>1668.78844369374</v>
      </c>
      <c r="M99" s="12">
        <v>3466.50234678347</v>
      </c>
      <c r="N99" s="12">
        <v>276.777289174952</v>
      </c>
      <c r="O99" s="47">
        <v>519.999192838249</v>
      </c>
      <c r="P99" s="12">
        <v>183.617608135714</v>
      </c>
      <c r="Q99" s="12">
        <v>904.099706534857</v>
      </c>
      <c r="R99" s="12">
        <v>4433.17885797984</v>
      </c>
      <c r="S99" s="12">
        <v>444.904162052267</v>
      </c>
      <c r="T99" s="12">
        <v>776.887407407407</v>
      </c>
      <c r="U99" s="12">
        <v>625.798051397467</v>
      </c>
      <c r="V99" s="7">
        <v>4628.14300745133</v>
      </c>
      <c r="W99" s="7">
        <v>752.357146709882</v>
      </c>
    </row>
    <row r="100">
      <c r="A100" s="15">
        <v>43160.0</v>
      </c>
      <c r="B100" s="9">
        <f>IFERROR(__xludf.DUMMYFUNCTION("""COMPUTED_VALUE"""),1516.0)</f>
        <v>1516</v>
      </c>
      <c r="C100" s="12">
        <v>10356.4732296808</v>
      </c>
      <c r="D100" s="12">
        <v>6137.03779351851</v>
      </c>
      <c r="E100" s="12">
        <v>21965.5487148184</v>
      </c>
      <c r="F100" s="12">
        <v>2078.20571892283</v>
      </c>
      <c r="G100" s="12">
        <v>11583.9558634305</v>
      </c>
      <c r="H100" s="12">
        <v>325.95799094109</v>
      </c>
      <c r="I100" s="12">
        <v>6664.80253739497</v>
      </c>
      <c r="J100" s="12">
        <v>1990.3086675143</v>
      </c>
      <c r="K100" s="12">
        <v>9742.06220875227</v>
      </c>
      <c r="L100" s="12">
        <v>1736.21653104579</v>
      </c>
      <c r="M100" s="12">
        <v>25291.2560504985</v>
      </c>
      <c r="N100" s="12">
        <v>409.273383137787</v>
      </c>
      <c r="O100" s="47">
        <v>3675.6250834556</v>
      </c>
      <c r="P100" s="12">
        <v>2175.10529262597</v>
      </c>
      <c r="Q100" s="12">
        <v>650.462575220358</v>
      </c>
      <c r="R100" s="12">
        <v>4290.61229452627</v>
      </c>
      <c r="S100" s="12">
        <v>905.621362538122</v>
      </c>
      <c r="T100" s="12">
        <v>1654.17777777778</v>
      </c>
      <c r="U100" s="12">
        <v>783.29373579249</v>
      </c>
      <c r="V100" s="7">
        <v>6895.58169780556</v>
      </c>
      <c r="W100" s="7">
        <v>1383.21181328792</v>
      </c>
    </row>
    <row r="101">
      <c r="A101" s="15">
        <v>43191.0</v>
      </c>
      <c r="B101" s="9">
        <f>IFERROR(__xludf.DUMMYFUNCTION("""COMPUTED_VALUE"""),2064.0)</f>
        <v>2064</v>
      </c>
      <c r="C101" s="12">
        <v>11210.0471233038</v>
      </c>
      <c r="D101" s="12">
        <v>7072.60379280867</v>
      </c>
      <c r="E101" s="12">
        <v>7446.91343040232</v>
      </c>
      <c r="F101" s="12">
        <v>2795.85636186987</v>
      </c>
      <c r="G101" s="12">
        <v>13613.0920058465</v>
      </c>
      <c r="H101" s="12">
        <v>241.837122520016</v>
      </c>
      <c r="I101" s="12">
        <v>9193.83717107706</v>
      </c>
      <c r="J101" s="12">
        <v>2184.62026282207</v>
      </c>
      <c r="K101" s="12">
        <v>9142.14852680969</v>
      </c>
      <c r="L101" s="12">
        <v>2490.92424982105</v>
      </c>
      <c r="M101" s="12">
        <v>2199.13433014988</v>
      </c>
      <c r="N101" s="12">
        <v>609.238198551033</v>
      </c>
      <c r="O101" s="47">
        <v>3821.06891538535</v>
      </c>
      <c r="P101" s="12">
        <v>206.184700918433</v>
      </c>
      <c r="Q101" s="12">
        <v>2460.59268272528</v>
      </c>
      <c r="R101" s="12">
        <v>5916.74419019739</v>
      </c>
      <c r="S101" s="12">
        <v>933.456948689171</v>
      </c>
      <c r="T101" s="12">
        <v>2989.2</v>
      </c>
      <c r="U101" s="12">
        <v>540.927559840707</v>
      </c>
      <c r="V101" s="7">
        <v>6428.97391819811</v>
      </c>
      <c r="W101" s="7">
        <v>468.694857991878</v>
      </c>
    </row>
    <row r="102">
      <c r="A102" s="48">
        <v>43221.0</v>
      </c>
      <c r="B102" s="9">
        <f>IFERROR(__xludf.DUMMYFUNCTION("""COMPUTED_VALUE"""),1867.0)</f>
        <v>1867</v>
      </c>
      <c r="C102" s="12">
        <v>14049.8161244485</v>
      </c>
      <c r="D102" s="12">
        <v>11495.5379662507</v>
      </c>
      <c r="E102" s="12">
        <v>1222.66246598765</v>
      </c>
      <c r="F102" s="12">
        <v>-8534.813099761</v>
      </c>
      <c r="G102" s="12">
        <v>7525.08638084648</v>
      </c>
      <c r="H102" s="12">
        <v>1189.09968099641</v>
      </c>
      <c r="I102" s="12">
        <v>6601.32446473298</v>
      </c>
      <c r="J102" s="12">
        <v>1240.07492261805</v>
      </c>
      <c r="K102" s="12">
        <v>4290.35915374815</v>
      </c>
      <c r="L102" s="12">
        <v>-8189.89218687485</v>
      </c>
      <c r="M102" s="12">
        <v>5575.68137122618</v>
      </c>
      <c r="N102" s="12">
        <v>3359.19887806167</v>
      </c>
      <c r="O102" s="47">
        <v>6506.20319932169</v>
      </c>
      <c r="P102" s="12">
        <v>397.065304085792</v>
      </c>
      <c r="Q102" s="12">
        <v>5492.49998693203</v>
      </c>
      <c r="R102" s="12">
        <v>1984.48755633323</v>
      </c>
      <c r="S102" s="12">
        <v>866.101191621811</v>
      </c>
      <c r="T102" s="12">
        <v>4857.11666666667</v>
      </c>
      <c r="U102" s="12">
        <v>382.069145304695</v>
      </c>
      <c r="V102" s="7">
        <v>5718.0855365588</v>
      </c>
      <c r="W102" s="7">
        <v>1229.50222856094</v>
      </c>
    </row>
    <row r="103">
      <c r="A103" s="15">
        <v>43252.0</v>
      </c>
      <c r="B103" s="9">
        <f>IFERROR(__xludf.DUMMYFUNCTION("""COMPUTED_VALUE"""),1852.0)</f>
        <v>1852</v>
      </c>
      <c r="C103" s="7">
        <v>50899.2514662564</v>
      </c>
      <c r="D103" s="7">
        <v>7944.87896640417</v>
      </c>
      <c r="E103" s="7">
        <v>2379.19097005635</v>
      </c>
      <c r="F103" s="7">
        <v>2475.05331324881</v>
      </c>
      <c r="G103" s="7">
        <v>8409.41053263219</v>
      </c>
      <c r="H103" s="7">
        <v>1391.87012900424</v>
      </c>
      <c r="I103" s="7">
        <v>2624.60142500575</v>
      </c>
      <c r="J103" s="7">
        <v>1191.19458597042</v>
      </c>
      <c r="K103" s="7">
        <v>18867.7350145169</v>
      </c>
      <c r="L103" s="7">
        <v>2045.03376686017</v>
      </c>
      <c r="M103" s="7">
        <v>2200.52934334423</v>
      </c>
      <c r="N103" s="7">
        <v>3780.07304592375</v>
      </c>
      <c r="O103" s="49">
        <v>2106.89760992479</v>
      </c>
      <c r="P103" s="7">
        <v>131.407728971488</v>
      </c>
      <c r="Q103" s="7">
        <v>2104.42833419661</v>
      </c>
      <c r="R103" s="7">
        <v>139.497702418809</v>
      </c>
      <c r="S103" s="7">
        <v>1146.23478575675</v>
      </c>
      <c r="T103" s="7">
        <v>14991.0</v>
      </c>
      <c r="U103" s="7">
        <v>250.306874646039</v>
      </c>
      <c r="V103" s="7">
        <v>10350.1134716893</v>
      </c>
      <c r="W103" s="7">
        <v>41653.7841591819</v>
      </c>
    </row>
    <row r="104">
      <c r="A104" s="15">
        <v>43282.0</v>
      </c>
      <c r="B104" s="9">
        <f>IFERROR(__xludf.DUMMYFUNCTION("""COMPUTED_VALUE"""),617.0)</f>
        <v>617</v>
      </c>
      <c r="C104" s="7">
        <v>12390.1973105319</v>
      </c>
      <c r="D104" s="7">
        <v>10453.5388460301</v>
      </c>
      <c r="E104" s="7">
        <v>21052.5323852073</v>
      </c>
      <c r="F104" s="7">
        <v>10582.6534695666</v>
      </c>
      <c r="G104" s="7">
        <v>8716.10066656076</v>
      </c>
      <c r="H104" s="7">
        <v>412.881766837745</v>
      </c>
      <c r="I104" s="7">
        <v>10819.5786979228</v>
      </c>
      <c r="J104" s="7">
        <v>6470.625</v>
      </c>
      <c r="K104" s="7">
        <v>9102.8643509374</v>
      </c>
      <c r="L104" s="7">
        <v>9400.94940674284</v>
      </c>
      <c r="M104" s="7">
        <v>255848.223305848</v>
      </c>
      <c r="N104" s="7">
        <v>1032.49703643148</v>
      </c>
      <c r="O104" s="49">
        <v>8400.65127240512</v>
      </c>
      <c r="P104" s="7">
        <v>7970.36201648458</v>
      </c>
      <c r="Q104" s="7">
        <v>6738.4077873431</v>
      </c>
      <c r="R104" s="7">
        <v>22831.301666382</v>
      </c>
      <c r="S104" s="7">
        <v>1527.68810241386</v>
      </c>
      <c r="T104" s="7">
        <v>3701.01777777778</v>
      </c>
      <c r="U104" s="7">
        <v>-663.786944425442</v>
      </c>
      <c r="V104" s="7">
        <v>4935.00351990068</v>
      </c>
      <c r="W104" s="7">
        <v>5533.54661770349</v>
      </c>
    </row>
    <row r="105">
      <c r="A105" s="17">
        <v>43313.0</v>
      </c>
      <c r="B105" s="9"/>
      <c r="C105" s="7">
        <v>10468.9085436699</v>
      </c>
      <c r="D105" s="7">
        <v>3348.21573840448</v>
      </c>
      <c r="E105" s="7">
        <v>776.037401578851</v>
      </c>
      <c r="F105" s="7">
        <v>2053.77069175198</v>
      </c>
      <c r="G105" s="7">
        <v>9370.59709513219</v>
      </c>
      <c r="H105" s="7">
        <v>348.167103301936</v>
      </c>
      <c r="I105" s="7">
        <v>3435.46300385375</v>
      </c>
      <c r="J105" s="7">
        <v>1604.925</v>
      </c>
      <c r="K105" s="7">
        <v>5197.03593907294</v>
      </c>
      <c r="L105" s="7">
        <v>976.652066825025</v>
      </c>
      <c r="M105" s="7">
        <v>14407.958418918</v>
      </c>
      <c r="N105" s="7">
        <v>273.669405006197</v>
      </c>
      <c r="O105" s="49">
        <v>1922.7202007158</v>
      </c>
      <c r="P105" s="7">
        <v>85.8971680317458</v>
      </c>
      <c r="Q105" s="7">
        <v>425.231413037575</v>
      </c>
      <c r="R105" s="7">
        <v>-317.461184564997</v>
      </c>
      <c r="S105" s="7">
        <v>1752.14203623825</v>
      </c>
      <c r="T105" s="7">
        <v>2229633.39199685</v>
      </c>
      <c r="U105" s="7">
        <v>31441.1888988593</v>
      </c>
      <c r="V105" s="7">
        <v>9373.89143781634</v>
      </c>
      <c r="W105" s="7">
        <v>2937.8165344475</v>
      </c>
    </row>
    <row r="106">
      <c r="A106" s="15">
        <v>43344.0</v>
      </c>
      <c r="B106" s="9"/>
      <c r="O106" s="50"/>
    </row>
    <row r="107">
      <c r="A107" s="15">
        <v>43374.0</v>
      </c>
      <c r="B107" s="18"/>
      <c r="O107" s="50"/>
    </row>
    <row r="108">
      <c r="A108" s="15">
        <v>43405.0</v>
      </c>
      <c r="B108" s="18"/>
      <c r="O108" s="50"/>
    </row>
    <row r="109">
      <c r="B109" s="18"/>
      <c r="O109" s="50"/>
    </row>
    <row r="110">
      <c r="B110" s="18"/>
      <c r="O110" s="50"/>
    </row>
    <row r="111">
      <c r="B111" s="18"/>
      <c r="O111" s="50"/>
    </row>
    <row r="112">
      <c r="B112" s="18"/>
      <c r="O112" s="50"/>
    </row>
    <row r="113">
      <c r="B113" s="18"/>
      <c r="O113" s="50"/>
    </row>
    <row r="114">
      <c r="B114" s="18"/>
      <c r="O114" s="50"/>
    </row>
    <row r="115">
      <c r="B115" s="18"/>
      <c r="O115" s="50"/>
    </row>
    <row r="116">
      <c r="B116" s="18"/>
      <c r="O116" s="50"/>
    </row>
    <row r="117">
      <c r="B117" s="18"/>
      <c r="O117" s="50"/>
    </row>
    <row r="118">
      <c r="B118" s="18"/>
      <c r="O118" s="50"/>
    </row>
    <row r="119">
      <c r="B119" s="18"/>
      <c r="O119" s="50"/>
    </row>
    <row r="120">
      <c r="B120" s="18"/>
      <c r="O120" s="50"/>
    </row>
    <row r="121">
      <c r="B121" s="18"/>
      <c r="O121" s="50"/>
    </row>
    <row r="122">
      <c r="B122" s="18"/>
      <c r="O122" s="50"/>
    </row>
    <row r="123">
      <c r="B123" s="18"/>
      <c r="O123" s="50"/>
    </row>
    <row r="124">
      <c r="B124" s="18"/>
      <c r="O124" s="50"/>
    </row>
    <row r="125">
      <c r="B125" s="18"/>
      <c r="O125" s="50"/>
    </row>
    <row r="126">
      <c r="B126" s="18"/>
      <c r="O126" s="50"/>
    </row>
    <row r="127">
      <c r="B127" s="18"/>
      <c r="O127" s="50"/>
    </row>
    <row r="128">
      <c r="B128" s="18"/>
      <c r="O128" s="50"/>
    </row>
    <row r="129">
      <c r="B129" s="18"/>
      <c r="O129" s="50"/>
    </row>
    <row r="130">
      <c r="B130" s="18"/>
      <c r="O130" s="50"/>
    </row>
    <row r="131">
      <c r="B131" s="18"/>
      <c r="O131" s="50"/>
    </row>
    <row r="132">
      <c r="B132" s="18"/>
      <c r="O132" s="50"/>
    </row>
    <row r="133">
      <c r="B133" s="18"/>
      <c r="O133" s="50"/>
    </row>
    <row r="134">
      <c r="B134" s="18"/>
      <c r="O134" s="50"/>
    </row>
    <row r="135">
      <c r="B135" s="18"/>
      <c r="O135" s="50"/>
    </row>
    <row r="136">
      <c r="B136" s="18"/>
      <c r="O136" s="50"/>
    </row>
    <row r="137">
      <c r="B137" s="18"/>
      <c r="O137" s="50"/>
    </row>
    <row r="138">
      <c r="B138" s="18"/>
      <c r="O138" s="50"/>
    </row>
    <row r="139">
      <c r="B139" s="18"/>
      <c r="O139" s="50"/>
    </row>
    <row r="140">
      <c r="B140" s="18"/>
      <c r="O140" s="50"/>
    </row>
    <row r="141">
      <c r="B141" s="18"/>
      <c r="O141" s="50"/>
    </row>
    <row r="142">
      <c r="B142" s="18"/>
      <c r="O142" s="50"/>
    </row>
    <row r="143">
      <c r="B143" s="18"/>
      <c r="O143" s="50"/>
    </row>
    <row r="144">
      <c r="B144" s="18"/>
      <c r="O144" s="50"/>
    </row>
    <row r="145">
      <c r="B145" s="18"/>
      <c r="O145" s="50"/>
    </row>
    <row r="146">
      <c r="B146" s="18"/>
      <c r="O146" s="50"/>
    </row>
    <row r="147">
      <c r="B147" s="18"/>
      <c r="O147" s="50"/>
    </row>
    <row r="148">
      <c r="B148" s="18"/>
      <c r="O148" s="50"/>
    </row>
    <row r="149">
      <c r="B149" s="18"/>
      <c r="O149" s="50"/>
    </row>
    <row r="150">
      <c r="B150" s="18"/>
      <c r="O150" s="50"/>
    </row>
    <row r="151">
      <c r="B151" s="18"/>
      <c r="O151" s="50"/>
    </row>
    <row r="152">
      <c r="B152" s="18"/>
      <c r="O152" s="50"/>
    </row>
    <row r="153">
      <c r="B153" s="18"/>
      <c r="O153" s="50"/>
    </row>
    <row r="154">
      <c r="B154" s="18"/>
      <c r="O154" s="50"/>
    </row>
    <row r="155">
      <c r="B155" s="18"/>
      <c r="O155" s="50"/>
    </row>
    <row r="156">
      <c r="B156" s="18"/>
      <c r="O156" s="50"/>
    </row>
    <row r="157">
      <c r="B157" s="18"/>
      <c r="O157" s="50"/>
    </row>
    <row r="158">
      <c r="B158" s="18"/>
      <c r="O158" s="50"/>
    </row>
    <row r="159">
      <c r="B159" s="18"/>
      <c r="O159" s="50"/>
    </row>
    <row r="160">
      <c r="B160" s="18"/>
      <c r="O160" s="50"/>
    </row>
    <row r="161">
      <c r="B161" s="18"/>
      <c r="O161" s="50"/>
    </row>
    <row r="162">
      <c r="B162" s="18"/>
      <c r="O162" s="50"/>
    </row>
    <row r="163">
      <c r="B163" s="18"/>
      <c r="O163" s="50"/>
    </row>
    <row r="164">
      <c r="B164" s="18"/>
      <c r="O164" s="50"/>
    </row>
    <row r="165">
      <c r="B165" s="18"/>
      <c r="O165" s="50"/>
    </row>
    <row r="166">
      <c r="B166" s="18"/>
      <c r="O166" s="50"/>
    </row>
    <row r="167">
      <c r="B167" s="18"/>
      <c r="O167" s="50"/>
    </row>
    <row r="168">
      <c r="B168" s="18"/>
      <c r="O168" s="50"/>
    </row>
    <row r="169">
      <c r="B169" s="18"/>
      <c r="O169" s="50"/>
    </row>
    <row r="170">
      <c r="B170" s="18"/>
      <c r="O170" s="50"/>
    </row>
    <row r="171">
      <c r="B171" s="18"/>
      <c r="O171" s="50"/>
    </row>
    <row r="172">
      <c r="B172" s="18"/>
      <c r="O172" s="50"/>
    </row>
    <row r="173">
      <c r="B173" s="18"/>
      <c r="O173" s="50"/>
    </row>
    <row r="174">
      <c r="B174" s="18"/>
      <c r="O174" s="50"/>
    </row>
    <row r="175">
      <c r="B175" s="18"/>
      <c r="O175" s="50"/>
    </row>
    <row r="176">
      <c r="B176" s="18"/>
      <c r="O176" s="50"/>
    </row>
    <row r="177">
      <c r="B177" s="18"/>
      <c r="O177" s="50"/>
    </row>
    <row r="178">
      <c r="B178" s="18"/>
      <c r="O178" s="50"/>
    </row>
    <row r="179">
      <c r="B179" s="18"/>
      <c r="O179" s="50"/>
    </row>
    <row r="180">
      <c r="B180" s="18"/>
      <c r="O180" s="50"/>
    </row>
    <row r="181">
      <c r="B181" s="18"/>
      <c r="O181" s="50"/>
    </row>
    <row r="182">
      <c r="B182" s="18"/>
      <c r="O182" s="50"/>
    </row>
    <row r="183">
      <c r="B183" s="18"/>
      <c r="O183" s="50"/>
    </row>
    <row r="184">
      <c r="B184" s="18"/>
      <c r="O184" s="50"/>
    </row>
    <row r="185">
      <c r="B185" s="18"/>
      <c r="O185" s="50"/>
    </row>
    <row r="186">
      <c r="B186" s="18"/>
      <c r="O186" s="50"/>
    </row>
    <row r="187">
      <c r="B187" s="18"/>
      <c r="O187" s="50"/>
    </row>
    <row r="188">
      <c r="B188" s="18"/>
      <c r="O188" s="50"/>
    </row>
    <row r="189">
      <c r="B189" s="18"/>
      <c r="O189" s="50"/>
    </row>
    <row r="190">
      <c r="B190" s="18"/>
      <c r="O190" s="50"/>
    </row>
    <row r="191">
      <c r="B191" s="18"/>
      <c r="O191" s="50"/>
    </row>
    <row r="192">
      <c r="B192" s="18"/>
      <c r="O192" s="50"/>
    </row>
    <row r="193">
      <c r="B193" s="18"/>
      <c r="O193" s="50"/>
    </row>
    <row r="194">
      <c r="B194" s="18"/>
      <c r="O194" s="50"/>
    </row>
    <row r="195">
      <c r="B195" s="18"/>
      <c r="O195" s="50"/>
    </row>
    <row r="196">
      <c r="B196" s="18"/>
      <c r="O196" s="50"/>
    </row>
    <row r="197">
      <c r="B197" s="18"/>
      <c r="O197" s="50"/>
    </row>
    <row r="198">
      <c r="B198" s="18"/>
      <c r="O198" s="50"/>
    </row>
    <row r="199">
      <c r="B199" s="18"/>
      <c r="O199" s="50"/>
    </row>
    <row r="200">
      <c r="B200" s="18"/>
      <c r="O200" s="50"/>
    </row>
    <row r="201">
      <c r="B201" s="18"/>
      <c r="O201" s="50"/>
    </row>
    <row r="202">
      <c r="B202" s="18"/>
      <c r="O202" s="50"/>
    </row>
    <row r="203">
      <c r="B203" s="18"/>
      <c r="O203" s="50"/>
    </row>
    <row r="204">
      <c r="B204" s="18"/>
      <c r="O204" s="50"/>
    </row>
    <row r="205">
      <c r="B205" s="18"/>
      <c r="O205" s="50"/>
    </row>
    <row r="206">
      <c r="B206" s="18"/>
      <c r="O206" s="50"/>
    </row>
    <row r="207">
      <c r="B207" s="18"/>
      <c r="O207" s="50"/>
    </row>
    <row r="208">
      <c r="B208" s="18"/>
      <c r="O208" s="50"/>
    </row>
    <row r="209">
      <c r="B209" s="18"/>
      <c r="O209" s="50"/>
    </row>
    <row r="210">
      <c r="B210" s="18"/>
      <c r="O210" s="50"/>
    </row>
    <row r="211">
      <c r="B211" s="18"/>
      <c r="O211" s="50"/>
    </row>
    <row r="212">
      <c r="B212" s="18"/>
      <c r="O212" s="50"/>
    </row>
    <row r="213">
      <c r="B213" s="18"/>
      <c r="O213" s="50"/>
    </row>
    <row r="214">
      <c r="B214" s="18"/>
      <c r="O214" s="50"/>
    </row>
    <row r="215">
      <c r="B215" s="18"/>
      <c r="O215" s="50"/>
    </row>
    <row r="216">
      <c r="B216" s="18"/>
      <c r="O216" s="50"/>
    </row>
    <row r="217">
      <c r="B217" s="18"/>
      <c r="O217" s="50"/>
    </row>
    <row r="218">
      <c r="B218" s="18"/>
      <c r="O218" s="50"/>
    </row>
    <row r="219">
      <c r="B219" s="18"/>
      <c r="O219" s="50"/>
    </row>
    <row r="220">
      <c r="B220" s="18"/>
      <c r="O220" s="50"/>
    </row>
    <row r="221">
      <c r="B221" s="18"/>
      <c r="O221" s="50"/>
    </row>
    <row r="222">
      <c r="B222" s="18"/>
      <c r="O222" s="50"/>
    </row>
    <row r="223">
      <c r="B223" s="18"/>
      <c r="O223" s="50"/>
    </row>
    <row r="224">
      <c r="B224" s="18"/>
      <c r="O224" s="50"/>
    </row>
    <row r="225">
      <c r="B225" s="18"/>
      <c r="O225" s="50"/>
    </row>
    <row r="226">
      <c r="B226" s="18"/>
      <c r="O226" s="50"/>
    </row>
    <row r="227">
      <c r="B227" s="18"/>
      <c r="O227" s="50"/>
    </row>
    <row r="228">
      <c r="B228" s="18"/>
      <c r="O228" s="50"/>
    </row>
    <row r="229">
      <c r="B229" s="18"/>
      <c r="O229" s="50"/>
    </row>
    <row r="230">
      <c r="B230" s="18"/>
      <c r="O230" s="50"/>
    </row>
    <row r="231">
      <c r="B231" s="18"/>
      <c r="O231" s="50"/>
    </row>
    <row r="232">
      <c r="B232" s="18"/>
      <c r="O232" s="50"/>
    </row>
    <row r="233">
      <c r="B233" s="18"/>
      <c r="O233" s="50"/>
    </row>
    <row r="234">
      <c r="B234" s="18"/>
      <c r="O234" s="50"/>
    </row>
    <row r="235">
      <c r="B235" s="18"/>
      <c r="O235" s="50"/>
    </row>
    <row r="236">
      <c r="B236" s="18"/>
      <c r="O236" s="50"/>
    </row>
    <row r="237">
      <c r="B237" s="18"/>
      <c r="O237" s="50"/>
    </row>
    <row r="238">
      <c r="B238" s="18"/>
      <c r="O238" s="50"/>
    </row>
    <row r="239">
      <c r="B239" s="18"/>
      <c r="O239" s="50"/>
    </row>
    <row r="240">
      <c r="B240" s="18"/>
      <c r="O240" s="50"/>
    </row>
    <row r="241">
      <c r="B241" s="18"/>
      <c r="O241" s="50"/>
    </row>
    <row r="242">
      <c r="B242" s="18"/>
      <c r="O242" s="50"/>
    </row>
    <row r="243">
      <c r="B243" s="18"/>
      <c r="O243" s="50"/>
    </row>
    <row r="244">
      <c r="B244" s="18"/>
      <c r="O244" s="50"/>
    </row>
    <row r="245">
      <c r="B245" s="18"/>
      <c r="O245" s="50"/>
    </row>
    <row r="246">
      <c r="B246" s="18"/>
      <c r="O246" s="50"/>
    </row>
    <row r="247">
      <c r="B247" s="18"/>
      <c r="O247" s="50"/>
    </row>
    <row r="248">
      <c r="B248" s="18"/>
      <c r="O248" s="50"/>
    </row>
    <row r="249">
      <c r="B249" s="18"/>
      <c r="O249" s="50"/>
    </row>
    <row r="250">
      <c r="B250" s="18"/>
      <c r="O250" s="50"/>
    </row>
    <row r="251">
      <c r="B251" s="18"/>
      <c r="O251" s="50"/>
    </row>
    <row r="252">
      <c r="B252" s="18"/>
      <c r="O252" s="50"/>
    </row>
    <row r="253">
      <c r="B253" s="18"/>
      <c r="O253" s="50"/>
    </row>
    <row r="254">
      <c r="B254" s="18"/>
      <c r="O254" s="50"/>
    </row>
    <row r="255">
      <c r="B255" s="18"/>
      <c r="O255" s="50"/>
    </row>
    <row r="256">
      <c r="B256" s="18"/>
      <c r="O256" s="50"/>
    </row>
    <row r="257">
      <c r="B257" s="18"/>
      <c r="O257" s="50"/>
    </row>
    <row r="258">
      <c r="B258" s="18"/>
      <c r="O258" s="50"/>
    </row>
    <row r="259">
      <c r="B259" s="18"/>
      <c r="O259" s="50"/>
    </row>
    <row r="260">
      <c r="B260" s="18"/>
      <c r="O260" s="50"/>
    </row>
    <row r="261">
      <c r="B261" s="18"/>
      <c r="O261" s="50"/>
    </row>
    <row r="262">
      <c r="B262" s="18"/>
      <c r="O262" s="50"/>
    </row>
    <row r="263">
      <c r="B263" s="18"/>
      <c r="O263" s="50"/>
    </row>
    <row r="264">
      <c r="B264" s="18"/>
      <c r="O264" s="50"/>
    </row>
    <row r="265">
      <c r="B265" s="18"/>
      <c r="O265" s="50"/>
    </row>
    <row r="266">
      <c r="B266" s="18"/>
      <c r="O266" s="50"/>
    </row>
    <row r="267">
      <c r="B267" s="18"/>
      <c r="O267" s="50"/>
    </row>
    <row r="268">
      <c r="B268" s="18"/>
      <c r="O268" s="50"/>
    </row>
    <row r="269">
      <c r="B269" s="18"/>
      <c r="O269" s="50"/>
    </row>
    <row r="270">
      <c r="B270" s="18"/>
      <c r="O270" s="50"/>
    </row>
    <row r="271">
      <c r="B271" s="18"/>
      <c r="O271" s="50"/>
    </row>
    <row r="272">
      <c r="B272" s="18"/>
      <c r="O272" s="50"/>
    </row>
    <row r="273">
      <c r="B273" s="18"/>
      <c r="O273" s="50"/>
    </row>
    <row r="274">
      <c r="B274" s="18"/>
      <c r="O274" s="50"/>
    </row>
    <row r="275">
      <c r="B275" s="18"/>
      <c r="O275" s="50"/>
    </row>
    <row r="276">
      <c r="B276" s="18"/>
      <c r="O276" s="50"/>
    </row>
    <row r="277">
      <c r="B277" s="18"/>
      <c r="O277" s="50"/>
    </row>
    <row r="278">
      <c r="B278" s="18"/>
      <c r="O278" s="50"/>
    </row>
    <row r="279">
      <c r="B279" s="18"/>
      <c r="O279" s="50"/>
    </row>
    <row r="280">
      <c r="B280" s="18"/>
      <c r="O280" s="50"/>
    </row>
    <row r="281">
      <c r="B281" s="18"/>
      <c r="O281" s="50"/>
    </row>
    <row r="282">
      <c r="B282" s="18"/>
      <c r="O282" s="50"/>
    </row>
    <row r="283">
      <c r="B283" s="18"/>
      <c r="O283" s="50"/>
    </row>
    <row r="284">
      <c r="B284" s="18"/>
      <c r="O284" s="50"/>
    </row>
    <row r="285">
      <c r="B285" s="18"/>
      <c r="O285" s="50"/>
    </row>
    <row r="286">
      <c r="B286" s="18"/>
      <c r="O286" s="50"/>
    </row>
    <row r="287">
      <c r="B287" s="18"/>
      <c r="O287" s="50"/>
    </row>
    <row r="288">
      <c r="B288" s="18"/>
      <c r="O288" s="50"/>
    </row>
    <row r="289">
      <c r="B289" s="18"/>
      <c r="O289" s="50"/>
    </row>
    <row r="290">
      <c r="B290" s="18"/>
      <c r="O290" s="50"/>
    </row>
    <row r="291">
      <c r="B291" s="18"/>
      <c r="O291" s="50"/>
    </row>
    <row r="292">
      <c r="B292" s="18"/>
      <c r="O292" s="50"/>
    </row>
    <row r="293">
      <c r="B293" s="18"/>
      <c r="O293" s="50"/>
    </row>
    <row r="294">
      <c r="B294" s="18"/>
      <c r="O294" s="50"/>
    </row>
    <row r="295">
      <c r="B295" s="18"/>
      <c r="O295" s="50"/>
    </row>
    <row r="296">
      <c r="B296" s="18"/>
      <c r="O296" s="50"/>
    </row>
    <row r="297">
      <c r="B297" s="18"/>
      <c r="O297" s="50"/>
    </row>
    <row r="298">
      <c r="B298" s="18"/>
      <c r="O298" s="50"/>
    </row>
    <row r="299">
      <c r="B299" s="18"/>
      <c r="O299" s="50"/>
    </row>
    <row r="300">
      <c r="B300" s="18"/>
      <c r="O300" s="50"/>
    </row>
    <row r="301">
      <c r="B301" s="18"/>
      <c r="O301" s="50"/>
    </row>
    <row r="302">
      <c r="B302" s="18"/>
      <c r="O302" s="50"/>
    </row>
    <row r="303">
      <c r="B303" s="18"/>
      <c r="O303" s="50"/>
    </row>
    <row r="304">
      <c r="B304" s="18"/>
      <c r="O304" s="50"/>
    </row>
    <row r="305">
      <c r="B305" s="18"/>
      <c r="O305" s="50"/>
    </row>
    <row r="306">
      <c r="B306" s="18"/>
      <c r="O306" s="50"/>
    </row>
    <row r="307">
      <c r="B307" s="18"/>
      <c r="O307" s="50"/>
    </row>
    <row r="308">
      <c r="B308" s="18"/>
      <c r="O308" s="50"/>
    </row>
    <row r="309">
      <c r="B309" s="18"/>
      <c r="O309" s="50"/>
    </row>
    <row r="310">
      <c r="B310" s="18"/>
      <c r="O310" s="50"/>
    </row>
    <row r="311">
      <c r="B311" s="18"/>
      <c r="O311" s="50"/>
    </row>
    <row r="312">
      <c r="B312" s="18"/>
      <c r="O312" s="50"/>
    </row>
    <row r="313">
      <c r="B313" s="18"/>
      <c r="O313" s="50"/>
    </row>
    <row r="314">
      <c r="B314" s="18"/>
      <c r="O314" s="50"/>
    </row>
    <row r="315">
      <c r="B315" s="18"/>
      <c r="O315" s="50"/>
    </row>
    <row r="316">
      <c r="B316" s="18"/>
      <c r="O316" s="50"/>
    </row>
    <row r="317">
      <c r="B317" s="18"/>
      <c r="O317" s="50"/>
    </row>
    <row r="318">
      <c r="B318" s="18"/>
      <c r="O318" s="50"/>
    </row>
    <row r="319">
      <c r="B319" s="18"/>
      <c r="O319" s="50"/>
    </row>
    <row r="320">
      <c r="B320" s="18"/>
      <c r="O320" s="50"/>
    </row>
    <row r="321">
      <c r="B321" s="18"/>
      <c r="O321" s="50"/>
    </row>
    <row r="322">
      <c r="B322" s="18"/>
      <c r="O322" s="50"/>
    </row>
    <row r="323">
      <c r="B323" s="18"/>
      <c r="O323" s="50"/>
    </row>
    <row r="324">
      <c r="B324" s="18"/>
      <c r="O324" s="50"/>
    </row>
    <row r="325">
      <c r="B325" s="18"/>
      <c r="O325" s="50"/>
    </row>
    <row r="326">
      <c r="B326" s="18"/>
      <c r="O326" s="50"/>
    </row>
    <row r="327">
      <c r="B327" s="18"/>
      <c r="O327" s="50"/>
    </row>
    <row r="328">
      <c r="B328" s="18"/>
      <c r="O328" s="50"/>
    </row>
    <row r="329">
      <c r="B329" s="18"/>
      <c r="O329" s="50"/>
    </row>
    <row r="330">
      <c r="B330" s="18"/>
      <c r="O330" s="50"/>
    </row>
    <row r="331">
      <c r="B331" s="18"/>
      <c r="O331" s="50"/>
    </row>
    <row r="332">
      <c r="B332" s="18"/>
      <c r="O332" s="50"/>
    </row>
    <row r="333">
      <c r="B333" s="18"/>
      <c r="O333" s="50"/>
    </row>
    <row r="334">
      <c r="B334" s="18"/>
      <c r="O334" s="50"/>
    </row>
    <row r="335">
      <c r="B335" s="18"/>
      <c r="O335" s="50"/>
    </row>
    <row r="336">
      <c r="B336" s="18"/>
      <c r="O336" s="50"/>
    </row>
    <row r="337">
      <c r="B337" s="18"/>
      <c r="O337" s="50"/>
    </row>
    <row r="338">
      <c r="B338" s="18"/>
      <c r="O338" s="50"/>
    </row>
    <row r="339">
      <c r="B339" s="18"/>
      <c r="O339" s="50"/>
    </row>
    <row r="340">
      <c r="B340" s="18"/>
      <c r="O340" s="50"/>
    </row>
    <row r="341">
      <c r="B341" s="18"/>
      <c r="O341" s="50"/>
    </row>
    <row r="342">
      <c r="B342" s="18"/>
      <c r="O342" s="50"/>
    </row>
    <row r="343">
      <c r="B343" s="18"/>
      <c r="O343" s="50"/>
    </row>
    <row r="344">
      <c r="B344" s="18"/>
      <c r="O344" s="50"/>
    </row>
    <row r="345">
      <c r="B345" s="18"/>
      <c r="O345" s="50"/>
    </row>
    <row r="346">
      <c r="B346" s="18"/>
      <c r="O346" s="50"/>
    </row>
    <row r="347">
      <c r="B347" s="18"/>
      <c r="O347" s="50"/>
    </row>
    <row r="348">
      <c r="B348" s="18"/>
      <c r="O348" s="50"/>
    </row>
    <row r="349">
      <c r="B349" s="18"/>
      <c r="O349" s="50"/>
    </row>
    <row r="350">
      <c r="B350" s="18"/>
      <c r="O350" s="50"/>
    </row>
    <row r="351">
      <c r="B351" s="18"/>
      <c r="O351" s="50"/>
    </row>
    <row r="352">
      <c r="B352" s="18"/>
      <c r="O352" s="50"/>
    </row>
    <row r="353">
      <c r="B353" s="18"/>
      <c r="O353" s="50"/>
    </row>
    <row r="354">
      <c r="B354" s="18"/>
      <c r="O354" s="50"/>
    </row>
    <row r="355">
      <c r="B355" s="18"/>
      <c r="O355" s="50"/>
    </row>
    <row r="356">
      <c r="B356" s="18"/>
      <c r="O356" s="50"/>
    </row>
    <row r="357">
      <c r="B357" s="18"/>
      <c r="O357" s="50"/>
    </row>
    <row r="358">
      <c r="B358" s="18"/>
      <c r="O358" s="50"/>
    </row>
    <row r="359">
      <c r="B359" s="18"/>
      <c r="O359" s="50"/>
    </row>
    <row r="360">
      <c r="B360" s="18"/>
      <c r="O360" s="50"/>
    </row>
    <row r="361">
      <c r="B361" s="18"/>
      <c r="O361" s="50"/>
    </row>
    <row r="362">
      <c r="B362" s="18"/>
      <c r="O362" s="50"/>
    </row>
    <row r="363">
      <c r="B363" s="18"/>
      <c r="O363" s="50"/>
    </row>
    <row r="364">
      <c r="B364" s="18"/>
      <c r="O364" s="50"/>
    </row>
    <row r="365">
      <c r="B365" s="18"/>
      <c r="O365" s="50"/>
    </row>
    <row r="366">
      <c r="B366" s="18"/>
      <c r="O366" s="50"/>
    </row>
    <row r="367">
      <c r="B367" s="18"/>
      <c r="O367" s="50"/>
    </row>
    <row r="368">
      <c r="B368" s="18"/>
      <c r="O368" s="50"/>
    </row>
    <row r="369">
      <c r="B369" s="18"/>
      <c r="O369" s="50"/>
    </row>
    <row r="370">
      <c r="B370" s="18"/>
      <c r="O370" s="50"/>
    </row>
    <row r="371">
      <c r="B371" s="18"/>
      <c r="O371" s="50"/>
    </row>
    <row r="372">
      <c r="B372" s="18"/>
      <c r="O372" s="50"/>
    </row>
    <row r="373">
      <c r="B373" s="18"/>
      <c r="O373" s="50"/>
    </row>
    <row r="374">
      <c r="B374" s="18"/>
      <c r="O374" s="50"/>
    </row>
    <row r="375">
      <c r="B375" s="18"/>
      <c r="O375" s="50"/>
    </row>
    <row r="376">
      <c r="B376" s="18"/>
      <c r="O376" s="50"/>
    </row>
    <row r="377">
      <c r="B377" s="18"/>
      <c r="O377" s="50"/>
    </row>
    <row r="378">
      <c r="B378" s="18"/>
      <c r="O378" s="50"/>
    </row>
    <row r="379">
      <c r="B379" s="18"/>
      <c r="O379" s="50"/>
    </row>
    <row r="380">
      <c r="B380" s="18"/>
      <c r="O380" s="50"/>
    </row>
    <row r="381">
      <c r="B381" s="18"/>
      <c r="O381" s="50"/>
    </row>
    <row r="382">
      <c r="B382" s="18"/>
      <c r="O382" s="50"/>
    </row>
    <row r="383">
      <c r="B383" s="18"/>
      <c r="O383" s="50"/>
    </row>
    <row r="384">
      <c r="B384" s="18"/>
      <c r="O384" s="50"/>
    </row>
    <row r="385">
      <c r="B385" s="18"/>
      <c r="O385" s="50"/>
    </row>
    <row r="386">
      <c r="B386" s="18"/>
      <c r="O386" s="50"/>
    </row>
    <row r="387">
      <c r="B387" s="18"/>
      <c r="O387" s="50"/>
    </row>
    <row r="388">
      <c r="B388" s="18"/>
      <c r="O388" s="50"/>
    </row>
    <row r="389">
      <c r="B389" s="18"/>
      <c r="O389" s="50"/>
    </row>
    <row r="390">
      <c r="B390" s="18"/>
      <c r="O390" s="50"/>
    </row>
    <row r="391">
      <c r="B391" s="18"/>
      <c r="O391" s="50"/>
    </row>
    <row r="392">
      <c r="B392" s="18"/>
      <c r="O392" s="50"/>
    </row>
    <row r="393">
      <c r="B393" s="18"/>
      <c r="O393" s="50"/>
    </row>
    <row r="394">
      <c r="B394" s="18"/>
      <c r="O394" s="50"/>
    </row>
    <row r="395">
      <c r="B395" s="18"/>
      <c r="O395" s="50"/>
    </row>
    <row r="396">
      <c r="B396" s="18"/>
      <c r="O396" s="50"/>
    </row>
    <row r="397">
      <c r="B397" s="18"/>
      <c r="O397" s="50"/>
    </row>
    <row r="398">
      <c r="B398" s="18"/>
      <c r="O398" s="50"/>
    </row>
    <row r="399">
      <c r="B399" s="18"/>
      <c r="O399" s="50"/>
    </row>
    <row r="400">
      <c r="B400" s="18"/>
      <c r="O400" s="50"/>
    </row>
    <row r="401">
      <c r="B401" s="18"/>
      <c r="O401" s="50"/>
    </row>
    <row r="402">
      <c r="B402" s="18"/>
      <c r="O402" s="50"/>
    </row>
    <row r="403">
      <c r="B403" s="18"/>
      <c r="O403" s="50"/>
    </row>
    <row r="404">
      <c r="B404" s="18"/>
      <c r="O404" s="50"/>
    </row>
    <row r="405">
      <c r="B405" s="18"/>
      <c r="O405" s="50"/>
    </row>
    <row r="406">
      <c r="B406" s="18"/>
      <c r="O406" s="50"/>
    </row>
    <row r="407">
      <c r="B407" s="18"/>
      <c r="O407" s="50"/>
    </row>
    <row r="408">
      <c r="B408" s="18"/>
      <c r="O408" s="50"/>
    </row>
    <row r="409">
      <c r="B409" s="18"/>
      <c r="O409" s="50"/>
    </row>
    <row r="410">
      <c r="B410" s="18"/>
      <c r="O410" s="50"/>
    </row>
    <row r="411">
      <c r="B411" s="18"/>
      <c r="O411" s="50"/>
    </row>
    <row r="412">
      <c r="B412" s="18"/>
      <c r="O412" s="50"/>
    </row>
    <row r="413">
      <c r="B413" s="18"/>
      <c r="O413" s="50"/>
    </row>
    <row r="414">
      <c r="B414" s="18"/>
      <c r="O414" s="50"/>
    </row>
    <row r="415">
      <c r="B415" s="18"/>
      <c r="O415" s="50"/>
    </row>
    <row r="416">
      <c r="B416" s="18"/>
      <c r="O416" s="50"/>
    </row>
    <row r="417">
      <c r="B417" s="18"/>
      <c r="O417" s="50"/>
    </row>
    <row r="418">
      <c r="B418" s="18"/>
      <c r="O418" s="50"/>
    </row>
    <row r="419">
      <c r="B419" s="18"/>
      <c r="O419" s="50"/>
    </row>
    <row r="420">
      <c r="B420" s="18"/>
      <c r="O420" s="50"/>
    </row>
    <row r="421">
      <c r="B421" s="18"/>
      <c r="O421" s="50"/>
    </row>
    <row r="422">
      <c r="B422" s="18"/>
      <c r="O422" s="50"/>
    </row>
    <row r="423">
      <c r="B423" s="18"/>
      <c r="O423" s="50"/>
    </row>
    <row r="424">
      <c r="B424" s="18"/>
      <c r="O424" s="50"/>
    </row>
    <row r="425">
      <c r="B425" s="18"/>
      <c r="O425" s="50"/>
    </row>
    <row r="426">
      <c r="B426" s="18"/>
      <c r="O426" s="50"/>
    </row>
    <row r="427">
      <c r="B427" s="18"/>
      <c r="O427" s="50"/>
    </row>
    <row r="428">
      <c r="B428" s="18"/>
      <c r="O428" s="50"/>
    </row>
    <row r="429">
      <c r="B429" s="18"/>
      <c r="O429" s="50"/>
    </row>
    <row r="430">
      <c r="B430" s="18"/>
      <c r="O430" s="50"/>
    </row>
    <row r="431">
      <c r="B431" s="18"/>
      <c r="O431" s="50"/>
    </row>
    <row r="432">
      <c r="B432" s="18"/>
      <c r="O432" s="50"/>
    </row>
    <row r="433">
      <c r="B433" s="18"/>
      <c r="O433" s="50"/>
    </row>
    <row r="434">
      <c r="B434" s="18"/>
      <c r="O434" s="50"/>
    </row>
    <row r="435">
      <c r="B435" s="18"/>
      <c r="O435" s="50"/>
    </row>
    <row r="436">
      <c r="B436" s="18"/>
      <c r="O436" s="50"/>
    </row>
    <row r="437">
      <c r="B437" s="18"/>
      <c r="O437" s="50"/>
    </row>
    <row r="438">
      <c r="B438" s="18"/>
      <c r="O438" s="50"/>
    </row>
    <row r="439">
      <c r="B439" s="18"/>
      <c r="O439" s="50"/>
    </row>
    <row r="440">
      <c r="B440" s="18"/>
      <c r="O440" s="50"/>
    </row>
    <row r="441">
      <c r="B441" s="18"/>
      <c r="O441" s="50"/>
    </row>
    <row r="442">
      <c r="B442" s="18"/>
      <c r="O442" s="50"/>
    </row>
    <row r="443">
      <c r="B443" s="18"/>
      <c r="O443" s="50"/>
    </row>
    <row r="444">
      <c r="B444" s="18"/>
      <c r="O444" s="50"/>
    </row>
    <row r="445">
      <c r="B445" s="18"/>
      <c r="O445" s="50"/>
    </row>
    <row r="446">
      <c r="B446" s="18"/>
      <c r="O446" s="50"/>
    </row>
    <row r="447">
      <c r="B447" s="18"/>
      <c r="O447" s="50"/>
    </row>
    <row r="448">
      <c r="B448" s="18"/>
      <c r="O448" s="50"/>
    </row>
    <row r="449">
      <c r="B449" s="18"/>
      <c r="O449" s="50"/>
    </row>
    <row r="450">
      <c r="B450" s="18"/>
      <c r="O450" s="50"/>
    </row>
    <row r="451">
      <c r="B451" s="18"/>
      <c r="O451" s="50"/>
    </row>
    <row r="452">
      <c r="B452" s="18"/>
      <c r="O452" s="50"/>
    </row>
    <row r="453">
      <c r="B453" s="18"/>
      <c r="O453" s="50"/>
    </row>
    <row r="454">
      <c r="B454" s="18"/>
      <c r="O454" s="50"/>
    </row>
    <row r="455">
      <c r="B455" s="18"/>
      <c r="O455" s="50"/>
    </row>
    <row r="456">
      <c r="B456" s="18"/>
      <c r="O456" s="50"/>
    </row>
    <row r="457">
      <c r="B457" s="18"/>
      <c r="O457" s="50"/>
    </row>
    <row r="458">
      <c r="B458" s="18"/>
      <c r="O458" s="50"/>
    </row>
    <row r="459">
      <c r="B459" s="18"/>
      <c r="O459" s="50"/>
    </row>
    <row r="460">
      <c r="B460" s="18"/>
      <c r="O460" s="50"/>
    </row>
    <row r="461">
      <c r="B461" s="18"/>
      <c r="O461" s="50"/>
    </row>
    <row r="462">
      <c r="B462" s="18"/>
      <c r="O462" s="50"/>
    </row>
    <row r="463">
      <c r="B463" s="18"/>
      <c r="O463" s="50"/>
    </row>
    <row r="464">
      <c r="B464" s="18"/>
      <c r="O464" s="50"/>
    </row>
    <row r="465">
      <c r="B465" s="18"/>
      <c r="O465" s="50"/>
    </row>
    <row r="466">
      <c r="B466" s="18"/>
      <c r="O466" s="50"/>
    </row>
    <row r="467">
      <c r="B467" s="18"/>
      <c r="O467" s="50"/>
    </row>
    <row r="468">
      <c r="B468" s="18"/>
      <c r="O468" s="50"/>
    </row>
    <row r="469">
      <c r="B469" s="18"/>
      <c r="O469" s="50"/>
    </row>
    <row r="470">
      <c r="B470" s="18"/>
      <c r="O470" s="50"/>
    </row>
    <row r="471">
      <c r="B471" s="18"/>
      <c r="O471" s="50"/>
    </row>
    <row r="472">
      <c r="B472" s="18"/>
      <c r="O472" s="50"/>
    </row>
    <row r="473">
      <c r="B473" s="18"/>
      <c r="O473" s="50"/>
    </row>
    <row r="474">
      <c r="B474" s="18"/>
      <c r="O474" s="50"/>
    </row>
    <row r="475">
      <c r="B475" s="18"/>
      <c r="O475" s="50"/>
    </row>
    <row r="476">
      <c r="B476" s="18"/>
      <c r="O476" s="50"/>
    </row>
    <row r="477">
      <c r="B477" s="18"/>
      <c r="O477" s="50"/>
    </row>
    <row r="478">
      <c r="B478" s="18"/>
      <c r="O478" s="50"/>
    </row>
    <row r="479">
      <c r="B479" s="18"/>
      <c r="O479" s="50"/>
    </row>
    <row r="480">
      <c r="B480" s="18"/>
      <c r="O480" s="50"/>
    </row>
    <row r="481">
      <c r="B481" s="18"/>
      <c r="O481" s="50"/>
    </row>
    <row r="482">
      <c r="B482" s="18"/>
      <c r="O482" s="50"/>
    </row>
    <row r="483">
      <c r="B483" s="18"/>
      <c r="O483" s="50"/>
    </row>
    <row r="484">
      <c r="B484" s="18"/>
      <c r="O484" s="50"/>
    </row>
    <row r="485">
      <c r="B485" s="18"/>
      <c r="O485" s="50"/>
    </row>
    <row r="486">
      <c r="B486" s="18"/>
      <c r="O486" s="50"/>
    </row>
    <row r="487">
      <c r="B487" s="18"/>
      <c r="O487" s="50"/>
    </row>
    <row r="488">
      <c r="B488" s="18"/>
      <c r="O488" s="50"/>
    </row>
    <row r="489">
      <c r="B489" s="18"/>
      <c r="O489" s="50"/>
    </row>
    <row r="490">
      <c r="B490" s="18"/>
      <c r="O490" s="50"/>
    </row>
    <row r="491">
      <c r="B491" s="18"/>
      <c r="O491" s="50"/>
    </row>
    <row r="492">
      <c r="B492" s="18"/>
      <c r="O492" s="50"/>
    </row>
    <row r="493">
      <c r="B493" s="18"/>
      <c r="O493" s="50"/>
    </row>
    <row r="494">
      <c r="B494" s="18"/>
      <c r="O494" s="50"/>
    </row>
    <row r="495">
      <c r="B495" s="18"/>
      <c r="O495" s="50"/>
    </row>
    <row r="496">
      <c r="B496" s="18"/>
      <c r="O496" s="50"/>
    </row>
    <row r="497">
      <c r="B497" s="18"/>
      <c r="O497" s="50"/>
    </row>
    <row r="498">
      <c r="B498" s="18"/>
      <c r="O498" s="50"/>
    </row>
    <row r="499">
      <c r="B499" s="18"/>
      <c r="O499" s="50"/>
    </row>
    <row r="500">
      <c r="B500" s="18"/>
      <c r="O500" s="50"/>
    </row>
    <row r="501">
      <c r="B501" s="18"/>
      <c r="O501" s="50"/>
    </row>
    <row r="502">
      <c r="B502" s="18"/>
      <c r="O502" s="50"/>
    </row>
    <row r="503">
      <c r="B503" s="18"/>
      <c r="O503" s="50"/>
    </row>
    <row r="504">
      <c r="B504" s="18"/>
      <c r="O504" s="50"/>
    </row>
    <row r="505">
      <c r="B505" s="18"/>
      <c r="O505" s="50"/>
    </row>
    <row r="506">
      <c r="B506" s="18"/>
      <c r="O506" s="50"/>
    </row>
    <row r="507">
      <c r="B507" s="18"/>
      <c r="O507" s="50"/>
    </row>
    <row r="508">
      <c r="B508" s="18"/>
      <c r="O508" s="50"/>
    </row>
    <row r="509">
      <c r="B509" s="18"/>
      <c r="O509" s="50"/>
    </row>
    <row r="510">
      <c r="B510" s="18"/>
      <c r="O510" s="50"/>
    </row>
    <row r="511">
      <c r="B511" s="18"/>
      <c r="O511" s="50"/>
    </row>
    <row r="512">
      <c r="B512" s="18"/>
      <c r="O512" s="50"/>
    </row>
    <row r="513">
      <c r="B513" s="18"/>
      <c r="O513" s="50"/>
    </row>
    <row r="514">
      <c r="B514" s="18"/>
      <c r="O514" s="50"/>
    </row>
    <row r="515">
      <c r="B515" s="18"/>
      <c r="O515" s="50"/>
    </row>
    <row r="516">
      <c r="B516" s="18"/>
      <c r="O516" s="50"/>
    </row>
    <row r="517">
      <c r="B517" s="18"/>
      <c r="O517" s="50"/>
    </row>
    <row r="518">
      <c r="B518" s="18"/>
      <c r="O518" s="50"/>
    </row>
    <row r="519">
      <c r="B519" s="18"/>
      <c r="O519" s="50"/>
    </row>
    <row r="520">
      <c r="B520" s="18"/>
      <c r="O520" s="50"/>
    </row>
    <row r="521">
      <c r="B521" s="18"/>
      <c r="O521" s="50"/>
    </row>
    <row r="522">
      <c r="B522" s="18"/>
      <c r="O522" s="50"/>
    </row>
    <row r="523">
      <c r="B523" s="18"/>
      <c r="O523" s="50"/>
    </row>
    <row r="524">
      <c r="B524" s="18"/>
      <c r="O524" s="50"/>
    </row>
    <row r="525">
      <c r="B525" s="18"/>
      <c r="O525" s="50"/>
    </row>
    <row r="526">
      <c r="B526" s="18"/>
      <c r="O526" s="50"/>
    </row>
    <row r="527">
      <c r="B527" s="18"/>
      <c r="O527" s="50"/>
    </row>
    <row r="528">
      <c r="B528" s="18"/>
      <c r="O528" s="50"/>
    </row>
    <row r="529">
      <c r="B529" s="18"/>
      <c r="O529" s="50"/>
    </row>
    <row r="530">
      <c r="B530" s="18"/>
      <c r="O530" s="50"/>
    </row>
    <row r="531">
      <c r="B531" s="18"/>
      <c r="O531" s="50"/>
    </row>
    <row r="532">
      <c r="B532" s="18"/>
      <c r="O532" s="50"/>
    </row>
    <row r="533">
      <c r="B533" s="18"/>
      <c r="O533" s="50"/>
    </row>
    <row r="534">
      <c r="B534" s="18"/>
      <c r="O534" s="50"/>
    </row>
    <row r="535">
      <c r="B535" s="18"/>
      <c r="O535" s="50"/>
    </row>
    <row r="536">
      <c r="B536" s="18"/>
      <c r="O536" s="50"/>
    </row>
    <row r="537">
      <c r="B537" s="18"/>
      <c r="O537" s="50"/>
    </row>
    <row r="538">
      <c r="B538" s="18"/>
      <c r="O538" s="50"/>
    </row>
    <row r="539">
      <c r="B539" s="18"/>
      <c r="O539" s="50"/>
    </row>
    <row r="540">
      <c r="B540" s="18"/>
      <c r="O540" s="50"/>
    </row>
    <row r="541">
      <c r="B541" s="18"/>
      <c r="O541" s="50"/>
    </row>
    <row r="542">
      <c r="B542" s="18"/>
      <c r="O542" s="50"/>
    </row>
    <row r="543">
      <c r="B543" s="18"/>
      <c r="O543" s="50"/>
    </row>
    <row r="544">
      <c r="B544" s="18"/>
      <c r="O544" s="50"/>
    </row>
    <row r="545">
      <c r="B545" s="18"/>
      <c r="O545" s="50"/>
    </row>
    <row r="546">
      <c r="B546" s="18"/>
      <c r="O546" s="50"/>
    </row>
    <row r="547">
      <c r="B547" s="18"/>
      <c r="O547" s="50"/>
    </row>
    <row r="548">
      <c r="B548" s="18"/>
      <c r="O548" s="50"/>
    </row>
    <row r="549">
      <c r="B549" s="18"/>
      <c r="O549" s="50"/>
    </row>
    <row r="550">
      <c r="B550" s="18"/>
      <c r="O550" s="50"/>
    </row>
    <row r="551">
      <c r="B551" s="18"/>
      <c r="O551" s="50"/>
    </row>
    <row r="552">
      <c r="B552" s="18"/>
      <c r="O552" s="50"/>
    </row>
    <row r="553">
      <c r="B553" s="18"/>
      <c r="O553" s="50"/>
    </row>
    <row r="554">
      <c r="B554" s="18"/>
      <c r="O554" s="50"/>
    </row>
    <row r="555">
      <c r="B555" s="18"/>
      <c r="O555" s="50"/>
    </row>
    <row r="556">
      <c r="B556" s="18"/>
      <c r="O556" s="50"/>
    </row>
    <row r="557">
      <c r="B557" s="18"/>
      <c r="O557" s="50"/>
    </row>
    <row r="558">
      <c r="B558" s="18"/>
      <c r="O558" s="50"/>
    </row>
    <row r="559">
      <c r="B559" s="18"/>
      <c r="O559" s="50"/>
    </row>
    <row r="560">
      <c r="B560" s="18"/>
      <c r="O560" s="50"/>
    </row>
    <row r="561">
      <c r="B561" s="18"/>
      <c r="O561" s="50"/>
    </row>
    <row r="562">
      <c r="B562" s="18"/>
      <c r="O562" s="50"/>
    </row>
    <row r="563">
      <c r="B563" s="18"/>
      <c r="O563" s="50"/>
    </row>
    <row r="564">
      <c r="B564" s="18"/>
      <c r="O564" s="50"/>
    </row>
    <row r="565">
      <c r="B565" s="18"/>
      <c r="O565" s="50"/>
    </row>
    <row r="566">
      <c r="B566" s="18"/>
      <c r="O566" s="50"/>
    </row>
    <row r="567">
      <c r="B567" s="18"/>
      <c r="O567" s="50"/>
    </row>
    <row r="568">
      <c r="B568" s="18"/>
      <c r="O568" s="50"/>
    </row>
    <row r="569">
      <c r="B569" s="18"/>
      <c r="O569" s="50"/>
    </row>
    <row r="570">
      <c r="B570" s="18"/>
      <c r="O570" s="50"/>
    </row>
    <row r="571">
      <c r="B571" s="18"/>
      <c r="O571" s="50"/>
    </row>
    <row r="572">
      <c r="B572" s="18"/>
      <c r="O572" s="50"/>
    </row>
    <row r="573">
      <c r="B573" s="18"/>
      <c r="O573" s="50"/>
    </row>
    <row r="574">
      <c r="B574" s="18"/>
      <c r="O574" s="50"/>
    </row>
    <row r="575">
      <c r="B575" s="18"/>
      <c r="O575" s="50"/>
    </row>
    <row r="576">
      <c r="B576" s="18"/>
      <c r="O576" s="50"/>
    </row>
    <row r="577">
      <c r="B577" s="18"/>
      <c r="O577" s="50"/>
    </row>
    <row r="578">
      <c r="B578" s="18"/>
      <c r="O578" s="50"/>
    </row>
    <row r="579">
      <c r="B579" s="18"/>
      <c r="O579" s="50"/>
    </row>
    <row r="580">
      <c r="B580" s="18"/>
      <c r="O580" s="50"/>
    </row>
    <row r="581">
      <c r="B581" s="18"/>
      <c r="O581" s="50"/>
    </row>
    <row r="582">
      <c r="B582" s="18"/>
      <c r="O582" s="50"/>
    </row>
    <row r="583">
      <c r="B583" s="18"/>
      <c r="O583" s="50"/>
    </row>
    <row r="584">
      <c r="B584" s="18"/>
      <c r="O584" s="50"/>
    </row>
    <row r="585">
      <c r="B585" s="18"/>
      <c r="O585" s="50"/>
    </row>
    <row r="586">
      <c r="B586" s="18"/>
      <c r="O586" s="50"/>
    </row>
    <row r="587">
      <c r="B587" s="18"/>
      <c r="O587" s="50"/>
    </row>
    <row r="588">
      <c r="B588" s="18"/>
      <c r="O588" s="50"/>
    </row>
    <row r="589">
      <c r="B589" s="18"/>
      <c r="O589" s="50"/>
    </row>
    <row r="590">
      <c r="B590" s="18"/>
      <c r="O590" s="50"/>
    </row>
    <row r="591">
      <c r="B591" s="18"/>
      <c r="O591" s="50"/>
    </row>
    <row r="592">
      <c r="B592" s="18"/>
      <c r="O592" s="50"/>
    </row>
    <row r="593">
      <c r="B593" s="18"/>
      <c r="O593" s="50"/>
    </row>
    <row r="594">
      <c r="B594" s="18"/>
      <c r="O594" s="50"/>
    </row>
    <row r="595">
      <c r="B595" s="18"/>
      <c r="O595" s="50"/>
    </row>
    <row r="596">
      <c r="B596" s="18"/>
      <c r="O596" s="50"/>
    </row>
    <row r="597">
      <c r="B597" s="18"/>
      <c r="O597" s="50"/>
    </row>
    <row r="598">
      <c r="B598" s="18"/>
      <c r="O598" s="50"/>
    </row>
    <row r="599">
      <c r="B599" s="18"/>
      <c r="O599" s="50"/>
    </row>
    <row r="600">
      <c r="B600" s="18"/>
      <c r="O600" s="50"/>
    </row>
    <row r="601">
      <c r="B601" s="18"/>
      <c r="O601" s="50"/>
    </row>
    <row r="602">
      <c r="B602" s="18"/>
      <c r="O602" s="50"/>
    </row>
    <row r="603">
      <c r="B603" s="18"/>
      <c r="O603" s="50"/>
    </row>
    <row r="604">
      <c r="B604" s="18"/>
      <c r="O604" s="50"/>
    </row>
    <row r="605">
      <c r="B605" s="18"/>
      <c r="O605" s="50"/>
    </row>
    <row r="606">
      <c r="B606" s="18"/>
      <c r="O606" s="50"/>
    </row>
    <row r="607">
      <c r="B607" s="18"/>
      <c r="O607" s="50"/>
    </row>
    <row r="608">
      <c r="B608" s="18"/>
      <c r="O608" s="50"/>
    </row>
    <row r="609">
      <c r="B609" s="18"/>
      <c r="O609" s="50"/>
    </row>
    <row r="610">
      <c r="B610" s="18"/>
      <c r="O610" s="50"/>
    </row>
    <row r="611">
      <c r="B611" s="18"/>
      <c r="O611" s="50"/>
    </row>
    <row r="612">
      <c r="B612" s="18"/>
      <c r="O612" s="50"/>
    </row>
    <row r="613">
      <c r="B613" s="18"/>
      <c r="O613" s="50"/>
    </row>
    <row r="614">
      <c r="B614" s="18"/>
      <c r="O614" s="50"/>
    </row>
    <row r="615">
      <c r="B615" s="18"/>
      <c r="O615" s="50"/>
    </row>
    <row r="616">
      <c r="B616" s="18"/>
      <c r="O616" s="50"/>
    </row>
    <row r="617">
      <c r="B617" s="18"/>
      <c r="O617" s="50"/>
    </row>
    <row r="618">
      <c r="B618" s="18"/>
      <c r="O618" s="50"/>
    </row>
    <row r="619">
      <c r="B619" s="18"/>
      <c r="O619" s="50"/>
    </row>
    <row r="620">
      <c r="B620" s="18"/>
      <c r="O620" s="50"/>
    </row>
    <row r="621">
      <c r="B621" s="18"/>
      <c r="O621" s="50"/>
    </row>
    <row r="622">
      <c r="B622" s="18"/>
      <c r="O622" s="50"/>
    </row>
    <row r="623">
      <c r="B623" s="18"/>
      <c r="O623" s="50"/>
    </row>
    <row r="624">
      <c r="B624" s="18"/>
      <c r="O624" s="50"/>
    </row>
    <row r="625">
      <c r="B625" s="18"/>
      <c r="O625" s="50"/>
    </row>
    <row r="626">
      <c r="B626" s="18"/>
      <c r="O626" s="50"/>
    </row>
    <row r="627">
      <c r="B627" s="18"/>
      <c r="O627" s="50"/>
    </row>
    <row r="628">
      <c r="B628" s="18"/>
      <c r="O628" s="50"/>
    </row>
    <row r="629">
      <c r="B629" s="18"/>
      <c r="O629" s="50"/>
    </row>
    <row r="630">
      <c r="B630" s="18"/>
      <c r="O630" s="50"/>
    </row>
    <row r="631">
      <c r="B631" s="18"/>
      <c r="O631" s="50"/>
    </row>
    <row r="632">
      <c r="B632" s="18"/>
      <c r="O632" s="50"/>
    </row>
    <row r="633">
      <c r="B633" s="18"/>
      <c r="O633" s="50"/>
    </row>
    <row r="634">
      <c r="B634" s="18"/>
      <c r="O634" s="50"/>
    </row>
    <row r="635">
      <c r="B635" s="18"/>
      <c r="O635" s="50"/>
    </row>
    <row r="636">
      <c r="B636" s="18"/>
      <c r="O636" s="50"/>
    </row>
    <row r="637">
      <c r="B637" s="18"/>
      <c r="O637" s="50"/>
    </row>
    <row r="638">
      <c r="B638" s="18"/>
      <c r="O638" s="50"/>
    </row>
    <row r="639">
      <c r="B639" s="18"/>
      <c r="O639" s="50"/>
    </row>
    <row r="640">
      <c r="B640" s="18"/>
      <c r="O640" s="50"/>
    </row>
    <row r="641">
      <c r="B641" s="18"/>
      <c r="O641" s="50"/>
    </row>
    <row r="642">
      <c r="B642" s="18"/>
      <c r="O642" s="50"/>
    </row>
    <row r="643">
      <c r="B643" s="18"/>
      <c r="O643" s="50"/>
    </row>
    <row r="644">
      <c r="B644" s="18"/>
      <c r="O644" s="50"/>
    </row>
    <row r="645">
      <c r="B645" s="18"/>
      <c r="O645" s="50"/>
    </row>
    <row r="646">
      <c r="B646" s="18"/>
      <c r="O646" s="50"/>
    </row>
    <row r="647">
      <c r="B647" s="18"/>
      <c r="O647" s="50"/>
    </row>
    <row r="648">
      <c r="B648" s="18"/>
      <c r="O648" s="50"/>
    </row>
    <row r="649">
      <c r="B649" s="18"/>
      <c r="O649" s="50"/>
    </row>
    <row r="650">
      <c r="B650" s="18"/>
      <c r="O650" s="50"/>
    </row>
    <row r="651">
      <c r="B651" s="18"/>
      <c r="O651" s="50"/>
    </row>
    <row r="652">
      <c r="B652" s="18"/>
      <c r="O652" s="50"/>
    </row>
    <row r="653">
      <c r="B653" s="18"/>
      <c r="O653" s="50"/>
    </row>
    <row r="654">
      <c r="B654" s="18"/>
      <c r="O654" s="50"/>
    </row>
    <row r="655">
      <c r="B655" s="18"/>
      <c r="O655" s="50"/>
    </row>
    <row r="656">
      <c r="B656" s="18"/>
      <c r="O656" s="50"/>
    </row>
    <row r="657">
      <c r="B657" s="18"/>
      <c r="O657" s="50"/>
    </row>
    <row r="658">
      <c r="B658" s="18"/>
      <c r="O658" s="50"/>
    </row>
    <row r="659">
      <c r="B659" s="18"/>
      <c r="O659" s="50"/>
    </row>
    <row r="660">
      <c r="B660" s="18"/>
      <c r="O660" s="50"/>
    </row>
    <row r="661">
      <c r="B661" s="18"/>
      <c r="O661" s="50"/>
    </row>
    <row r="662">
      <c r="B662" s="18"/>
      <c r="O662" s="50"/>
    </row>
    <row r="663">
      <c r="B663" s="18"/>
      <c r="O663" s="50"/>
    </row>
    <row r="664">
      <c r="B664" s="18"/>
      <c r="O664" s="50"/>
    </row>
    <row r="665">
      <c r="B665" s="18"/>
      <c r="O665" s="50"/>
    </row>
    <row r="666">
      <c r="B666" s="18"/>
      <c r="O666" s="50"/>
    </row>
    <row r="667">
      <c r="B667" s="18"/>
      <c r="O667" s="50"/>
    </row>
    <row r="668">
      <c r="B668" s="18"/>
      <c r="O668" s="50"/>
    </row>
    <row r="669">
      <c r="B669" s="18"/>
      <c r="O669" s="50"/>
    </row>
    <row r="670">
      <c r="B670" s="18"/>
      <c r="O670" s="50"/>
    </row>
    <row r="671">
      <c r="B671" s="18"/>
      <c r="O671" s="50"/>
    </row>
    <row r="672">
      <c r="B672" s="18"/>
      <c r="O672" s="50"/>
    </row>
    <row r="673">
      <c r="B673" s="18"/>
      <c r="O673" s="50"/>
    </row>
    <row r="674">
      <c r="B674" s="18"/>
      <c r="O674" s="50"/>
    </row>
    <row r="675">
      <c r="B675" s="18"/>
      <c r="O675" s="50"/>
    </row>
    <row r="676">
      <c r="B676" s="18"/>
      <c r="O676" s="50"/>
    </row>
    <row r="677">
      <c r="B677" s="18"/>
      <c r="O677" s="50"/>
    </row>
    <row r="678">
      <c r="B678" s="18"/>
      <c r="O678" s="50"/>
    </row>
    <row r="679">
      <c r="B679" s="18"/>
      <c r="O679" s="50"/>
    </row>
    <row r="680">
      <c r="B680" s="18"/>
      <c r="O680" s="50"/>
    </row>
    <row r="681">
      <c r="B681" s="18"/>
      <c r="O681" s="50"/>
    </row>
    <row r="682">
      <c r="B682" s="18"/>
      <c r="O682" s="50"/>
    </row>
    <row r="683">
      <c r="B683" s="18"/>
      <c r="O683" s="50"/>
    </row>
    <row r="684">
      <c r="B684" s="18"/>
      <c r="O684" s="50"/>
    </row>
    <row r="685">
      <c r="B685" s="18"/>
      <c r="O685" s="50"/>
    </row>
    <row r="686">
      <c r="B686" s="18"/>
      <c r="O686" s="50"/>
    </row>
    <row r="687">
      <c r="B687" s="18"/>
      <c r="O687" s="50"/>
    </row>
    <row r="688">
      <c r="B688" s="18"/>
      <c r="O688" s="50"/>
    </row>
    <row r="689">
      <c r="B689" s="18"/>
      <c r="O689" s="50"/>
    </row>
    <row r="690">
      <c r="B690" s="18"/>
      <c r="O690" s="50"/>
    </row>
    <row r="691">
      <c r="B691" s="18"/>
      <c r="O691" s="50"/>
    </row>
    <row r="692">
      <c r="B692" s="18"/>
      <c r="O692" s="50"/>
    </row>
    <row r="693">
      <c r="B693" s="18"/>
      <c r="O693" s="50"/>
    </row>
    <row r="694">
      <c r="B694" s="18"/>
      <c r="O694" s="50"/>
    </row>
    <row r="695">
      <c r="B695" s="18"/>
      <c r="O695" s="50"/>
    </row>
    <row r="696">
      <c r="B696" s="18"/>
      <c r="O696" s="50"/>
    </row>
    <row r="697">
      <c r="B697" s="18"/>
      <c r="O697" s="50"/>
    </row>
    <row r="698">
      <c r="B698" s="18"/>
      <c r="O698" s="50"/>
    </row>
    <row r="699">
      <c r="B699" s="18"/>
      <c r="O699" s="50"/>
    </row>
    <row r="700">
      <c r="B700" s="18"/>
      <c r="O700" s="50"/>
    </row>
    <row r="701">
      <c r="B701" s="18"/>
      <c r="O701" s="50"/>
    </row>
    <row r="702">
      <c r="B702" s="18"/>
      <c r="O702" s="50"/>
    </row>
    <row r="703">
      <c r="B703" s="18"/>
      <c r="O703" s="50"/>
    </row>
    <row r="704">
      <c r="B704" s="18"/>
      <c r="O704" s="50"/>
    </row>
    <row r="705">
      <c r="B705" s="18"/>
      <c r="O705" s="50"/>
    </row>
    <row r="706">
      <c r="B706" s="18"/>
      <c r="O706" s="50"/>
    </row>
    <row r="707">
      <c r="B707" s="18"/>
      <c r="O707" s="50"/>
    </row>
    <row r="708">
      <c r="B708" s="18"/>
      <c r="O708" s="50"/>
    </row>
    <row r="709">
      <c r="B709" s="18"/>
      <c r="O709" s="50"/>
    </row>
    <row r="710">
      <c r="B710" s="18"/>
      <c r="O710" s="50"/>
    </row>
    <row r="711">
      <c r="B711" s="18"/>
      <c r="O711" s="50"/>
    </row>
    <row r="712">
      <c r="B712" s="18"/>
      <c r="O712" s="50"/>
    </row>
    <row r="713">
      <c r="B713" s="18"/>
      <c r="O713" s="50"/>
    </row>
    <row r="714">
      <c r="B714" s="18"/>
      <c r="O714" s="50"/>
    </row>
    <row r="715">
      <c r="B715" s="18"/>
      <c r="O715" s="50"/>
    </row>
    <row r="716">
      <c r="B716" s="18"/>
      <c r="O716" s="50"/>
    </row>
    <row r="717">
      <c r="B717" s="18"/>
      <c r="O717" s="50"/>
    </row>
    <row r="718">
      <c r="B718" s="18"/>
      <c r="O718" s="50"/>
    </row>
    <row r="719">
      <c r="B719" s="18"/>
      <c r="O719" s="50"/>
    </row>
    <row r="720">
      <c r="B720" s="18"/>
      <c r="O720" s="50"/>
    </row>
    <row r="721">
      <c r="B721" s="18"/>
      <c r="O721" s="50"/>
    </row>
    <row r="722">
      <c r="B722" s="18"/>
      <c r="O722" s="50"/>
    </row>
    <row r="723">
      <c r="B723" s="18"/>
      <c r="O723" s="50"/>
    </row>
    <row r="724">
      <c r="B724" s="18"/>
      <c r="O724" s="50"/>
    </row>
    <row r="725">
      <c r="B725" s="18"/>
      <c r="O725" s="50"/>
    </row>
    <row r="726">
      <c r="B726" s="18"/>
      <c r="O726" s="50"/>
    </row>
    <row r="727">
      <c r="B727" s="18"/>
      <c r="O727" s="50"/>
    </row>
    <row r="728">
      <c r="B728" s="18"/>
      <c r="O728" s="50"/>
    </row>
    <row r="729">
      <c r="B729" s="18"/>
      <c r="O729" s="50"/>
    </row>
    <row r="730">
      <c r="B730" s="18"/>
      <c r="O730" s="50"/>
    </row>
    <row r="731">
      <c r="B731" s="18"/>
      <c r="O731" s="50"/>
    </row>
    <row r="732">
      <c r="B732" s="18"/>
      <c r="O732" s="50"/>
    </row>
    <row r="733">
      <c r="B733" s="18"/>
      <c r="O733" s="50"/>
    </row>
    <row r="734">
      <c r="B734" s="18"/>
      <c r="O734" s="50"/>
    </row>
    <row r="735">
      <c r="B735" s="18"/>
      <c r="O735" s="50"/>
    </row>
    <row r="736">
      <c r="B736" s="18"/>
      <c r="O736" s="50"/>
    </row>
    <row r="737">
      <c r="B737" s="18"/>
      <c r="O737" s="50"/>
    </row>
    <row r="738">
      <c r="B738" s="18"/>
      <c r="O738" s="50"/>
    </row>
    <row r="739">
      <c r="B739" s="18"/>
      <c r="O739" s="50"/>
    </row>
    <row r="740">
      <c r="B740" s="18"/>
      <c r="O740" s="50"/>
    </row>
    <row r="741">
      <c r="B741" s="18"/>
      <c r="O741" s="50"/>
    </row>
    <row r="742">
      <c r="B742" s="18"/>
      <c r="O742" s="50"/>
    </row>
    <row r="743">
      <c r="B743" s="18"/>
      <c r="O743" s="50"/>
    </row>
    <row r="744">
      <c r="B744" s="18"/>
      <c r="O744" s="50"/>
    </row>
    <row r="745">
      <c r="B745" s="18"/>
      <c r="O745" s="50"/>
    </row>
    <row r="746">
      <c r="B746" s="18"/>
      <c r="O746" s="50"/>
    </row>
    <row r="747">
      <c r="B747" s="18"/>
      <c r="O747" s="50"/>
    </row>
    <row r="748">
      <c r="B748" s="18"/>
      <c r="O748" s="50"/>
    </row>
    <row r="749">
      <c r="B749" s="18"/>
      <c r="O749" s="50"/>
    </row>
    <row r="750">
      <c r="B750" s="18"/>
      <c r="O750" s="50"/>
    </row>
    <row r="751">
      <c r="B751" s="18"/>
      <c r="O751" s="50"/>
    </row>
    <row r="752">
      <c r="B752" s="18"/>
      <c r="O752" s="50"/>
    </row>
    <row r="753">
      <c r="B753" s="18"/>
      <c r="O753" s="50"/>
    </row>
    <row r="754">
      <c r="B754" s="18"/>
      <c r="O754" s="50"/>
    </row>
    <row r="755">
      <c r="B755" s="18"/>
      <c r="O755" s="50"/>
    </row>
    <row r="756">
      <c r="B756" s="18"/>
      <c r="O756" s="50"/>
    </row>
    <row r="757">
      <c r="B757" s="18"/>
      <c r="O757" s="50"/>
    </row>
    <row r="758">
      <c r="B758" s="18"/>
      <c r="O758" s="50"/>
    </row>
    <row r="759">
      <c r="B759" s="18"/>
      <c r="O759" s="50"/>
    </row>
    <row r="760">
      <c r="B760" s="18"/>
      <c r="O760" s="50"/>
    </row>
    <row r="761">
      <c r="B761" s="18"/>
      <c r="O761" s="50"/>
    </row>
    <row r="762">
      <c r="B762" s="18"/>
      <c r="O762" s="50"/>
    </row>
    <row r="763">
      <c r="B763" s="18"/>
      <c r="O763" s="50"/>
    </row>
    <row r="764">
      <c r="B764" s="18"/>
      <c r="O764" s="50"/>
    </row>
    <row r="765">
      <c r="B765" s="18"/>
      <c r="O765" s="50"/>
    </row>
    <row r="766">
      <c r="B766" s="18"/>
      <c r="O766" s="50"/>
    </row>
    <row r="767">
      <c r="B767" s="18"/>
      <c r="O767" s="50"/>
    </row>
    <row r="768">
      <c r="B768" s="18"/>
      <c r="O768" s="50"/>
    </row>
    <row r="769">
      <c r="B769" s="18"/>
      <c r="O769" s="50"/>
    </row>
    <row r="770">
      <c r="B770" s="18"/>
      <c r="O770" s="50"/>
    </row>
    <row r="771">
      <c r="B771" s="18"/>
      <c r="O771" s="50"/>
    </row>
    <row r="772">
      <c r="B772" s="18"/>
      <c r="O772" s="50"/>
    </row>
    <row r="773">
      <c r="B773" s="18"/>
      <c r="O773" s="50"/>
    </row>
    <row r="774">
      <c r="B774" s="18"/>
      <c r="O774" s="50"/>
    </row>
    <row r="775">
      <c r="B775" s="18"/>
      <c r="O775" s="50"/>
    </row>
    <row r="776">
      <c r="B776" s="18"/>
      <c r="O776" s="50"/>
    </row>
    <row r="777">
      <c r="B777" s="18"/>
      <c r="O777" s="50"/>
    </row>
    <row r="778">
      <c r="B778" s="18"/>
      <c r="O778" s="50"/>
    </row>
    <row r="779">
      <c r="B779" s="18"/>
      <c r="O779" s="50"/>
    </row>
    <row r="780">
      <c r="B780" s="18"/>
      <c r="O780" s="50"/>
    </row>
    <row r="781">
      <c r="B781" s="18"/>
      <c r="O781" s="50"/>
    </row>
    <row r="782">
      <c r="B782" s="18"/>
      <c r="O782" s="50"/>
    </row>
    <row r="783">
      <c r="B783" s="18"/>
      <c r="O783" s="50"/>
    </row>
    <row r="784">
      <c r="B784" s="18"/>
      <c r="O784" s="50"/>
    </row>
    <row r="785">
      <c r="B785" s="18"/>
      <c r="O785" s="50"/>
    </row>
    <row r="786">
      <c r="B786" s="18"/>
      <c r="O786" s="50"/>
    </row>
    <row r="787">
      <c r="B787" s="18"/>
      <c r="O787" s="50"/>
    </row>
    <row r="788">
      <c r="B788" s="18"/>
      <c r="O788" s="50"/>
    </row>
    <row r="789">
      <c r="B789" s="18"/>
      <c r="O789" s="50"/>
    </row>
    <row r="790">
      <c r="B790" s="18"/>
      <c r="O790" s="50"/>
    </row>
    <row r="791">
      <c r="B791" s="18"/>
      <c r="O791" s="50"/>
    </row>
    <row r="792">
      <c r="B792" s="18"/>
      <c r="O792" s="50"/>
    </row>
    <row r="793">
      <c r="B793" s="18"/>
      <c r="O793" s="50"/>
    </row>
    <row r="794">
      <c r="B794" s="18"/>
      <c r="O794" s="50"/>
    </row>
    <row r="795">
      <c r="B795" s="18"/>
      <c r="O795" s="50"/>
    </row>
    <row r="796">
      <c r="B796" s="18"/>
      <c r="O796" s="50"/>
    </row>
    <row r="797">
      <c r="B797" s="18"/>
      <c r="O797" s="50"/>
    </row>
    <row r="798">
      <c r="B798" s="18"/>
      <c r="O798" s="50"/>
    </row>
    <row r="799">
      <c r="B799" s="18"/>
      <c r="O799" s="50"/>
    </row>
    <row r="800">
      <c r="B800" s="18"/>
      <c r="O800" s="50"/>
    </row>
    <row r="801">
      <c r="B801" s="18"/>
      <c r="O801" s="50"/>
    </row>
    <row r="802">
      <c r="B802" s="18"/>
      <c r="O802" s="50"/>
    </row>
    <row r="803">
      <c r="B803" s="18"/>
      <c r="O803" s="50"/>
    </row>
    <row r="804">
      <c r="B804" s="18"/>
      <c r="O804" s="50"/>
    </row>
    <row r="805">
      <c r="B805" s="18"/>
      <c r="O805" s="50"/>
    </row>
    <row r="806">
      <c r="B806" s="18"/>
      <c r="O806" s="50"/>
    </row>
    <row r="807">
      <c r="B807" s="18"/>
      <c r="O807" s="50"/>
    </row>
    <row r="808">
      <c r="B808" s="18"/>
      <c r="O808" s="50"/>
    </row>
    <row r="809">
      <c r="B809" s="18"/>
      <c r="O809" s="50"/>
    </row>
    <row r="810">
      <c r="B810" s="18"/>
      <c r="O810" s="50"/>
    </row>
    <row r="811">
      <c r="B811" s="18"/>
      <c r="O811" s="50"/>
    </row>
    <row r="812">
      <c r="B812" s="18"/>
      <c r="O812" s="50"/>
    </row>
    <row r="813">
      <c r="B813" s="18"/>
      <c r="O813" s="50"/>
    </row>
    <row r="814">
      <c r="B814" s="18"/>
      <c r="O814" s="50"/>
    </row>
    <row r="815">
      <c r="B815" s="18"/>
      <c r="O815" s="50"/>
    </row>
    <row r="816">
      <c r="B816" s="18"/>
      <c r="O816" s="50"/>
    </row>
    <row r="817">
      <c r="B817" s="18"/>
      <c r="O817" s="50"/>
    </row>
    <row r="818">
      <c r="B818" s="18"/>
      <c r="O818" s="50"/>
    </row>
    <row r="819">
      <c r="B819" s="18"/>
      <c r="O819" s="50"/>
    </row>
    <row r="820">
      <c r="B820" s="18"/>
      <c r="O820" s="50"/>
    </row>
    <row r="821">
      <c r="B821" s="18"/>
      <c r="O821" s="50"/>
    </row>
    <row r="822">
      <c r="B822" s="18"/>
      <c r="O822" s="50"/>
    </row>
    <row r="823">
      <c r="B823" s="18"/>
      <c r="O823" s="50"/>
    </row>
    <row r="824">
      <c r="B824" s="18"/>
      <c r="O824" s="50"/>
    </row>
    <row r="825">
      <c r="B825" s="18"/>
      <c r="O825" s="50"/>
    </row>
    <row r="826">
      <c r="B826" s="18"/>
      <c r="O826" s="50"/>
    </row>
    <row r="827">
      <c r="B827" s="18"/>
      <c r="O827" s="50"/>
    </row>
    <row r="828">
      <c r="B828" s="18"/>
      <c r="O828" s="50"/>
    </row>
    <row r="829">
      <c r="B829" s="18"/>
      <c r="O829" s="50"/>
    </row>
    <row r="830">
      <c r="B830" s="18"/>
      <c r="O830" s="50"/>
    </row>
    <row r="831">
      <c r="B831" s="18"/>
      <c r="O831" s="50"/>
    </row>
    <row r="832">
      <c r="B832" s="18"/>
      <c r="O832" s="50"/>
    </row>
    <row r="833">
      <c r="B833" s="18"/>
      <c r="O833" s="50"/>
    </row>
    <row r="834">
      <c r="B834" s="18"/>
      <c r="O834" s="50"/>
    </row>
    <row r="835">
      <c r="B835" s="18"/>
      <c r="O835" s="50"/>
    </row>
    <row r="836">
      <c r="B836" s="18"/>
      <c r="O836" s="50"/>
    </row>
    <row r="837">
      <c r="B837" s="18"/>
      <c r="O837" s="50"/>
    </row>
    <row r="838">
      <c r="B838" s="18"/>
      <c r="O838" s="50"/>
    </row>
    <row r="839">
      <c r="B839" s="18"/>
      <c r="O839" s="50"/>
    </row>
    <row r="840">
      <c r="B840" s="18"/>
      <c r="O840" s="50"/>
    </row>
    <row r="841">
      <c r="B841" s="18"/>
      <c r="O841" s="50"/>
    </row>
    <row r="842">
      <c r="B842" s="18"/>
      <c r="O842" s="50"/>
    </row>
    <row r="843">
      <c r="B843" s="18"/>
      <c r="O843" s="50"/>
    </row>
    <row r="844">
      <c r="B844" s="18"/>
      <c r="O844" s="50"/>
    </row>
    <row r="845">
      <c r="B845" s="18"/>
      <c r="O845" s="50"/>
    </row>
    <row r="846">
      <c r="B846" s="18"/>
      <c r="O846" s="50"/>
    </row>
    <row r="847">
      <c r="B847" s="18"/>
      <c r="O847" s="50"/>
    </row>
    <row r="848">
      <c r="B848" s="18"/>
      <c r="O848" s="50"/>
    </row>
    <row r="849">
      <c r="B849" s="18"/>
      <c r="O849" s="50"/>
    </row>
    <row r="850">
      <c r="B850" s="18"/>
      <c r="O850" s="50"/>
    </row>
    <row r="851">
      <c r="B851" s="18"/>
      <c r="O851" s="50"/>
    </row>
    <row r="852">
      <c r="B852" s="18"/>
      <c r="O852" s="50"/>
    </row>
    <row r="853">
      <c r="B853" s="18"/>
      <c r="O853" s="50"/>
    </row>
    <row r="854">
      <c r="B854" s="18"/>
      <c r="O854" s="50"/>
    </row>
    <row r="855">
      <c r="B855" s="18"/>
      <c r="O855" s="50"/>
    </row>
    <row r="856">
      <c r="B856" s="18"/>
      <c r="O856" s="50"/>
    </row>
    <row r="857">
      <c r="B857" s="18"/>
      <c r="O857" s="50"/>
    </row>
    <row r="858">
      <c r="B858" s="18"/>
      <c r="O858" s="50"/>
    </row>
    <row r="859">
      <c r="B859" s="18"/>
      <c r="O859" s="50"/>
    </row>
    <row r="860">
      <c r="B860" s="18"/>
      <c r="O860" s="50"/>
    </row>
    <row r="861">
      <c r="B861" s="18"/>
      <c r="O861" s="50"/>
    </row>
    <row r="862">
      <c r="B862" s="18"/>
      <c r="O862" s="50"/>
    </row>
    <row r="863">
      <c r="B863" s="18"/>
      <c r="O863" s="50"/>
    </row>
    <row r="864">
      <c r="B864" s="18"/>
      <c r="O864" s="50"/>
    </row>
    <row r="865">
      <c r="B865" s="18"/>
      <c r="O865" s="50"/>
    </row>
    <row r="866">
      <c r="B866" s="18"/>
      <c r="O866" s="50"/>
    </row>
    <row r="867">
      <c r="B867" s="18"/>
      <c r="O867" s="50"/>
    </row>
    <row r="868">
      <c r="B868" s="18"/>
      <c r="O868" s="50"/>
    </row>
    <row r="869">
      <c r="B869" s="18"/>
      <c r="O869" s="50"/>
    </row>
    <row r="870">
      <c r="B870" s="18"/>
      <c r="O870" s="50"/>
    </row>
    <row r="871">
      <c r="B871" s="18"/>
      <c r="O871" s="50"/>
    </row>
    <row r="872">
      <c r="B872" s="18"/>
      <c r="O872" s="50"/>
    </row>
    <row r="873">
      <c r="B873" s="18"/>
      <c r="O873" s="50"/>
    </row>
    <row r="874">
      <c r="B874" s="18"/>
      <c r="O874" s="50"/>
    </row>
    <row r="875">
      <c r="B875" s="18"/>
      <c r="O875" s="50"/>
    </row>
    <row r="876">
      <c r="B876" s="18"/>
      <c r="O876" s="50"/>
    </row>
    <row r="877">
      <c r="B877" s="18"/>
      <c r="O877" s="50"/>
    </row>
    <row r="878">
      <c r="B878" s="18"/>
      <c r="O878" s="50"/>
    </row>
    <row r="879">
      <c r="B879" s="18"/>
      <c r="O879" s="50"/>
    </row>
    <row r="880">
      <c r="B880" s="18"/>
      <c r="O880" s="50"/>
    </row>
    <row r="881">
      <c r="B881" s="18"/>
      <c r="O881" s="50"/>
    </row>
    <row r="882">
      <c r="B882" s="18"/>
      <c r="O882" s="50"/>
    </row>
    <row r="883">
      <c r="B883" s="18"/>
      <c r="O883" s="50"/>
    </row>
    <row r="884">
      <c r="B884" s="18"/>
      <c r="O884" s="50"/>
    </row>
    <row r="885">
      <c r="B885" s="18"/>
      <c r="O885" s="50"/>
    </row>
    <row r="886">
      <c r="B886" s="18"/>
      <c r="O886" s="50"/>
    </row>
    <row r="887">
      <c r="B887" s="18"/>
      <c r="O887" s="50"/>
    </row>
    <row r="888">
      <c r="B888" s="18"/>
      <c r="O888" s="50"/>
    </row>
    <row r="889">
      <c r="B889" s="18"/>
      <c r="O889" s="50"/>
    </row>
    <row r="890">
      <c r="B890" s="18"/>
      <c r="O890" s="50"/>
    </row>
    <row r="891">
      <c r="B891" s="18"/>
      <c r="O891" s="50"/>
    </row>
    <row r="892">
      <c r="B892" s="18"/>
      <c r="O892" s="50"/>
    </row>
    <row r="893">
      <c r="B893" s="18"/>
      <c r="O893" s="50"/>
    </row>
    <row r="894">
      <c r="B894" s="18"/>
      <c r="O894" s="50"/>
    </row>
    <row r="895">
      <c r="B895" s="18"/>
      <c r="O895" s="50"/>
    </row>
    <row r="896">
      <c r="B896" s="18"/>
      <c r="O896" s="50"/>
    </row>
    <row r="897">
      <c r="B897" s="18"/>
      <c r="O897" s="50"/>
    </row>
    <row r="898">
      <c r="B898" s="18"/>
      <c r="O898" s="50"/>
    </row>
    <row r="899">
      <c r="B899" s="18"/>
      <c r="O899" s="50"/>
    </row>
    <row r="900">
      <c r="B900" s="18"/>
      <c r="O900" s="50"/>
    </row>
    <row r="901">
      <c r="B901" s="18"/>
      <c r="O901" s="50"/>
    </row>
    <row r="902">
      <c r="B902" s="18"/>
      <c r="O902" s="50"/>
    </row>
    <row r="903">
      <c r="B903" s="18"/>
      <c r="O903" s="50"/>
    </row>
    <row r="904">
      <c r="B904" s="18"/>
      <c r="O904" s="50"/>
    </row>
    <row r="905">
      <c r="B905" s="18"/>
      <c r="O905" s="50"/>
    </row>
    <row r="906">
      <c r="B906" s="18"/>
      <c r="O906" s="50"/>
    </row>
    <row r="907">
      <c r="B907" s="18"/>
      <c r="O907" s="50"/>
    </row>
    <row r="908">
      <c r="B908" s="18"/>
      <c r="O908" s="50"/>
    </row>
    <row r="909">
      <c r="B909" s="18"/>
      <c r="O909" s="50"/>
    </row>
    <row r="910">
      <c r="B910" s="18"/>
      <c r="O910" s="50"/>
    </row>
    <row r="911">
      <c r="B911" s="18"/>
      <c r="O911" s="50"/>
    </row>
    <row r="912">
      <c r="B912" s="18"/>
      <c r="O912" s="50"/>
    </row>
    <row r="913">
      <c r="B913" s="18"/>
      <c r="O913" s="50"/>
    </row>
    <row r="914">
      <c r="B914" s="18"/>
      <c r="O914" s="50"/>
    </row>
    <row r="915">
      <c r="B915" s="18"/>
      <c r="O915" s="50"/>
    </row>
    <row r="916">
      <c r="B916" s="18"/>
      <c r="O916" s="50"/>
    </row>
    <row r="917">
      <c r="B917" s="18"/>
      <c r="O917" s="50"/>
    </row>
    <row r="918">
      <c r="B918" s="18"/>
      <c r="O918" s="50"/>
    </row>
    <row r="919">
      <c r="B919" s="18"/>
      <c r="O919" s="50"/>
    </row>
    <row r="920">
      <c r="B920" s="18"/>
      <c r="O920" s="50"/>
    </row>
    <row r="921">
      <c r="B921" s="18"/>
      <c r="O921" s="50"/>
    </row>
    <row r="922">
      <c r="B922" s="18"/>
      <c r="O922" s="50"/>
    </row>
    <row r="923">
      <c r="B923" s="18"/>
      <c r="O923" s="50"/>
    </row>
    <row r="924">
      <c r="B924" s="18"/>
      <c r="O924" s="50"/>
    </row>
    <row r="925">
      <c r="B925" s="18"/>
      <c r="O925" s="50"/>
    </row>
    <row r="926">
      <c r="B926" s="18"/>
      <c r="O926" s="50"/>
    </row>
    <row r="927">
      <c r="B927" s="18"/>
      <c r="O927" s="50"/>
    </row>
    <row r="928">
      <c r="B928" s="18"/>
      <c r="O928" s="50"/>
    </row>
    <row r="929">
      <c r="B929" s="18"/>
      <c r="O929" s="50"/>
    </row>
    <row r="930">
      <c r="B930" s="18"/>
      <c r="O930" s="50"/>
    </row>
    <row r="931">
      <c r="B931" s="18"/>
      <c r="O931" s="50"/>
    </row>
    <row r="932">
      <c r="B932" s="18"/>
      <c r="O932" s="50"/>
    </row>
    <row r="933">
      <c r="B933" s="18"/>
      <c r="O933" s="50"/>
    </row>
    <row r="934">
      <c r="B934" s="18"/>
      <c r="O934" s="50"/>
    </row>
    <row r="935">
      <c r="B935" s="18"/>
      <c r="O935" s="50"/>
    </row>
    <row r="936">
      <c r="B936" s="18"/>
      <c r="O936" s="50"/>
    </row>
    <row r="937">
      <c r="B937" s="18"/>
      <c r="O937" s="50"/>
    </row>
    <row r="938">
      <c r="B938" s="18"/>
      <c r="O938" s="50"/>
    </row>
    <row r="939">
      <c r="B939" s="18"/>
      <c r="O939" s="50"/>
    </row>
    <row r="940">
      <c r="B940" s="18"/>
      <c r="O940" s="50"/>
    </row>
    <row r="941">
      <c r="B941" s="18"/>
      <c r="O941" s="50"/>
    </row>
    <row r="942">
      <c r="B942" s="18"/>
      <c r="O942" s="50"/>
    </row>
    <row r="943">
      <c r="B943" s="18"/>
      <c r="O943" s="50"/>
    </row>
    <row r="944">
      <c r="B944" s="18"/>
      <c r="O944" s="50"/>
    </row>
    <row r="945">
      <c r="B945" s="18"/>
      <c r="O945" s="50"/>
    </row>
    <row r="946">
      <c r="B946" s="18"/>
      <c r="O946" s="50"/>
    </row>
    <row r="947">
      <c r="B947" s="18"/>
      <c r="O947" s="50"/>
    </row>
    <row r="948">
      <c r="B948" s="18"/>
      <c r="O948" s="50"/>
    </row>
    <row r="949">
      <c r="B949" s="18"/>
      <c r="O949" s="50"/>
    </row>
    <row r="950">
      <c r="B950" s="18"/>
      <c r="O950" s="50"/>
    </row>
    <row r="951">
      <c r="B951" s="18"/>
      <c r="O951" s="50"/>
    </row>
    <row r="952">
      <c r="B952" s="18"/>
      <c r="O952" s="50"/>
    </row>
    <row r="953">
      <c r="B953" s="18"/>
      <c r="O953" s="50"/>
    </row>
    <row r="954">
      <c r="B954" s="18"/>
      <c r="O954" s="50"/>
    </row>
    <row r="955">
      <c r="B955" s="18"/>
      <c r="O955" s="50"/>
    </row>
    <row r="956">
      <c r="B956" s="18"/>
      <c r="O956" s="50"/>
    </row>
    <row r="957">
      <c r="B957" s="18"/>
      <c r="O957" s="50"/>
    </row>
    <row r="958">
      <c r="B958" s="18"/>
      <c r="O958" s="50"/>
    </row>
    <row r="959">
      <c r="B959" s="18"/>
      <c r="O959" s="50"/>
    </row>
    <row r="960">
      <c r="B960" s="18"/>
      <c r="O960" s="50"/>
    </row>
    <row r="961">
      <c r="B961" s="18"/>
      <c r="O961" s="50"/>
    </row>
    <row r="962">
      <c r="B962" s="18"/>
      <c r="O962" s="50"/>
    </row>
    <row r="963">
      <c r="B963" s="18"/>
      <c r="O963" s="50"/>
    </row>
    <row r="964">
      <c r="B964" s="18"/>
      <c r="O964" s="50"/>
    </row>
    <row r="965">
      <c r="B965" s="18"/>
      <c r="O965" s="50"/>
    </row>
    <row r="966">
      <c r="B966" s="18"/>
      <c r="O966" s="50"/>
    </row>
    <row r="967">
      <c r="B967" s="18"/>
      <c r="O967" s="50"/>
    </row>
    <row r="968">
      <c r="B968" s="18"/>
      <c r="O968" s="50"/>
    </row>
    <row r="969">
      <c r="B969" s="18"/>
      <c r="O969" s="50"/>
    </row>
    <row r="970">
      <c r="B970" s="18"/>
      <c r="O970" s="50"/>
    </row>
    <row r="971">
      <c r="B971" s="18"/>
      <c r="O971" s="50"/>
    </row>
    <row r="972">
      <c r="B972" s="18"/>
      <c r="O972" s="50"/>
    </row>
    <row r="973">
      <c r="B973" s="18"/>
      <c r="O973" s="50"/>
    </row>
    <row r="974">
      <c r="B974" s="18"/>
      <c r="O974" s="50"/>
    </row>
    <row r="975">
      <c r="B975" s="18"/>
      <c r="O975" s="50"/>
    </row>
    <row r="976">
      <c r="B976" s="18"/>
      <c r="O976" s="50"/>
    </row>
    <row r="977">
      <c r="B977" s="18"/>
      <c r="O977" s="50"/>
    </row>
    <row r="978">
      <c r="B978" s="18"/>
      <c r="O978" s="50"/>
    </row>
    <row r="979">
      <c r="B979" s="18"/>
      <c r="O979" s="50"/>
    </row>
    <row r="980">
      <c r="B980" s="18"/>
      <c r="O980" s="50"/>
    </row>
    <row r="981">
      <c r="B981" s="18"/>
      <c r="O981" s="50"/>
    </row>
    <row r="982">
      <c r="B982" s="18"/>
      <c r="O982" s="50"/>
    </row>
    <row r="983">
      <c r="B983" s="18"/>
      <c r="O983" s="50"/>
    </row>
    <row r="984">
      <c r="B984" s="18"/>
      <c r="O984" s="50"/>
    </row>
    <row r="985">
      <c r="B985" s="18"/>
      <c r="O985" s="50"/>
    </row>
    <row r="986">
      <c r="B986" s="18"/>
      <c r="O986" s="50"/>
    </row>
    <row r="987">
      <c r="B987" s="18"/>
      <c r="O987" s="50"/>
    </row>
    <row r="988">
      <c r="B988" s="18"/>
      <c r="O988" s="50"/>
    </row>
    <row r="989">
      <c r="B989" s="18"/>
      <c r="O989" s="50"/>
    </row>
    <row r="990">
      <c r="B990" s="18"/>
      <c r="O990" s="50"/>
    </row>
    <row r="991">
      <c r="B991" s="18"/>
      <c r="O991" s="50"/>
    </row>
    <row r="992">
      <c r="B992" s="18"/>
      <c r="O992" s="50"/>
    </row>
    <row r="993">
      <c r="B993" s="18"/>
      <c r="O993" s="50"/>
    </row>
    <row r="994">
      <c r="B994" s="18"/>
      <c r="O994" s="50"/>
    </row>
    <row r="995">
      <c r="B995" s="18"/>
      <c r="O995" s="50"/>
    </row>
    <row r="996">
      <c r="B996" s="18"/>
      <c r="O996" s="50"/>
    </row>
    <row r="997">
      <c r="B997" s="18"/>
      <c r="O997" s="50"/>
    </row>
    <row r="998">
      <c r="B998" s="18"/>
      <c r="O998" s="50"/>
    </row>
    <row r="999">
      <c r="B999" s="18"/>
      <c r="O999" s="50"/>
    </row>
    <row r="1000">
      <c r="B1000" s="18"/>
      <c r="O1000" s="50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3" max="7" width="17.0"/>
    <col customWidth="1" min="8" max="8" width="18.0"/>
    <col customWidth="1" min="9" max="9" width="22.0"/>
    <col customWidth="1" min="10" max="18" width="20.71"/>
    <col customWidth="1" min="19" max="19" width="21.71"/>
  </cols>
  <sheetData>
    <row r="1">
      <c r="A1" s="1" t="s">
        <v>0</v>
      </c>
      <c r="B1" s="2" t="s">
        <v>1</v>
      </c>
      <c r="C1" s="7" t="s">
        <v>371</v>
      </c>
      <c r="D1" s="7" t="s">
        <v>372</v>
      </c>
      <c r="E1" s="7" t="s">
        <v>373</v>
      </c>
      <c r="F1" s="7" t="s">
        <v>374</v>
      </c>
      <c r="G1" s="7" t="s">
        <v>375</v>
      </c>
      <c r="H1" s="7" t="s">
        <v>376</v>
      </c>
      <c r="I1" s="7" t="s">
        <v>377</v>
      </c>
      <c r="J1" s="7" t="s">
        <v>378</v>
      </c>
      <c r="K1" s="7" t="s">
        <v>379</v>
      </c>
      <c r="L1" s="7" t="s">
        <v>380</v>
      </c>
      <c r="M1" s="7" t="s">
        <v>381</v>
      </c>
      <c r="N1" s="7" t="s">
        <v>382</v>
      </c>
      <c r="O1" s="7" t="s">
        <v>383</v>
      </c>
      <c r="P1" s="7" t="s">
        <v>384</v>
      </c>
      <c r="Q1" s="7" t="s">
        <v>385</v>
      </c>
      <c r="R1" s="7" t="s">
        <v>386</v>
      </c>
      <c r="S1" s="7" t="s">
        <v>387</v>
      </c>
      <c r="T1" s="7" t="s">
        <v>388</v>
      </c>
      <c r="U1" s="7" t="s">
        <v>389</v>
      </c>
      <c r="V1" s="7" t="s">
        <v>390</v>
      </c>
      <c r="W1" s="7" t="s">
        <v>391</v>
      </c>
      <c r="X1" s="7" t="s">
        <v>392</v>
      </c>
    </row>
    <row r="2">
      <c r="A2" s="8">
        <v>40179.0</v>
      </c>
      <c r="B2" s="18">
        <f>IFERROR(__xludf.DUMMYFUNCTION("IMPORTRANGE(""https://docs.google.com/spreadsheets/d/1oPTPmoJ9phtMOkp-nMB7WHnPESomLzqUj9t0gcE9bYA"",""Current Region!T2:T130"")"),2697.0)</f>
        <v>2697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26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26</v>
      </c>
      <c r="U2" s="7" t="s">
        <v>26</v>
      </c>
      <c r="V2" s="7" t="s">
        <v>26</v>
      </c>
      <c r="W2" s="7" t="s">
        <v>26</v>
      </c>
      <c r="X2" s="7" t="s">
        <v>26</v>
      </c>
    </row>
    <row r="3">
      <c r="A3" s="8">
        <v>40210.0</v>
      </c>
      <c r="B3" s="18">
        <f>IFERROR(__xludf.DUMMYFUNCTION("""COMPUTED_VALUE"""),3341.0)</f>
        <v>3341</v>
      </c>
      <c r="C3" s="7" t="s">
        <v>26</v>
      </c>
      <c r="D3" s="7" t="s">
        <v>26</v>
      </c>
      <c r="E3" s="7" t="s">
        <v>26</v>
      </c>
      <c r="F3" s="7" t="s">
        <v>26</v>
      </c>
      <c r="G3" s="7" t="s">
        <v>26</v>
      </c>
      <c r="H3" s="7" t="s">
        <v>26</v>
      </c>
      <c r="I3" s="7" t="s">
        <v>26</v>
      </c>
      <c r="J3" s="7" t="s">
        <v>26</v>
      </c>
      <c r="K3" s="7" t="s">
        <v>26</v>
      </c>
      <c r="L3" s="7" t="s">
        <v>26</v>
      </c>
      <c r="M3" s="7" t="s">
        <v>26</v>
      </c>
      <c r="N3" s="7" t="s">
        <v>26</v>
      </c>
      <c r="O3" s="7" t="s">
        <v>26</v>
      </c>
      <c r="P3" s="7" t="s">
        <v>26</v>
      </c>
      <c r="Q3" s="7" t="s">
        <v>26</v>
      </c>
      <c r="R3" s="7" t="s">
        <v>26</v>
      </c>
      <c r="S3" s="7" t="s">
        <v>26</v>
      </c>
      <c r="T3" s="7" t="s">
        <v>26</v>
      </c>
      <c r="U3" s="7" t="s">
        <v>26</v>
      </c>
      <c r="V3" s="7" t="s">
        <v>26</v>
      </c>
      <c r="W3" s="7" t="s">
        <v>26</v>
      </c>
      <c r="X3" s="7" t="s">
        <v>26</v>
      </c>
    </row>
    <row r="4">
      <c r="A4" s="8">
        <v>40238.0</v>
      </c>
      <c r="B4" s="18">
        <f>IFERROR(__xludf.DUMMYFUNCTION("""COMPUTED_VALUE"""),918.0)</f>
        <v>918</v>
      </c>
      <c r="C4" s="7" t="s">
        <v>26</v>
      </c>
      <c r="D4" s="7" t="s">
        <v>26</v>
      </c>
      <c r="E4" s="7" t="s">
        <v>26</v>
      </c>
      <c r="F4" s="7" t="s">
        <v>26</v>
      </c>
      <c r="G4" s="7" t="s">
        <v>26</v>
      </c>
      <c r="H4" s="7" t="s">
        <v>26</v>
      </c>
      <c r="I4" s="7" t="s">
        <v>26</v>
      </c>
      <c r="J4" s="7" t="s">
        <v>26</v>
      </c>
      <c r="K4" s="7" t="s">
        <v>26</v>
      </c>
      <c r="L4" s="7" t="s">
        <v>26</v>
      </c>
      <c r="M4" s="7" t="s">
        <v>26</v>
      </c>
      <c r="N4" s="7" t="s">
        <v>26</v>
      </c>
      <c r="O4" s="7" t="s">
        <v>26</v>
      </c>
      <c r="P4" s="7" t="s">
        <v>26</v>
      </c>
      <c r="Q4" s="7" t="s">
        <v>26</v>
      </c>
      <c r="R4" s="7" t="s">
        <v>26</v>
      </c>
      <c r="S4" s="7" t="s">
        <v>26</v>
      </c>
      <c r="T4" s="7" t="s">
        <v>26</v>
      </c>
      <c r="U4" s="7" t="s">
        <v>26</v>
      </c>
      <c r="V4" s="7" t="s">
        <v>26</v>
      </c>
      <c r="W4" s="7" t="s">
        <v>26</v>
      </c>
      <c r="X4" s="7" t="s">
        <v>26</v>
      </c>
    </row>
    <row r="5">
      <c r="A5" s="8">
        <v>40269.0</v>
      </c>
      <c r="B5" s="18">
        <f>IFERROR(__xludf.DUMMYFUNCTION("""COMPUTED_VALUE"""),620.0)</f>
        <v>620</v>
      </c>
      <c r="C5" s="7" t="s">
        <v>26</v>
      </c>
      <c r="D5" s="7" t="s">
        <v>26</v>
      </c>
      <c r="E5" s="7" t="s">
        <v>26</v>
      </c>
      <c r="F5" s="7" t="s">
        <v>26</v>
      </c>
      <c r="G5" s="7" t="s">
        <v>26</v>
      </c>
      <c r="H5" s="7" t="s">
        <v>26</v>
      </c>
      <c r="I5" s="7" t="s">
        <v>26</v>
      </c>
      <c r="J5" s="7" t="s">
        <v>26</v>
      </c>
      <c r="K5" s="7" t="s">
        <v>26</v>
      </c>
      <c r="L5" s="7" t="s">
        <v>26</v>
      </c>
      <c r="M5" s="7" t="s">
        <v>26</v>
      </c>
      <c r="N5" s="7" t="s">
        <v>26</v>
      </c>
      <c r="O5" s="7" t="s">
        <v>26</v>
      </c>
      <c r="P5" s="7" t="s">
        <v>26</v>
      </c>
      <c r="Q5" s="7" t="s">
        <v>26</v>
      </c>
      <c r="R5" s="7" t="s">
        <v>26</v>
      </c>
      <c r="S5" s="7" t="s">
        <v>26</v>
      </c>
      <c r="T5" s="7" t="s">
        <v>26</v>
      </c>
      <c r="U5" s="7" t="s">
        <v>26</v>
      </c>
      <c r="V5" s="7" t="s">
        <v>26</v>
      </c>
      <c r="W5" s="7" t="s">
        <v>26</v>
      </c>
      <c r="X5" s="7" t="s">
        <v>26</v>
      </c>
    </row>
    <row r="6">
      <c r="A6" s="8">
        <v>40299.0</v>
      </c>
      <c r="B6" s="18">
        <f>IFERROR(__xludf.DUMMYFUNCTION("""COMPUTED_VALUE"""),3022.0)</f>
        <v>3022</v>
      </c>
      <c r="C6" s="7" t="s">
        <v>26</v>
      </c>
      <c r="D6" s="7" t="s">
        <v>26</v>
      </c>
      <c r="E6" s="7" t="s">
        <v>26</v>
      </c>
      <c r="F6" s="7" t="s">
        <v>26</v>
      </c>
      <c r="G6" s="7" t="s">
        <v>26</v>
      </c>
      <c r="H6" s="7" t="s">
        <v>26</v>
      </c>
      <c r="I6" s="7" t="s">
        <v>26</v>
      </c>
      <c r="J6" s="7" t="s">
        <v>26</v>
      </c>
      <c r="K6" s="7" t="s">
        <v>26</v>
      </c>
      <c r="L6" s="7" t="s">
        <v>26</v>
      </c>
      <c r="M6" s="7" t="s">
        <v>26</v>
      </c>
      <c r="N6" s="7" t="s">
        <v>26</v>
      </c>
      <c r="O6" s="7" t="s">
        <v>26</v>
      </c>
      <c r="P6" s="7" t="s">
        <v>26</v>
      </c>
      <c r="Q6" s="7" t="s">
        <v>26</v>
      </c>
      <c r="R6" s="7" t="s">
        <v>26</v>
      </c>
      <c r="S6" s="7" t="s">
        <v>26</v>
      </c>
      <c r="T6" s="7" t="s">
        <v>26</v>
      </c>
      <c r="U6" s="7" t="s">
        <v>26</v>
      </c>
      <c r="V6" s="7" t="s">
        <v>26</v>
      </c>
      <c r="W6" s="7" t="s">
        <v>26</v>
      </c>
      <c r="X6" s="7" t="s">
        <v>26</v>
      </c>
    </row>
    <row r="7">
      <c r="A7" s="8">
        <v>40330.0</v>
      </c>
      <c r="B7" s="18">
        <f>IFERROR(__xludf.DUMMYFUNCTION("""COMPUTED_VALUE"""),5033.0)</f>
        <v>5033</v>
      </c>
      <c r="C7" s="7" t="s">
        <v>26</v>
      </c>
      <c r="D7" s="7" t="s">
        <v>26</v>
      </c>
      <c r="E7" s="7" t="s">
        <v>26</v>
      </c>
      <c r="F7" s="7" t="s">
        <v>26</v>
      </c>
      <c r="G7" s="7" t="s">
        <v>26</v>
      </c>
      <c r="H7" s="7" t="s">
        <v>26</v>
      </c>
      <c r="I7" s="7" t="s">
        <v>26</v>
      </c>
      <c r="J7" s="7" t="s">
        <v>26</v>
      </c>
      <c r="K7" s="7" t="s">
        <v>26</v>
      </c>
      <c r="L7" s="7" t="s">
        <v>26</v>
      </c>
      <c r="M7" s="7" t="s">
        <v>26</v>
      </c>
      <c r="N7" s="7" t="s">
        <v>26</v>
      </c>
      <c r="O7" s="7" t="s">
        <v>26</v>
      </c>
      <c r="P7" s="7" t="s">
        <v>26</v>
      </c>
      <c r="Q7" s="7" t="s">
        <v>26</v>
      </c>
      <c r="R7" s="7" t="s">
        <v>26</v>
      </c>
      <c r="S7" s="7" t="s">
        <v>26</v>
      </c>
      <c r="T7" s="7" t="s">
        <v>26</v>
      </c>
      <c r="U7" s="7" t="s">
        <v>26</v>
      </c>
      <c r="V7" s="7" t="s">
        <v>26</v>
      </c>
      <c r="W7" s="7" t="s">
        <v>26</v>
      </c>
      <c r="X7" s="7" t="s">
        <v>26</v>
      </c>
    </row>
    <row r="8">
      <c r="A8" s="8">
        <v>40360.0</v>
      </c>
      <c r="B8" s="18">
        <f>IFERROR(__xludf.DUMMYFUNCTION("""COMPUTED_VALUE"""),2660.0)</f>
        <v>2660</v>
      </c>
      <c r="C8" s="7" t="s">
        <v>26</v>
      </c>
      <c r="D8" s="7" t="s">
        <v>26</v>
      </c>
      <c r="E8" s="7" t="s">
        <v>26</v>
      </c>
      <c r="F8" s="7" t="s">
        <v>26</v>
      </c>
      <c r="G8" s="7" t="s">
        <v>26</v>
      </c>
      <c r="H8" s="7" t="s">
        <v>26</v>
      </c>
      <c r="I8" s="7" t="s">
        <v>26</v>
      </c>
      <c r="J8" s="7" t="s">
        <v>26</v>
      </c>
      <c r="K8" s="7" t="s">
        <v>26</v>
      </c>
      <c r="L8" s="7" t="s">
        <v>26</v>
      </c>
      <c r="M8" s="7" t="s">
        <v>26</v>
      </c>
      <c r="N8" s="7" t="s">
        <v>26</v>
      </c>
      <c r="O8" s="7" t="s">
        <v>26</v>
      </c>
      <c r="P8" s="7" t="s">
        <v>26</v>
      </c>
      <c r="Q8" s="7" t="s">
        <v>26</v>
      </c>
      <c r="R8" s="7" t="s">
        <v>26</v>
      </c>
      <c r="S8" s="7" t="s">
        <v>26</v>
      </c>
      <c r="T8" s="7" t="s">
        <v>26</v>
      </c>
      <c r="U8" s="7" t="s">
        <v>26</v>
      </c>
      <c r="V8" s="7" t="s">
        <v>26</v>
      </c>
      <c r="W8" s="7" t="s">
        <v>26</v>
      </c>
      <c r="X8" s="7" t="s">
        <v>26</v>
      </c>
    </row>
    <row r="9">
      <c r="A9" s="8">
        <v>40391.0</v>
      </c>
      <c r="B9" s="18">
        <f>IFERROR(__xludf.DUMMYFUNCTION("""COMPUTED_VALUE"""),162.0)</f>
        <v>162</v>
      </c>
      <c r="C9" s="7" t="s">
        <v>26</v>
      </c>
      <c r="D9" s="7" t="s">
        <v>26</v>
      </c>
      <c r="E9" s="7" t="s">
        <v>26</v>
      </c>
      <c r="F9" s="7" t="s">
        <v>26</v>
      </c>
      <c r="G9" s="7" t="s">
        <v>26</v>
      </c>
      <c r="H9" s="7" t="s">
        <v>26</v>
      </c>
      <c r="I9" s="7" t="s">
        <v>26</v>
      </c>
      <c r="J9" s="7" t="s">
        <v>26</v>
      </c>
      <c r="K9" s="7" t="s">
        <v>26</v>
      </c>
      <c r="L9" s="7" t="s">
        <v>26</v>
      </c>
      <c r="M9" s="7" t="s">
        <v>26</v>
      </c>
      <c r="N9" s="7" t="s">
        <v>26</v>
      </c>
      <c r="O9" s="7" t="s">
        <v>26</v>
      </c>
      <c r="P9" s="7" t="s">
        <v>26</v>
      </c>
      <c r="Q9" s="7" t="s">
        <v>26</v>
      </c>
      <c r="R9" s="7" t="s">
        <v>26</v>
      </c>
      <c r="S9" s="7" t="s">
        <v>26</v>
      </c>
      <c r="T9" s="7" t="s">
        <v>26</v>
      </c>
      <c r="U9" s="7" t="s">
        <v>26</v>
      </c>
      <c r="V9" s="7" t="s">
        <v>26</v>
      </c>
      <c r="W9" s="7" t="s">
        <v>26</v>
      </c>
      <c r="X9" s="7" t="s">
        <v>26</v>
      </c>
    </row>
    <row r="10">
      <c r="A10" s="8">
        <v>40422.0</v>
      </c>
      <c r="B10" s="18">
        <f>IFERROR(__xludf.DUMMYFUNCTION("""COMPUTED_VALUE"""),100.0)</f>
        <v>100</v>
      </c>
      <c r="C10" s="7" t="s">
        <v>26</v>
      </c>
      <c r="D10" s="7" t="s">
        <v>26</v>
      </c>
      <c r="E10" s="7" t="s">
        <v>26</v>
      </c>
      <c r="F10" s="7" t="s">
        <v>26</v>
      </c>
      <c r="G10" s="7" t="s">
        <v>26</v>
      </c>
      <c r="H10" s="7" t="s">
        <v>26</v>
      </c>
      <c r="I10" s="7" t="s">
        <v>26</v>
      </c>
      <c r="J10" s="7" t="s">
        <v>26</v>
      </c>
      <c r="K10" s="7" t="s">
        <v>26</v>
      </c>
      <c r="L10" s="7" t="s">
        <v>26</v>
      </c>
      <c r="M10" s="7" t="s">
        <v>26</v>
      </c>
      <c r="N10" s="7" t="s">
        <v>26</v>
      </c>
      <c r="O10" s="7" t="s">
        <v>26</v>
      </c>
      <c r="P10" s="7" t="s">
        <v>26</v>
      </c>
      <c r="Q10" s="7" t="s">
        <v>26</v>
      </c>
      <c r="R10" s="7" t="s">
        <v>26</v>
      </c>
      <c r="S10" s="7" t="s">
        <v>26</v>
      </c>
      <c r="T10" s="7" t="s">
        <v>26</v>
      </c>
      <c r="U10" s="7" t="s">
        <v>26</v>
      </c>
      <c r="V10" s="7" t="s">
        <v>26</v>
      </c>
      <c r="W10" s="7" t="s">
        <v>26</v>
      </c>
      <c r="X10" s="7" t="s">
        <v>26</v>
      </c>
    </row>
    <row r="11">
      <c r="A11" s="8">
        <v>40452.0</v>
      </c>
      <c r="B11" s="18">
        <f>IFERROR(__xludf.DUMMYFUNCTION("""COMPUTED_VALUE"""),466.0)</f>
        <v>466</v>
      </c>
      <c r="C11" s="7" t="s">
        <v>26</v>
      </c>
      <c r="D11" s="7" t="s">
        <v>26</v>
      </c>
      <c r="E11" s="7" t="s">
        <v>26</v>
      </c>
      <c r="F11" s="7" t="s">
        <v>26</v>
      </c>
      <c r="G11" s="7" t="s">
        <v>26</v>
      </c>
      <c r="H11" s="7" t="s">
        <v>26</v>
      </c>
      <c r="I11" s="7" t="s">
        <v>26</v>
      </c>
      <c r="J11" s="7" t="s">
        <v>26</v>
      </c>
      <c r="K11" s="7" t="s">
        <v>26</v>
      </c>
      <c r="L11" s="7" t="s">
        <v>26</v>
      </c>
      <c r="M11" s="7" t="s">
        <v>26</v>
      </c>
      <c r="N11" s="7" t="s">
        <v>26</v>
      </c>
      <c r="O11" s="7" t="s">
        <v>26</v>
      </c>
      <c r="P11" s="7" t="s">
        <v>26</v>
      </c>
      <c r="Q11" s="7" t="s">
        <v>26</v>
      </c>
      <c r="R11" s="7" t="s">
        <v>26</v>
      </c>
      <c r="S11" s="7" t="s">
        <v>26</v>
      </c>
      <c r="T11" s="7" t="s">
        <v>26</v>
      </c>
      <c r="U11" s="7" t="s">
        <v>26</v>
      </c>
      <c r="V11" s="7" t="s">
        <v>26</v>
      </c>
      <c r="W11" s="7" t="s">
        <v>26</v>
      </c>
      <c r="X11" s="7" t="s">
        <v>26</v>
      </c>
    </row>
    <row r="12">
      <c r="A12" s="8">
        <v>40483.0</v>
      </c>
      <c r="B12" s="18">
        <f>IFERROR(__xludf.DUMMYFUNCTION("""COMPUTED_VALUE"""),1041.0)</f>
        <v>1041</v>
      </c>
      <c r="C12" s="7" t="s">
        <v>26</v>
      </c>
      <c r="D12" s="7" t="s">
        <v>26</v>
      </c>
      <c r="E12" s="7" t="s">
        <v>26</v>
      </c>
      <c r="F12" s="7" t="s">
        <v>26</v>
      </c>
      <c r="G12" s="7" t="s">
        <v>26</v>
      </c>
      <c r="H12" s="7" t="s">
        <v>26</v>
      </c>
      <c r="I12" s="7" t="s">
        <v>26</v>
      </c>
      <c r="J12" s="7" t="s">
        <v>26</v>
      </c>
      <c r="K12" s="7" t="s">
        <v>26</v>
      </c>
      <c r="L12" s="7" t="s">
        <v>26</v>
      </c>
      <c r="M12" s="7" t="s">
        <v>26</v>
      </c>
      <c r="N12" s="7" t="s">
        <v>26</v>
      </c>
      <c r="O12" s="7" t="s">
        <v>26</v>
      </c>
      <c r="P12" s="7" t="s">
        <v>26</v>
      </c>
      <c r="Q12" s="7" t="s">
        <v>26</v>
      </c>
      <c r="R12" s="7" t="s">
        <v>26</v>
      </c>
      <c r="S12" s="7" t="s">
        <v>26</v>
      </c>
      <c r="T12" s="7" t="s">
        <v>26</v>
      </c>
      <c r="U12" s="7" t="s">
        <v>26</v>
      </c>
      <c r="V12" s="7" t="s">
        <v>26</v>
      </c>
      <c r="W12" s="7" t="s">
        <v>26</v>
      </c>
      <c r="X12" s="7" t="s">
        <v>26</v>
      </c>
    </row>
    <row r="13">
      <c r="A13" s="8">
        <v>40513.0</v>
      </c>
      <c r="B13" s="18">
        <f>IFERROR(__xludf.DUMMYFUNCTION("""COMPUTED_VALUE"""),3438.0)</f>
        <v>3438</v>
      </c>
      <c r="C13" s="7" t="s">
        <v>26</v>
      </c>
      <c r="D13" s="7" t="s">
        <v>26</v>
      </c>
      <c r="E13" s="7" t="s">
        <v>26</v>
      </c>
      <c r="F13" s="7" t="s">
        <v>26</v>
      </c>
      <c r="G13" s="7" t="s">
        <v>26</v>
      </c>
      <c r="H13" s="7" t="s">
        <v>26</v>
      </c>
      <c r="I13" s="7" t="s">
        <v>26</v>
      </c>
      <c r="J13" s="7" t="s">
        <v>26</v>
      </c>
      <c r="K13" s="7" t="s">
        <v>26</v>
      </c>
      <c r="L13" s="7" t="s">
        <v>26</v>
      </c>
      <c r="M13" s="7" t="s">
        <v>26</v>
      </c>
      <c r="N13" s="7" t="s">
        <v>26</v>
      </c>
      <c r="O13" s="7" t="s">
        <v>26</v>
      </c>
      <c r="P13" s="7" t="s">
        <v>26</v>
      </c>
      <c r="Q13" s="7" t="s">
        <v>26</v>
      </c>
      <c r="R13" s="7" t="s">
        <v>26</v>
      </c>
      <c r="S13" s="7" t="s">
        <v>26</v>
      </c>
      <c r="T13" s="7" t="s">
        <v>26</v>
      </c>
      <c r="U13" s="7" t="s">
        <v>26</v>
      </c>
      <c r="V13" s="7" t="s">
        <v>26</v>
      </c>
      <c r="W13" s="7" t="s">
        <v>26</v>
      </c>
      <c r="X13" s="7" t="s">
        <v>26</v>
      </c>
    </row>
    <row r="14">
      <c r="A14" s="8">
        <v>40544.0</v>
      </c>
      <c r="B14" s="18">
        <f>IFERROR(__xludf.DUMMYFUNCTION("""COMPUTED_VALUE"""),7391.0)</f>
        <v>7391</v>
      </c>
      <c r="C14" s="7" t="s">
        <v>26</v>
      </c>
      <c r="D14" s="7" t="s">
        <v>26</v>
      </c>
      <c r="E14" s="7" t="s">
        <v>26</v>
      </c>
      <c r="F14" s="7" t="s">
        <v>26</v>
      </c>
      <c r="G14" s="7" t="s">
        <v>26</v>
      </c>
      <c r="H14" s="7" t="s">
        <v>26</v>
      </c>
      <c r="I14" s="7" t="s">
        <v>26</v>
      </c>
      <c r="J14" s="7" t="s">
        <v>26</v>
      </c>
      <c r="K14" s="7" t="s">
        <v>26</v>
      </c>
      <c r="L14" s="7" t="s">
        <v>26</v>
      </c>
      <c r="M14" s="7" t="s">
        <v>26</v>
      </c>
      <c r="N14" s="7" t="s">
        <v>26</v>
      </c>
      <c r="O14" s="7" t="s">
        <v>26</v>
      </c>
      <c r="P14" s="7" t="s">
        <v>26</v>
      </c>
      <c r="Q14" s="7" t="s">
        <v>26</v>
      </c>
      <c r="R14" s="7" t="s">
        <v>26</v>
      </c>
      <c r="S14" s="7" t="s">
        <v>26</v>
      </c>
      <c r="T14" s="7" t="s">
        <v>26</v>
      </c>
      <c r="U14" s="7" t="s">
        <v>26</v>
      </c>
      <c r="V14" s="7" t="s">
        <v>26</v>
      </c>
      <c r="W14" s="7" t="s">
        <v>26</v>
      </c>
      <c r="X14" s="7" t="s">
        <v>26</v>
      </c>
    </row>
    <row r="15">
      <c r="A15" s="8">
        <v>40575.0</v>
      </c>
      <c r="B15" s="18">
        <f>IFERROR(__xludf.DUMMYFUNCTION("""COMPUTED_VALUE"""),1644.0)</f>
        <v>1644</v>
      </c>
      <c r="C15" s="7" t="s">
        <v>26</v>
      </c>
      <c r="D15" s="7" t="s">
        <v>26</v>
      </c>
      <c r="E15" s="7" t="s">
        <v>26</v>
      </c>
      <c r="F15" s="7" t="s">
        <v>26</v>
      </c>
      <c r="G15" s="7" t="s">
        <v>26</v>
      </c>
      <c r="H15" s="7" t="s">
        <v>26</v>
      </c>
      <c r="I15" s="7" t="s">
        <v>26</v>
      </c>
      <c r="J15" s="7" t="s">
        <v>26</v>
      </c>
      <c r="K15" s="7" t="s">
        <v>26</v>
      </c>
      <c r="L15" s="7" t="s">
        <v>26</v>
      </c>
      <c r="M15" s="7" t="s">
        <v>26</v>
      </c>
      <c r="N15" s="7" t="s">
        <v>26</v>
      </c>
      <c r="O15" s="7" t="s">
        <v>26</v>
      </c>
      <c r="P15" s="7" t="s">
        <v>26</v>
      </c>
      <c r="Q15" s="7" t="s">
        <v>26</v>
      </c>
      <c r="R15" s="7" t="s">
        <v>26</v>
      </c>
      <c r="S15" s="7" t="s">
        <v>26</v>
      </c>
      <c r="T15" s="7" t="s">
        <v>26</v>
      </c>
      <c r="U15" s="7" t="s">
        <v>26</v>
      </c>
      <c r="V15" s="7" t="s">
        <v>26</v>
      </c>
      <c r="W15" s="7" t="s">
        <v>26</v>
      </c>
      <c r="X15" s="7" t="s">
        <v>26</v>
      </c>
    </row>
    <row r="16">
      <c r="A16" s="8">
        <v>40603.0</v>
      </c>
      <c r="B16" s="18">
        <f>IFERROR(__xludf.DUMMYFUNCTION("""COMPUTED_VALUE"""),4225.0)</f>
        <v>4225</v>
      </c>
      <c r="C16" s="7" t="s">
        <v>26</v>
      </c>
      <c r="D16" s="7" t="s">
        <v>26</v>
      </c>
      <c r="E16" s="7" t="s">
        <v>26</v>
      </c>
      <c r="F16" s="7" t="s">
        <v>26</v>
      </c>
      <c r="G16" s="7" t="s">
        <v>26</v>
      </c>
      <c r="H16" s="7" t="s">
        <v>26</v>
      </c>
      <c r="I16" s="7" t="s">
        <v>26</v>
      </c>
      <c r="J16" s="7" t="s">
        <v>26</v>
      </c>
      <c r="K16" s="7" t="s">
        <v>26</v>
      </c>
      <c r="L16" s="7" t="s">
        <v>26</v>
      </c>
      <c r="M16" s="7" t="s">
        <v>26</v>
      </c>
      <c r="N16" s="7" t="s">
        <v>26</v>
      </c>
      <c r="O16" s="7" t="s">
        <v>26</v>
      </c>
      <c r="P16" s="7" t="s">
        <v>26</v>
      </c>
      <c r="Q16" s="7" t="s">
        <v>26</v>
      </c>
      <c r="R16" s="7" t="s">
        <v>26</v>
      </c>
      <c r="S16" s="7" t="s">
        <v>26</v>
      </c>
      <c r="T16" s="7" t="s">
        <v>26</v>
      </c>
      <c r="U16" s="7" t="s">
        <v>26</v>
      </c>
      <c r="V16" s="7" t="s">
        <v>26</v>
      </c>
      <c r="W16" s="7" t="s">
        <v>26</v>
      </c>
      <c r="X16" s="7" t="s">
        <v>26</v>
      </c>
    </row>
    <row r="17">
      <c r="A17" s="8">
        <v>40634.0</v>
      </c>
      <c r="B17" s="18">
        <f>IFERROR(__xludf.DUMMYFUNCTION("""COMPUTED_VALUE"""),7802.0)</f>
        <v>7802</v>
      </c>
      <c r="C17" s="7" t="s">
        <v>26</v>
      </c>
      <c r="D17" s="7" t="s">
        <v>26</v>
      </c>
      <c r="E17" s="7" t="s">
        <v>26</v>
      </c>
      <c r="F17" s="7" t="s">
        <v>26</v>
      </c>
      <c r="G17" s="7" t="s">
        <v>26</v>
      </c>
      <c r="H17" s="7" t="s">
        <v>26</v>
      </c>
      <c r="I17" s="7" t="s">
        <v>26</v>
      </c>
      <c r="J17" s="7" t="s">
        <v>26</v>
      </c>
      <c r="K17" s="7" t="s">
        <v>26</v>
      </c>
      <c r="L17" s="7" t="s">
        <v>26</v>
      </c>
      <c r="M17" s="7" t="s">
        <v>26</v>
      </c>
      <c r="N17" s="7" t="s">
        <v>26</v>
      </c>
      <c r="O17" s="7" t="s">
        <v>26</v>
      </c>
      <c r="P17" s="7" t="s">
        <v>26</v>
      </c>
      <c r="Q17" s="7" t="s">
        <v>26</v>
      </c>
      <c r="R17" s="7" t="s">
        <v>26</v>
      </c>
      <c r="S17" s="7" t="s">
        <v>26</v>
      </c>
      <c r="T17" s="7" t="s">
        <v>26</v>
      </c>
      <c r="U17" s="7" t="s">
        <v>26</v>
      </c>
      <c r="V17" s="7" t="s">
        <v>26</v>
      </c>
      <c r="W17" s="7" t="s">
        <v>26</v>
      </c>
      <c r="X17" s="7" t="s">
        <v>26</v>
      </c>
    </row>
    <row r="18">
      <c r="A18" s="8">
        <v>40664.0</v>
      </c>
      <c r="B18" s="18">
        <f>IFERROR(__xludf.DUMMYFUNCTION("""COMPUTED_VALUE"""),17556.0)</f>
        <v>17556</v>
      </c>
      <c r="C18" s="7" t="s">
        <v>26</v>
      </c>
      <c r="D18" s="7" t="s">
        <v>26</v>
      </c>
      <c r="E18" s="7" t="s">
        <v>26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26</v>
      </c>
      <c r="T18" s="7" t="s">
        <v>26</v>
      </c>
      <c r="U18" s="7" t="s">
        <v>26</v>
      </c>
      <c r="V18" s="7" t="s">
        <v>26</v>
      </c>
      <c r="W18" s="7" t="s">
        <v>26</v>
      </c>
      <c r="X18" s="7" t="s">
        <v>26</v>
      </c>
    </row>
    <row r="19">
      <c r="A19" s="8">
        <v>40695.0</v>
      </c>
      <c r="B19" s="18">
        <f>IFERROR(__xludf.DUMMYFUNCTION("""COMPUTED_VALUE"""),23042.0)</f>
        <v>23042</v>
      </c>
      <c r="C19" s="7" t="s">
        <v>26</v>
      </c>
      <c r="D19" s="7" t="s">
        <v>26</v>
      </c>
      <c r="E19" s="7" t="s">
        <v>26</v>
      </c>
      <c r="F19" s="7" t="s">
        <v>26</v>
      </c>
      <c r="G19" s="7" t="s">
        <v>26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7" t="s">
        <v>26</v>
      </c>
      <c r="V19" s="7" t="s">
        <v>26</v>
      </c>
      <c r="W19" s="7" t="s">
        <v>26</v>
      </c>
      <c r="X19" s="7" t="s">
        <v>26</v>
      </c>
    </row>
    <row r="20">
      <c r="A20" s="8">
        <v>40725.0</v>
      </c>
      <c r="B20" s="18">
        <f>IFERROR(__xludf.DUMMYFUNCTION("""COMPUTED_VALUE"""),14233.0)</f>
        <v>14233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26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7" t="s">
        <v>26</v>
      </c>
      <c r="V20" s="7" t="s">
        <v>26</v>
      </c>
      <c r="W20" s="7" t="s">
        <v>26</v>
      </c>
      <c r="X20" s="7" t="s">
        <v>26</v>
      </c>
    </row>
    <row r="21">
      <c r="A21" s="8">
        <v>40756.0</v>
      </c>
      <c r="B21" s="18">
        <f>IFERROR(__xludf.DUMMYFUNCTION("""COMPUTED_VALUE"""),3282.0)</f>
        <v>3282</v>
      </c>
      <c r="C21" s="7">
        <v>3450.84324912301</v>
      </c>
      <c r="D21" s="7">
        <v>11763.0003456801</v>
      </c>
      <c r="E21" s="7">
        <v>4086.90443632138</v>
      </c>
      <c r="F21" s="7">
        <v>3864.78094700454</v>
      </c>
      <c r="G21" s="7">
        <v>2793.01765404684</v>
      </c>
      <c r="H21" s="7">
        <v>2139.75187532058</v>
      </c>
      <c r="I21" s="7">
        <v>1539.8791970063</v>
      </c>
      <c r="J21" s="7">
        <v>1601.30340777305</v>
      </c>
      <c r="K21" s="7">
        <v>3870.92134618098</v>
      </c>
      <c r="L21" s="7">
        <v>111.244</v>
      </c>
      <c r="M21" s="7">
        <v>3738.83284200511</v>
      </c>
      <c r="N21" s="7">
        <v>3357.33117778243</v>
      </c>
      <c r="O21" s="7">
        <v>3528.17738275938</v>
      </c>
      <c r="P21" s="7">
        <v>11485.6897799779</v>
      </c>
      <c r="Q21" s="7">
        <v>3713.01133943573</v>
      </c>
      <c r="R21" s="7">
        <v>2909.38610440359</v>
      </c>
      <c r="S21" s="7">
        <v>6891.16227293464</v>
      </c>
      <c r="T21" s="7">
        <v>13003.0018846802</v>
      </c>
      <c r="U21" s="7">
        <v>3247.34361378547</v>
      </c>
      <c r="V21" s="7">
        <v>6540.07893397626</v>
      </c>
      <c r="W21" s="7">
        <v>11477.5181947569</v>
      </c>
      <c r="X21" s="7">
        <v>2321.31972773294</v>
      </c>
    </row>
    <row r="22">
      <c r="A22" s="8">
        <v>40787.0</v>
      </c>
      <c r="B22" s="18">
        <f>IFERROR(__xludf.DUMMYFUNCTION("""COMPUTED_VALUE"""),5073.0)</f>
        <v>5073</v>
      </c>
      <c r="C22" s="7">
        <v>4641.41248371322</v>
      </c>
      <c r="D22" s="7">
        <v>5224.46716120915</v>
      </c>
      <c r="E22" s="7">
        <v>3380.17621381138</v>
      </c>
      <c r="F22" s="7">
        <v>189.928627450244</v>
      </c>
      <c r="G22" s="7">
        <v>2836.48346154131</v>
      </c>
      <c r="H22" s="7">
        <v>4059.4982151611</v>
      </c>
      <c r="I22" s="7">
        <v>5225.21337564751</v>
      </c>
      <c r="J22" s="7">
        <v>2882.3461339915</v>
      </c>
      <c r="K22" s="7">
        <v>4431.16811165487</v>
      </c>
      <c r="L22" s="7">
        <v>4.71</v>
      </c>
      <c r="M22" s="7">
        <v>4431.76388294595</v>
      </c>
      <c r="N22" s="7">
        <v>5979.46370423823</v>
      </c>
      <c r="O22" s="7">
        <v>2504.761776</v>
      </c>
      <c r="P22" s="7">
        <v>6418.25640275652</v>
      </c>
      <c r="Q22" s="7">
        <v>5106.07100684927</v>
      </c>
      <c r="R22" s="7">
        <v>3876.55771255554</v>
      </c>
      <c r="S22" s="7">
        <v>5786.13816730909</v>
      </c>
      <c r="T22" s="7">
        <v>9068.09323688906</v>
      </c>
      <c r="U22" s="7">
        <v>5239.72653854138</v>
      </c>
      <c r="V22" s="7">
        <v>6549.26944393285</v>
      </c>
      <c r="W22" s="7">
        <v>4361.18409572306</v>
      </c>
      <c r="X22" s="7">
        <v>4859.71688243487</v>
      </c>
    </row>
    <row r="23">
      <c r="A23" s="8">
        <v>40817.0</v>
      </c>
      <c r="B23" s="18">
        <f>IFERROR(__xludf.DUMMYFUNCTION("""COMPUTED_VALUE"""),7966.0)</f>
        <v>7966</v>
      </c>
      <c r="C23" s="7">
        <v>8571.66151424516</v>
      </c>
      <c r="D23" s="7">
        <v>5750.00761221419</v>
      </c>
      <c r="E23" s="7">
        <v>7813.57113926313</v>
      </c>
      <c r="F23" s="7">
        <v>5489.37741485061</v>
      </c>
      <c r="G23" s="7">
        <v>5108.14260876622</v>
      </c>
      <c r="H23" s="7">
        <v>789.524889629251</v>
      </c>
      <c r="I23" s="7">
        <v>9449.80554874502</v>
      </c>
      <c r="J23" s="7">
        <v>7205.86533497874</v>
      </c>
      <c r="K23" s="7">
        <v>7585.07713130341</v>
      </c>
      <c r="L23" s="7">
        <v>3147.536</v>
      </c>
      <c r="M23" s="7">
        <v>8832.42365424043</v>
      </c>
      <c r="N23" s="7">
        <v>6992.83895353681</v>
      </c>
      <c r="O23" s="7">
        <v>8538.76972114359</v>
      </c>
      <c r="P23" s="7">
        <v>5598.06687949661</v>
      </c>
      <c r="Q23" s="7">
        <v>8049.57473227064</v>
      </c>
      <c r="R23" s="7">
        <v>7689.8321263166</v>
      </c>
      <c r="S23" s="7">
        <v>883.8</v>
      </c>
      <c r="T23" s="7">
        <v>4816.49746945176</v>
      </c>
      <c r="U23" s="7">
        <v>7695.9470983031</v>
      </c>
      <c r="V23" s="7">
        <v>7173.6436416835</v>
      </c>
      <c r="W23" s="7">
        <v>5970.17304421364</v>
      </c>
      <c r="X23" s="7">
        <v>5039.23211475875</v>
      </c>
    </row>
    <row r="24">
      <c r="A24" s="8">
        <v>40848.0</v>
      </c>
      <c r="B24" s="18">
        <f>IFERROR(__xludf.DUMMYFUNCTION("""COMPUTED_VALUE"""),2604.0)</f>
        <v>2604</v>
      </c>
      <c r="C24" s="7">
        <v>4215.79599008678</v>
      </c>
      <c r="D24" s="7">
        <v>2497.67358060458</v>
      </c>
      <c r="E24" s="7">
        <v>2738.47858650548</v>
      </c>
      <c r="F24" s="7">
        <v>3294.79970692095</v>
      </c>
      <c r="G24" s="7">
        <v>3304.80736663528</v>
      </c>
      <c r="H24" s="7">
        <v>2081.0217810754</v>
      </c>
      <c r="I24" s="7">
        <v>2290.8667356956</v>
      </c>
      <c r="J24" s="7">
        <v>2522.05286724256</v>
      </c>
      <c r="K24" s="7">
        <v>2487.87822802268</v>
      </c>
      <c r="L24" s="7">
        <v>259.268</v>
      </c>
      <c r="M24" s="7">
        <v>3050.03485412252</v>
      </c>
      <c r="N24" s="7">
        <v>2204.05935999657</v>
      </c>
      <c r="O24" s="7">
        <v>2860.6518794872</v>
      </c>
      <c r="P24" s="7">
        <v>4075.61037642374</v>
      </c>
      <c r="Q24" s="7">
        <v>4124.47296142657</v>
      </c>
      <c r="R24" s="7">
        <v>2692.33064206431</v>
      </c>
      <c r="S24" s="7">
        <v>228.9</v>
      </c>
      <c r="T24" s="7">
        <v>253.311456773552</v>
      </c>
      <c r="U24" s="7">
        <v>2971.0</v>
      </c>
      <c r="V24" s="7">
        <v>3332.51621481049</v>
      </c>
      <c r="W24" s="7">
        <v>3120.53798398569</v>
      </c>
      <c r="X24" s="7">
        <v>3046.50262324554</v>
      </c>
    </row>
    <row r="25">
      <c r="A25" s="8">
        <v>40878.0</v>
      </c>
      <c r="B25" s="18">
        <f>IFERROR(__xludf.DUMMYFUNCTION("""COMPUTED_VALUE"""),3388.0)</f>
        <v>3388</v>
      </c>
      <c r="C25" s="7">
        <v>3932.82139279316</v>
      </c>
      <c r="D25" s="7">
        <v>3294.26580819405</v>
      </c>
      <c r="E25" s="7">
        <v>3163.0514335088</v>
      </c>
      <c r="F25" s="7">
        <v>135.475798920726</v>
      </c>
      <c r="G25" s="7">
        <v>2297.46600254269</v>
      </c>
      <c r="H25" s="7">
        <v>2335.51451232635</v>
      </c>
      <c r="I25" s="7">
        <v>2783.58163027197</v>
      </c>
      <c r="J25" s="7">
        <v>300.494666236462</v>
      </c>
      <c r="K25" s="7">
        <v>3171.45968137063</v>
      </c>
      <c r="L25" s="7">
        <v>1383.016</v>
      </c>
      <c r="M25" s="7">
        <v>2923.7287351103</v>
      </c>
      <c r="N25" s="7">
        <v>3184.65245416741</v>
      </c>
      <c r="O25" s="7">
        <v>3064.35652866231</v>
      </c>
      <c r="P25" s="7">
        <v>4168.95666713837</v>
      </c>
      <c r="Q25" s="7">
        <v>3858.67878191299</v>
      </c>
      <c r="R25" s="7">
        <v>1627.26208460186</v>
      </c>
      <c r="S25" s="7">
        <v>83.0888888888889</v>
      </c>
      <c r="T25" s="7">
        <v>253.311456773552</v>
      </c>
      <c r="U25" s="7">
        <v>3032.41433789043</v>
      </c>
      <c r="V25" s="7">
        <v>2772.20588235294</v>
      </c>
      <c r="W25" s="7">
        <v>2334.44457769028</v>
      </c>
      <c r="X25" s="7">
        <v>1641.02034254728</v>
      </c>
    </row>
    <row r="26">
      <c r="A26" s="8">
        <v>40909.0</v>
      </c>
      <c r="B26" s="18">
        <f>IFERROR(__xludf.DUMMYFUNCTION("""COMPUTED_VALUE"""),1976.0)</f>
        <v>1976</v>
      </c>
      <c r="C26" s="7">
        <v>1190.28033385948</v>
      </c>
      <c r="D26" s="7">
        <v>2604.76535718901</v>
      </c>
      <c r="E26" s="7">
        <v>718.230331493484</v>
      </c>
      <c r="F26" s="7">
        <v>-281.412244296488</v>
      </c>
      <c r="G26" s="7">
        <v>1994.03123452967</v>
      </c>
      <c r="H26" s="7">
        <v>1805.71636521545</v>
      </c>
      <c r="I26" s="7">
        <v>2468.12406951736</v>
      </c>
      <c r="J26" s="7">
        <v>300.494666236462</v>
      </c>
      <c r="K26" s="7">
        <v>1403.72783798501</v>
      </c>
      <c r="L26" s="7">
        <v>125.578</v>
      </c>
      <c r="M26" s="7">
        <v>818.525446545696</v>
      </c>
      <c r="N26" s="7">
        <v>3747.50605878535</v>
      </c>
      <c r="O26" s="7">
        <v>2339.79535011232</v>
      </c>
      <c r="P26" s="7">
        <v>4391.11272235618</v>
      </c>
      <c r="Q26" s="7">
        <v>2379.64317761954</v>
      </c>
      <c r="R26" s="7">
        <v>2784.30568751885</v>
      </c>
      <c r="S26" s="7">
        <v>185.5</v>
      </c>
      <c r="T26" s="7">
        <v>253.311456773552</v>
      </c>
      <c r="U26" s="7">
        <v>2111.41433789043</v>
      </c>
      <c r="V26" s="7">
        <v>1158.02941176471</v>
      </c>
      <c r="W26" s="7">
        <v>3789.83662714798</v>
      </c>
      <c r="X26" s="7">
        <v>1986.27781430479</v>
      </c>
    </row>
    <row r="27">
      <c r="A27" s="8">
        <v>40940.0</v>
      </c>
      <c r="B27" s="18">
        <f>IFERROR(__xludf.DUMMYFUNCTION("""COMPUTED_VALUE"""),1659.0)</f>
        <v>1659</v>
      </c>
      <c r="C27" s="7">
        <v>1817.2688439979</v>
      </c>
      <c r="D27" s="7">
        <v>935.167456023157</v>
      </c>
      <c r="E27" s="7">
        <v>1479.74515371145</v>
      </c>
      <c r="F27" s="7">
        <v>-358.908058022462</v>
      </c>
      <c r="G27" s="7">
        <v>2984.63320258864</v>
      </c>
      <c r="H27" s="7">
        <v>3092.95451274492</v>
      </c>
      <c r="I27" s="7">
        <v>1996.59405670428</v>
      </c>
      <c r="J27" s="7">
        <v>-72.505333763538</v>
      </c>
      <c r="K27" s="7">
        <v>2150.49590862406</v>
      </c>
      <c r="L27" s="7">
        <v>241.224</v>
      </c>
      <c r="M27" s="7">
        <v>1844.7288997706</v>
      </c>
      <c r="N27" s="7">
        <v>1410.18460328684</v>
      </c>
      <c r="O27" s="7">
        <v>1950.12952728469</v>
      </c>
      <c r="P27" s="7">
        <v>2659.72184945759</v>
      </c>
      <c r="Q27" s="7">
        <v>2857.84232876535</v>
      </c>
      <c r="R27" s="7">
        <v>2720.5922388009</v>
      </c>
      <c r="S27" s="7">
        <v>0.0</v>
      </c>
      <c r="T27" s="7">
        <v>253.311456773552</v>
      </c>
      <c r="U27" s="7">
        <v>1418.87531280906</v>
      </c>
      <c r="V27" s="7">
        <v>1243.17647058824</v>
      </c>
      <c r="W27" s="7">
        <v>2161.77764226321</v>
      </c>
      <c r="X27" s="7">
        <v>1823.94865801243</v>
      </c>
    </row>
    <row r="28">
      <c r="A28" s="8">
        <v>40969.0</v>
      </c>
      <c r="B28" s="18">
        <f>IFERROR(__xludf.DUMMYFUNCTION("""COMPUTED_VALUE"""),3086.0)</f>
        <v>3086</v>
      </c>
      <c r="C28" s="7">
        <v>2850.50144870484</v>
      </c>
      <c r="D28" s="7">
        <v>3063.5612169597</v>
      </c>
      <c r="E28" s="7">
        <v>2789.26075917218</v>
      </c>
      <c r="F28" s="7">
        <v>2742.09713937762</v>
      </c>
      <c r="G28" s="7">
        <v>3469.80634382631</v>
      </c>
      <c r="H28" s="7">
        <v>1771.9017140628</v>
      </c>
      <c r="I28" s="7">
        <v>2329.56972863987</v>
      </c>
      <c r="J28" s="7">
        <v>1989.16326626811</v>
      </c>
      <c r="K28" s="7">
        <v>2928.12311414892</v>
      </c>
      <c r="L28" s="7">
        <v>1458.744</v>
      </c>
      <c r="M28" s="7">
        <v>3032.18864425989</v>
      </c>
      <c r="N28" s="7">
        <v>3756.63445531437</v>
      </c>
      <c r="O28" s="7">
        <v>2242.56051915989</v>
      </c>
      <c r="P28" s="7">
        <v>3474.3144649327</v>
      </c>
      <c r="Q28" s="7">
        <v>2536.19172996114</v>
      </c>
      <c r="R28" s="7">
        <v>2606.09018751885</v>
      </c>
      <c r="S28" s="7">
        <v>9.3</v>
      </c>
      <c r="T28" s="7">
        <v>737.544300278273</v>
      </c>
      <c r="U28" s="7">
        <v>2802.9533629718</v>
      </c>
      <c r="V28" s="7">
        <v>1833.61764705882</v>
      </c>
      <c r="W28" s="7">
        <v>3022.01345268835</v>
      </c>
      <c r="X28" s="7">
        <v>1916.5815667924</v>
      </c>
    </row>
    <row r="29">
      <c r="A29" s="8">
        <v>41000.0</v>
      </c>
      <c r="B29" s="18">
        <f>IFERROR(__xludf.DUMMYFUNCTION("""COMPUTED_VALUE"""),1856.0)</f>
        <v>1856</v>
      </c>
      <c r="C29" s="7">
        <v>2188.25552694487</v>
      </c>
      <c r="D29" s="7">
        <v>1277.8825</v>
      </c>
      <c r="E29" s="7">
        <v>1484.91151724872</v>
      </c>
      <c r="F29" s="7">
        <v>2215.1856389382</v>
      </c>
      <c r="G29" s="7">
        <v>648.800198067682</v>
      </c>
      <c r="H29" s="7">
        <v>1837.31954839133</v>
      </c>
      <c r="I29" s="7">
        <v>907.214699535191</v>
      </c>
      <c r="J29" s="7">
        <v>1875.2543131441</v>
      </c>
      <c r="K29" s="7">
        <v>1972.49596876144</v>
      </c>
      <c r="L29" s="7">
        <v>465.552</v>
      </c>
      <c r="M29" s="7">
        <v>1543.2635913805</v>
      </c>
      <c r="N29" s="7">
        <v>1642.28529460429</v>
      </c>
      <c r="O29" s="7">
        <v>2267.70017792085</v>
      </c>
      <c r="P29" s="7">
        <v>2696.63189709309</v>
      </c>
      <c r="Q29" s="7">
        <v>1237.05590194846</v>
      </c>
      <c r="R29" s="7">
        <v>2685.52018751885</v>
      </c>
      <c r="S29" s="7">
        <v>0.0</v>
      </c>
      <c r="T29" s="7">
        <v>253.311456773552</v>
      </c>
      <c r="U29" s="7">
        <v>1702.18385043112</v>
      </c>
      <c r="V29" s="7">
        <v>2080.77767572159</v>
      </c>
      <c r="W29" s="7">
        <v>1187.91086243524</v>
      </c>
      <c r="X29" s="7">
        <v>1710.56837374825</v>
      </c>
    </row>
    <row r="30">
      <c r="A30" s="8">
        <v>41030.0</v>
      </c>
      <c r="B30" s="18">
        <f>IFERROR(__xludf.DUMMYFUNCTION("""COMPUTED_VALUE"""),3194.0)</f>
        <v>3194</v>
      </c>
      <c r="C30" s="7">
        <v>2907.76014520844</v>
      </c>
      <c r="D30" s="7">
        <v>2260.4</v>
      </c>
      <c r="E30" s="7">
        <v>1746.4747554999</v>
      </c>
      <c r="F30" s="7">
        <v>2728.36911769897</v>
      </c>
      <c r="G30" s="7">
        <v>3720.15447798244</v>
      </c>
      <c r="H30" s="7">
        <v>2172.57430420854</v>
      </c>
      <c r="I30" s="7">
        <v>3447.97789183108</v>
      </c>
      <c r="J30" s="7">
        <v>3356.9251860993</v>
      </c>
      <c r="K30" s="7">
        <v>1969.2858282229</v>
      </c>
      <c r="L30" s="7">
        <v>27.572</v>
      </c>
      <c r="M30" s="7">
        <v>1634.01249069348</v>
      </c>
      <c r="N30" s="7">
        <v>3134.32456260112</v>
      </c>
      <c r="O30" s="7">
        <v>2811.96429323816</v>
      </c>
      <c r="P30" s="7">
        <v>2890.80797390254</v>
      </c>
      <c r="Q30" s="7">
        <v>2176.50965013517</v>
      </c>
      <c r="R30" s="7">
        <v>3178.80023126101</v>
      </c>
      <c r="S30" s="7">
        <v>-239.510839558326</v>
      </c>
      <c r="T30" s="7">
        <v>295.17922374355</v>
      </c>
      <c r="U30" s="7">
        <v>2989.37876890507</v>
      </c>
      <c r="V30" s="7">
        <v>1886.67533250442</v>
      </c>
      <c r="W30" s="7">
        <v>2661.06425739744</v>
      </c>
      <c r="X30" s="7">
        <v>3500.91222588626</v>
      </c>
    </row>
    <row r="31">
      <c r="A31" s="8">
        <v>41061.0</v>
      </c>
      <c r="B31" s="18">
        <f>IFERROR(__xludf.DUMMYFUNCTION("""COMPUTED_VALUE"""),4881.0)</f>
        <v>4881</v>
      </c>
      <c r="C31" s="7">
        <v>4711.2270127128</v>
      </c>
      <c r="D31" s="7">
        <v>5102.23341120915</v>
      </c>
      <c r="E31" s="7">
        <v>3435.22555034191</v>
      </c>
      <c r="F31" s="7">
        <v>2049.1336024726</v>
      </c>
      <c r="G31" s="7">
        <v>6588.11333267289</v>
      </c>
      <c r="H31" s="7">
        <v>2193.75150632272</v>
      </c>
      <c r="I31" s="7">
        <v>3979.69833407978</v>
      </c>
      <c r="J31" s="7">
        <v>4421.21657934717</v>
      </c>
      <c r="K31" s="7">
        <v>2622.14103289564</v>
      </c>
      <c r="L31" s="7">
        <v>56.56</v>
      </c>
      <c r="M31" s="7">
        <v>4191.76321356005</v>
      </c>
      <c r="N31" s="7">
        <v>5174.03794792265</v>
      </c>
      <c r="O31" s="7">
        <v>4265.16783794728</v>
      </c>
      <c r="P31" s="7">
        <v>5399.72861285966</v>
      </c>
      <c r="Q31" s="7">
        <v>2354.07882759921</v>
      </c>
      <c r="R31" s="7">
        <v>2734.02797957213</v>
      </c>
      <c r="S31" s="7">
        <v>-70.3564613985381</v>
      </c>
      <c r="T31" s="7">
        <v>393.278092537736</v>
      </c>
      <c r="U31" s="7">
        <v>4598.66922356164</v>
      </c>
      <c r="V31" s="7">
        <v>4601.85160082813</v>
      </c>
      <c r="W31" s="7">
        <v>4174.03498979868</v>
      </c>
      <c r="X31" s="7">
        <v>4719.27673680419</v>
      </c>
    </row>
    <row r="32">
      <c r="A32" s="8">
        <v>41091.0</v>
      </c>
      <c r="B32" s="18">
        <f>IFERROR(__xludf.DUMMYFUNCTION("""COMPUTED_VALUE"""),3610.0)</f>
        <v>3610</v>
      </c>
      <c r="C32" s="7">
        <v>3642.72290332705</v>
      </c>
      <c r="D32" s="7">
        <v>2612.62125</v>
      </c>
      <c r="E32" s="7">
        <v>2420.49338262444</v>
      </c>
      <c r="F32" s="7">
        <v>177.009158028152</v>
      </c>
      <c r="G32" s="7">
        <v>3038.00082321111</v>
      </c>
      <c r="H32" s="7">
        <v>1937.53731253388</v>
      </c>
      <c r="I32" s="7">
        <v>4367.54566845544</v>
      </c>
      <c r="J32" s="7">
        <v>3108.39809839686</v>
      </c>
      <c r="K32" s="7">
        <v>1798.37377719365</v>
      </c>
      <c r="L32" s="7">
        <v>40.434</v>
      </c>
      <c r="M32" s="7">
        <v>3273.38716768304</v>
      </c>
      <c r="N32" s="7">
        <v>3836.96188202708</v>
      </c>
      <c r="O32" s="7">
        <v>3711.85677886199</v>
      </c>
      <c r="P32" s="7">
        <v>3893.74540666707</v>
      </c>
      <c r="Q32" s="7">
        <v>2827.21038786283</v>
      </c>
      <c r="R32" s="7">
        <v>2147.78400115416</v>
      </c>
      <c r="S32" s="7">
        <v>125.866666666667</v>
      </c>
      <c r="T32" s="7">
        <v>743.094337798939</v>
      </c>
      <c r="U32" s="7">
        <v>4224.56860670145</v>
      </c>
      <c r="V32" s="7">
        <v>4394.07499417737</v>
      </c>
      <c r="W32" s="7">
        <v>3785.85316137324</v>
      </c>
      <c r="X32" s="7">
        <v>3275.54955356364</v>
      </c>
    </row>
    <row r="33">
      <c r="A33" s="8">
        <v>41122.0</v>
      </c>
      <c r="B33" s="18">
        <f>IFERROR(__xludf.DUMMYFUNCTION("""COMPUTED_VALUE"""),2449.0)</f>
        <v>2449</v>
      </c>
      <c r="C33" s="7">
        <v>1955.79673123958</v>
      </c>
      <c r="D33" s="7">
        <v>2420.11</v>
      </c>
      <c r="E33" s="7">
        <v>2709.03890203049</v>
      </c>
      <c r="F33" s="7">
        <v>1548.05979492759</v>
      </c>
      <c r="G33" s="7">
        <v>2457.23709170858</v>
      </c>
      <c r="H33" s="7">
        <v>1710.6871986618</v>
      </c>
      <c r="I33" s="7">
        <v>2490.32589786094</v>
      </c>
      <c r="J33" s="7">
        <v>2266.04660456693</v>
      </c>
      <c r="K33" s="7">
        <v>2151.55762603728</v>
      </c>
      <c r="L33" s="7">
        <v>200.244</v>
      </c>
      <c r="M33" s="7">
        <v>2559.96088244383</v>
      </c>
      <c r="N33" s="7">
        <v>2280.3905229146</v>
      </c>
      <c r="O33" s="7">
        <v>2617.84254506308</v>
      </c>
      <c r="P33" s="7">
        <v>3072.67656924458</v>
      </c>
      <c r="Q33" s="7">
        <v>2170.54808662583</v>
      </c>
      <c r="R33" s="7">
        <v>2681.76083709203</v>
      </c>
      <c r="S33" s="7">
        <v>134.440220884352</v>
      </c>
      <c r="T33" s="7">
        <v>253.311456773552</v>
      </c>
      <c r="U33" s="7">
        <v>2723.64482534974</v>
      </c>
      <c r="V33" s="7">
        <v>2688.48878096641</v>
      </c>
      <c r="W33" s="7">
        <v>3031.38850061259</v>
      </c>
      <c r="X33" s="7">
        <v>2412.37312728266</v>
      </c>
    </row>
    <row r="34">
      <c r="A34" s="8">
        <v>41153.0</v>
      </c>
      <c r="B34" s="18">
        <f>IFERROR(__xludf.DUMMYFUNCTION("""COMPUTED_VALUE"""),1632.0)</f>
        <v>1632</v>
      </c>
      <c r="C34" s="7">
        <v>1699.09200022717</v>
      </c>
      <c r="D34" s="7">
        <v>1448.2</v>
      </c>
      <c r="E34" s="7">
        <v>2399.7362207921</v>
      </c>
      <c r="F34" s="7">
        <v>1186.02786904395</v>
      </c>
      <c r="G34" s="7">
        <v>1669.06852547579</v>
      </c>
      <c r="H34" s="7">
        <v>1688.45867769274</v>
      </c>
      <c r="I34" s="7">
        <v>1440.81915521344</v>
      </c>
      <c r="J34" s="7">
        <v>1627.0472737569</v>
      </c>
      <c r="K34" s="7">
        <v>2148.7611102683</v>
      </c>
      <c r="L34" s="7">
        <v>642.312</v>
      </c>
      <c r="M34" s="7">
        <v>1715.79128499686</v>
      </c>
      <c r="N34" s="7">
        <v>675.761106107926</v>
      </c>
      <c r="O34" s="7">
        <v>1780.53639713426</v>
      </c>
      <c r="P34" s="7">
        <v>1781.7869591162</v>
      </c>
      <c r="Q34" s="7">
        <v>2129.66374410318</v>
      </c>
      <c r="R34" s="7">
        <v>4434.99782309802</v>
      </c>
      <c r="S34" s="7">
        <v>2243.00284962761</v>
      </c>
      <c r="T34" s="7">
        <v>253.311456773552</v>
      </c>
      <c r="U34" s="7">
        <v>1446.0</v>
      </c>
      <c r="V34" s="7">
        <v>2131.18966858389</v>
      </c>
      <c r="W34" s="7">
        <v>2798.09281257623</v>
      </c>
      <c r="X34" s="7">
        <v>1351.12199328058</v>
      </c>
    </row>
    <row r="35">
      <c r="A35" s="8">
        <v>41183.0</v>
      </c>
      <c r="B35" s="18">
        <f>IFERROR(__xludf.DUMMYFUNCTION("""COMPUTED_VALUE"""),741.0)</f>
        <v>741</v>
      </c>
      <c r="C35" s="7">
        <v>1818.87670701324</v>
      </c>
      <c r="D35" s="7">
        <v>1551.310625</v>
      </c>
      <c r="E35" s="7">
        <v>1977.44351907002</v>
      </c>
      <c r="F35" s="7">
        <v>742.459254173856</v>
      </c>
      <c r="G35" s="7">
        <v>1378.65029525477</v>
      </c>
      <c r="H35" s="7">
        <v>1964.49861865277</v>
      </c>
      <c r="I35" s="7">
        <v>1014.68220400744</v>
      </c>
      <c r="J35" s="7">
        <v>1092.28505075435</v>
      </c>
      <c r="K35" s="7">
        <v>1573.32653694345</v>
      </c>
      <c r="L35" s="7">
        <v>2.85</v>
      </c>
      <c r="M35" s="7">
        <v>846.486347340407</v>
      </c>
      <c r="N35" s="7">
        <v>1366.2882552178</v>
      </c>
      <c r="O35" s="7">
        <v>2225.66566500282</v>
      </c>
      <c r="P35" s="7">
        <v>868.250517336481</v>
      </c>
      <c r="Q35" s="7">
        <v>2307.02076992832</v>
      </c>
      <c r="R35" s="7">
        <v>2255.18661398515</v>
      </c>
      <c r="S35" s="7">
        <v>1122.78099235719</v>
      </c>
      <c r="T35" s="7">
        <v>253.311456773552</v>
      </c>
      <c r="U35" s="7">
        <v>1918.0</v>
      </c>
      <c r="V35" s="7">
        <v>2085.58891019739</v>
      </c>
      <c r="W35" s="7">
        <v>2924.38850061259</v>
      </c>
      <c r="X35" s="7">
        <v>357.524552919647</v>
      </c>
    </row>
    <row r="36">
      <c r="A36" s="8">
        <v>41214.0</v>
      </c>
      <c r="B36" s="18">
        <f>IFERROR(__xludf.DUMMYFUNCTION("""COMPUTED_VALUE"""),3608.0)</f>
        <v>3608</v>
      </c>
      <c r="C36" s="7">
        <v>4208.66247967247</v>
      </c>
      <c r="D36" s="7">
        <v>3707.2</v>
      </c>
      <c r="E36" s="7">
        <v>2922.51195215519</v>
      </c>
      <c r="F36" s="7">
        <v>1271.9154802068</v>
      </c>
      <c r="G36" s="7">
        <v>3560.07554895088</v>
      </c>
      <c r="H36" s="7">
        <v>3772.61239507513</v>
      </c>
      <c r="I36" s="7">
        <v>3901.60416881569</v>
      </c>
      <c r="J36" s="7">
        <v>3105.07837142526</v>
      </c>
      <c r="K36" s="7">
        <v>1730.06939268425</v>
      </c>
      <c r="L36" s="7">
        <v>2.34</v>
      </c>
      <c r="M36" s="7">
        <v>3400.76369285627</v>
      </c>
      <c r="N36" s="7">
        <v>3580.45572515221</v>
      </c>
      <c r="O36" s="7">
        <v>4207.17907773501</v>
      </c>
      <c r="P36" s="7">
        <v>4076.72857135739</v>
      </c>
      <c r="Q36" s="7">
        <v>3647.63404991674</v>
      </c>
      <c r="R36" s="7">
        <v>2902.62061016424</v>
      </c>
      <c r="S36" s="7">
        <v>3556.71598102113</v>
      </c>
      <c r="T36" s="7">
        <v>253.311456773552</v>
      </c>
      <c r="U36" s="7">
        <v>3713.91565195107</v>
      </c>
      <c r="V36" s="7">
        <v>4370.3022590731</v>
      </c>
      <c r="W36" s="7">
        <v>3478.72915572535</v>
      </c>
      <c r="X36" s="7">
        <v>1499.75424320727</v>
      </c>
    </row>
    <row r="37">
      <c r="A37" s="8">
        <v>41244.0</v>
      </c>
      <c r="B37" s="18">
        <f>IFERROR(__xludf.DUMMYFUNCTION("""COMPUTED_VALUE"""),5654.0)</f>
        <v>5654</v>
      </c>
      <c r="C37" s="7">
        <v>4673.24385831334</v>
      </c>
      <c r="D37" s="7">
        <v>4341.789375</v>
      </c>
      <c r="E37" s="7">
        <v>4740.83686760285</v>
      </c>
      <c r="F37" s="7">
        <v>3193.29544017593</v>
      </c>
      <c r="G37" s="7">
        <v>3317.96562488655</v>
      </c>
      <c r="H37" s="7">
        <v>3381.16300856053</v>
      </c>
      <c r="I37" s="7">
        <v>5705.28240108109</v>
      </c>
      <c r="J37" s="7">
        <v>5523.76285714286</v>
      </c>
      <c r="K37" s="7">
        <v>2704.43955706436</v>
      </c>
      <c r="L37" s="7">
        <v>393.232</v>
      </c>
      <c r="M37" s="7">
        <v>5745.93700562043</v>
      </c>
      <c r="N37" s="7">
        <v>4084.30133493208</v>
      </c>
      <c r="O37" s="7">
        <v>3728.51109507336</v>
      </c>
      <c r="P37" s="7">
        <v>5810.59878539328</v>
      </c>
      <c r="Q37" s="7">
        <v>3446.33479634897</v>
      </c>
      <c r="R37" s="7">
        <v>3739.13525302139</v>
      </c>
      <c r="S37" s="7">
        <v>5285.78450468286</v>
      </c>
      <c r="T37" s="7">
        <v>2300.9824866954</v>
      </c>
      <c r="U37" s="7">
        <v>4974.80322585344</v>
      </c>
      <c r="V37" s="7">
        <v>4188.18044721362</v>
      </c>
      <c r="W37" s="7">
        <v>5755.62387666808</v>
      </c>
      <c r="X37" s="7">
        <v>2254.52100527665</v>
      </c>
    </row>
    <row r="38">
      <c r="A38" s="8">
        <v>41275.0</v>
      </c>
      <c r="B38" s="18">
        <f>IFERROR(__xludf.DUMMYFUNCTION("""COMPUTED_VALUE"""),3305.0)</f>
        <v>3305</v>
      </c>
      <c r="C38" s="7">
        <v>2275.59919373232</v>
      </c>
      <c r="D38" s="7">
        <v>3452.9425</v>
      </c>
      <c r="E38" s="7">
        <v>2924.28662626459</v>
      </c>
      <c r="F38" s="7">
        <v>1196.11770586765</v>
      </c>
      <c r="G38" s="7">
        <v>3456.92115439197</v>
      </c>
      <c r="H38" s="7">
        <v>3137.02342757997</v>
      </c>
      <c r="I38" s="7">
        <v>3067.03869028695</v>
      </c>
      <c r="J38" s="7">
        <v>3221.97892857143</v>
      </c>
      <c r="K38" s="7">
        <v>2326.06241072295</v>
      </c>
      <c r="L38" s="7">
        <v>552.622</v>
      </c>
      <c r="M38" s="7">
        <v>3391.67929543707</v>
      </c>
      <c r="N38" s="7">
        <v>3151.67293887895</v>
      </c>
      <c r="O38" s="7">
        <v>1841.15385167972</v>
      </c>
      <c r="P38" s="7">
        <v>3191.29441745277</v>
      </c>
      <c r="Q38" s="7">
        <v>2122.37233207659</v>
      </c>
      <c r="R38" s="7">
        <v>3912.39215445669</v>
      </c>
      <c r="S38" s="7">
        <v>5259.63435950088</v>
      </c>
      <c r="T38" s="7">
        <v>253.311456773552</v>
      </c>
      <c r="U38" s="7">
        <v>3473.0</v>
      </c>
      <c r="V38" s="7">
        <v>3657.79031004193</v>
      </c>
      <c r="W38" s="7">
        <v>3038.52048174778</v>
      </c>
      <c r="X38" s="7">
        <v>2001.55646766594</v>
      </c>
    </row>
    <row r="39">
      <c r="A39" s="8">
        <v>41306.0</v>
      </c>
      <c r="B39" s="18">
        <f>IFERROR(__xludf.DUMMYFUNCTION("""COMPUTED_VALUE"""),4655.0)</f>
        <v>4655</v>
      </c>
      <c r="C39" s="7">
        <v>3253.99390263213</v>
      </c>
      <c r="D39" s="7">
        <v>3943.28</v>
      </c>
      <c r="E39" s="7">
        <v>4323.35278685467</v>
      </c>
      <c r="F39" s="7">
        <v>1652.36001934095</v>
      </c>
      <c r="G39" s="7">
        <v>3225.05090309407</v>
      </c>
      <c r="H39" s="7">
        <v>3071.85542440803</v>
      </c>
      <c r="I39" s="7">
        <v>4114.79436971001</v>
      </c>
      <c r="J39" s="7">
        <v>260.784988817107</v>
      </c>
      <c r="K39" s="7">
        <v>5343.37914769169</v>
      </c>
      <c r="L39" s="7">
        <v>1923.301</v>
      </c>
      <c r="M39" s="7">
        <v>4412.19603484995</v>
      </c>
      <c r="N39" s="7">
        <v>3472.46907038553</v>
      </c>
      <c r="O39" s="7">
        <v>4263.70779713426</v>
      </c>
      <c r="P39" s="7">
        <v>4908.26826644147</v>
      </c>
      <c r="Q39" s="7">
        <v>3368.13812032082</v>
      </c>
      <c r="R39" s="7">
        <v>7515.0740651763</v>
      </c>
      <c r="S39" s="7">
        <v>3902.40620432206</v>
      </c>
      <c r="T39" s="7">
        <v>1547.91593858939</v>
      </c>
      <c r="U39" s="7">
        <v>4047.87531280906</v>
      </c>
      <c r="V39" s="7">
        <v>3049.01214107756</v>
      </c>
      <c r="W39" s="7">
        <v>3201.07793536765</v>
      </c>
      <c r="X39" s="7">
        <v>2341.74595961842</v>
      </c>
    </row>
    <row r="40">
      <c r="A40" s="8">
        <v>41334.0</v>
      </c>
      <c r="B40" s="18">
        <f>IFERROR(__xludf.DUMMYFUNCTION("""COMPUTED_VALUE"""),1874.0)</f>
        <v>1874</v>
      </c>
      <c r="C40" s="7">
        <v>2488.40035837387</v>
      </c>
      <c r="D40" s="7">
        <v>1735.6</v>
      </c>
      <c r="E40" s="7">
        <v>1500.07207706019</v>
      </c>
      <c r="F40" s="7">
        <v>992.354366761401</v>
      </c>
      <c r="G40" s="7">
        <v>2447.32722041984</v>
      </c>
      <c r="H40" s="7">
        <v>2666.62944279474</v>
      </c>
      <c r="I40" s="7">
        <v>2389.29111273309</v>
      </c>
      <c r="J40" s="7">
        <v>1279.06290101194</v>
      </c>
      <c r="K40" s="7">
        <v>2239.45884563705</v>
      </c>
      <c r="L40" s="7">
        <v>512.25</v>
      </c>
      <c r="M40" s="7">
        <v>3033.90246862431</v>
      </c>
      <c r="N40" s="7">
        <v>1923.62864246863</v>
      </c>
      <c r="O40" s="7">
        <v>1934.5755</v>
      </c>
      <c r="P40" s="7">
        <v>2612.74420166513</v>
      </c>
      <c r="Q40" s="7">
        <v>2141.449125853</v>
      </c>
      <c r="R40" s="7">
        <v>2047.74558272862</v>
      </c>
      <c r="S40" s="7">
        <v>1723.67586371604</v>
      </c>
      <c r="T40" s="7">
        <v>253.311456773552</v>
      </c>
      <c r="U40" s="7">
        <v>1798.0</v>
      </c>
      <c r="V40" s="7">
        <v>2109.07330658332</v>
      </c>
      <c r="W40" s="7">
        <v>1643.64032173354</v>
      </c>
      <c r="X40" s="7">
        <v>1493.71417972697</v>
      </c>
    </row>
    <row r="41">
      <c r="A41" s="8">
        <v>41365.0</v>
      </c>
      <c r="B41" s="18">
        <f>IFERROR(__xludf.DUMMYFUNCTION("""COMPUTED_VALUE"""),508.0)</f>
        <v>508</v>
      </c>
      <c r="C41" s="7">
        <v>2721.22329977169</v>
      </c>
      <c r="D41" s="7">
        <v>1657.8125</v>
      </c>
      <c r="E41" s="7">
        <v>814.121111347356</v>
      </c>
      <c r="F41" s="7">
        <v>826.236549670445</v>
      </c>
      <c r="G41" s="7">
        <v>236.833333333333</v>
      </c>
      <c r="H41" s="7">
        <v>3188.49624251632</v>
      </c>
      <c r="I41" s="7">
        <v>782.157067476899</v>
      </c>
      <c r="J41" s="7">
        <v>728.423472393619</v>
      </c>
      <c r="K41" s="7">
        <v>864.924241569115</v>
      </c>
      <c r="L41" s="7">
        <v>278.144</v>
      </c>
      <c r="M41" s="7">
        <v>743.419690443583</v>
      </c>
      <c r="N41" s="7">
        <v>686.278381429753</v>
      </c>
      <c r="O41" s="7">
        <v>1038.34876077062</v>
      </c>
      <c r="P41" s="7">
        <v>307.964355798228</v>
      </c>
      <c r="Q41" s="7">
        <v>1207.7332206147</v>
      </c>
      <c r="R41" s="7">
        <v>1982.32045269837</v>
      </c>
      <c r="S41" s="7">
        <v>1887.62192310907</v>
      </c>
      <c r="T41" s="7">
        <v>253.311456773552</v>
      </c>
      <c r="U41" s="7">
        <v>2162.0</v>
      </c>
      <c r="V41" s="7">
        <v>2214.41917438999</v>
      </c>
      <c r="W41" s="7">
        <v>578.648672323326</v>
      </c>
      <c r="X41" s="7">
        <v>1105.1609223355</v>
      </c>
    </row>
    <row r="42">
      <c r="A42" s="8">
        <v>41395.0</v>
      </c>
      <c r="B42" s="18">
        <f>IFERROR(__xludf.DUMMYFUNCTION("""COMPUTED_VALUE"""),695.0)</f>
        <v>695</v>
      </c>
      <c r="C42" s="7">
        <v>467.708776895809</v>
      </c>
      <c r="D42" s="7">
        <v>1264.881875</v>
      </c>
      <c r="E42" s="7">
        <v>297.0</v>
      </c>
      <c r="F42" s="7">
        <v>388.553542445908</v>
      </c>
      <c r="G42" s="7">
        <v>649.376665625456</v>
      </c>
      <c r="H42" s="7">
        <v>1096.36529282004</v>
      </c>
      <c r="I42" s="7">
        <v>872.169015235988</v>
      </c>
      <c r="J42" s="7">
        <v>529.048981595746</v>
      </c>
      <c r="K42" s="7">
        <v>821.418845171514</v>
      </c>
      <c r="L42" s="7">
        <v>94.092</v>
      </c>
      <c r="M42" s="7">
        <v>723.976646009721</v>
      </c>
      <c r="N42" s="7">
        <v>229.830207395236</v>
      </c>
      <c r="O42" s="7">
        <v>1210.36039713426</v>
      </c>
      <c r="P42" s="7">
        <v>498.922691927033</v>
      </c>
      <c r="Q42" s="7">
        <v>1121.30833394563</v>
      </c>
      <c r="R42" s="7">
        <v>1486.51879092841</v>
      </c>
      <c r="S42" s="7">
        <v>1181.98201187386</v>
      </c>
      <c r="T42" s="7">
        <v>253.311456773552</v>
      </c>
      <c r="U42" s="7">
        <v>1307.0</v>
      </c>
      <c r="V42" s="7">
        <v>1026.30503262592</v>
      </c>
      <c r="W42" s="7">
        <v>547.2043548544</v>
      </c>
      <c r="X42" s="7">
        <v>820.938338554895</v>
      </c>
    </row>
    <row r="43">
      <c r="A43" s="8">
        <v>41426.0</v>
      </c>
      <c r="B43" s="18">
        <f>IFERROR(__xludf.DUMMYFUNCTION("""COMPUTED_VALUE"""),984.0)</f>
        <v>984</v>
      </c>
      <c r="C43" s="7">
        <v>606.939602450241</v>
      </c>
      <c r="D43" s="7">
        <v>866.940625</v>
      </c>
      <c r="E43" s="7">
        <v>297.0</v>
      </c>
      <c r="F43" s="7">
        <v>334.579777444708</v>
      </c>
      <c r="G43" s="7">
        <v>984.238531544396</v>
      </c>
      <c r="H43" s="7">
        <v>1181.85578465592</v>
      </c>
      <c r="I43" s="7">
        <v>581.193151527361</v>
      </c>
      <c r="J43" s="7">
        <v>641.707022331916</v>
      </c>
      <c r="K43" s="7">
        <v>740.26097274817</v>
      </c>
      <c r="L43" s="7">
        <v>82.174</v>
      </c>
      <c r="M43" s="7">
        <v>832.681383491831</v>
      </c>
      <c r="N43" s="7">
        <v>904.649359802825</v>
      </c>
      <c r="O43" s="7">
        <v>1032.89856429742</v>
      </c>
      <c r="P43" s="7">
        <v>1015.21945728055</v>
      </c>
      <c r="Q43" s="7">
        <v>841.490576864096</v>
      </c>
      <c r="R43" s="7">
        <v>832.974022621284</v>
      </c>
      <c r="S43" s="7">
        <v>1260.29366786387</v>
      </c>
      <c r="T43" s="7">
        <v>1104.75930584906</v>
      </c>
      <c r="U43" s="7">
        <v>897.0</v>
      </c>
      <c r="V43" s="7">
        <v>894.85029179187</v>
      </c>
      <c r="W43" s="7">
        <v>952.688588045862</v>
      </c>
      <c r="X43" s="7">
        <v>876.009611039322</v>
      </c>
    </row>
    <row r="44">
      <c r="A44" s="8">
        <v>41456.0</v>
      </c>
      <c r="B44" s="18">
        <f>IFERROR(__xludf.DUMMYFUNCTION("""COMPUTED_VALUE"""),987.0)</f>
        <v>987</v>
      </c>
      <c r="C44" s="7">
        <v>391.787729454125</v>
      </c>
      <c r="D44" s="7">
        <v>822.160625</v>
      </c>
      <c r="E44" s="7">
        <v>479.505481139254</v>
      </c>
      <c r="F44" s="7">
        <v>380.237937310181</v>
      </c>
      <c r="G44" s="7">
        <v>1059.51203209637</v>
      </c>
      <c r="H44" s="7">
        <v>1217.72320777157</v>
      </c>
      <c r="I44" s="7">
        <v>808.63370139707</v>
      </c>
      <c r="J44" s="7">
        <v>337.23358737994</v>
      </c>
      <c r="K44" s="7">
        <v>729.926565752445</v>
      </c>
      <c r="L44" s="7">
        <v>112.088</v>
      </c>
      <c r="M44" s="7">
        <v>1059.51782187451</v>
      </c>
      <c r="N44" s="7">
        <v>742.660414790472</v>
      </c>
      <c r="O44" s="7">
        <v>1396.25584</v>
      </c>
      <c r="P44" s="7">
        <v>1262.57995262357</v>
      </c>
      <c r="Q44" s="7">
        <v>1023.65607357245</v>
      </c>
      <c r="R44" s="7">
        <v>626.523883849979</v>
      </c>
      <c r="S44" s="7">
        <v>1010.17699926646</v>
      </c>
      <c r="T44" s="7">
        <v>1318.22603705905</v>
      </c>
      <c r="U44" s="7">
        <v>893.0</v>
      </c>
      <c r="V44" s="7">
        <v>667.613749097151</v>
      </c>
      <c r="W44" s="7">
        <v>561.95337286225</v>
      </c>
      <c r="X44" s="7">
        <v>1087.57763248102</v>
      </c>
    </row>
    <row r="45">
      <c r="A45" s="8">
        <v>41487.0</v>
      </c>
      <c r="B45" s="18">
        <f>IFERROR(__xludf.DUMMYFUNCTION("""COMPUTED_VALUE"""),1158.0)</f>
        <v>1158</v>
      </c>
      <c r="C45" s="7">
        <v>429.291783443938</v>
      </c>
      <c r="D45" s="7">
        <v>890.475</v>
      </c>
      <c r="E45" s="7">
        <v>420.249719820607</v>
      </c>
      <c r="F45" s="7">
        <v>393.771535846555</v>
      </c>
      <c r="G45" s="7">
        <v>858.768100874575</v>
      </c>
      <c r="H45" s="7">
        <v>1189.92724461038</v>
      </c>
      <c r="I45" s="7">
        <v>935.773084596296</v>
      </c>
      <c r="J45" s="7">
        <v>298.542285284081</v>
      </c>
      <c r="K45" s="7">
        <v>1127.60204490586</v>
      </c>
      <c r="L45" s="7">
        <v>21.376</v>
      </c>
      <c r="M45" s="7">
        <v>682.830970004297</v>
      </c>
      <c r="N45" s="7">
        <v>712.129714467285</v>
      </c>
      <c r="O45" s="7">
        <v>1484.87706</v>
      </c>
      <c r="P45" s="7">
        <v>969.617459002197</v>
      </c>
      <c r="Q45" s="7">
        <v>2171.9527116334</v>
      </c>
      <c r="R45" s="7">
        <v>299.403318371912</v>
      </c>
      <c r="S45" s="7">
        <v>1166.68616761105</v>
      </c>
      <c r="T45" s="7">
        <v>872.63198506981</v>
      </c>
      <c r="U45" s="7">
        <v>1017.0</v>
      </c>
      <c r="V45" s="7">
        <v>618.161083586569</v>
      </c>
      <c r="W45" s="7">
        <v>456.95337286225</v>
      </c>
      <c r="X45" s="7">
        <v>617.770796486963</v>
      </c>
    </row>
    <row r="46">
      <c r="A46" s="8">
        <v>41518.0</v>
      </c>
      <c r="B46" s="18">
        <f>IFERROR(__xludf.DUMMYFUNCTION("""COMPUTED_VALUE"""),639.0)</f>
        <v>639</v>
      </c>
      <c r="C46" s="7">
        <v>765.247390087989</v>
      </c>
      <c r="D46" s="7">
        <v>724.875</v>
      </c>
      <c r="E46" s="7">
        <v>297.0</v>
      </c>
      <c r="F46" s="7">
        <v>759.936475329121</v>
      </c>
      <c r="G46" s="7">
        <v>721.054579956345</v>
      </c>
      <c r="H46" s="7">
        <v>996.529094642043</v>
      </c>
      <c r="I46" s="7">
        <v>666.7053168539</v>
      </c>
      <c r="J46" s="7">
        <v>306.250655340972</v>
      </c>
      <c r="K46" s="7">
        <v>1165.0998351808</v>
      </c>
      <c r="L46" s="7">
        <v>397.206</v>
      </c>
      <c r="M46" s="7">
        <v>1044.56044193241</v>
      </c>
      <c r="N46" s="7">
        <v>740.132281347597</v>
      </c>
      <c r="O46" s="7">
        <v>726.2892</v>
      </c>
      <c r="P46" s="7">
        <v>195.488316661496</v>
      </c>
      <c r="Q46" s="7">
        <v>817.9729902952</v>
      </c>
      <c r="R46" s="7">
        <v>504.480535751716</v>
      </c>
      <c r="S46" s="7">
        <v>877.593433470518</v>
      </c>
      <c r="T46" s="7">
        <v>565.829988079477</v>
      </c>
      <c r="U46" s="7">
        <v>734.0</v>
      </c>
      <c r="V46" s="7">
        <v>780.840713124182</v>
      </c>
      <c r="W46" s="7">
        <v>770.160584496185</v>
      </c>
      <c r="X46" s="7">
        <v>761.984331755841</v>
      </c>
    </row>
    <row r="47">
      <c r="A47" s="8">
        <v>41548.0</v>
      </c>
      <c r="B47" s="18">
        <f>IFERROR(__xludf.DUMMYFUNCTION("""COMPUTED_VALUE"""),293.0)</f>
        <v>293</v>
      </c>
      <c r="C47" s="7">
        <v>502.523634575699</v>
      </c>
      <c r="D47" s="7">
        <v>483.87</v>
      </c>
      <c r="E47" s="7">
        <v>297.0</v>
      </c>
      <c r="F47" s="7">
        <v>41.7922782908661</v>
      </c>
      <c r="G47" s="7">
        <v>528.705353877274</v>
      </c>
      <c r="H47" s="7">
        <v>722.167595253241</v>
      </c>
      <c r="I47" s="7">
        <v>403.027652917582</v>
      </c>
      <c r="J47" s="7">
        <v>293.984838508109</v>
      </c>
      <c r="K47" s="7">
        <v>94.0400227243703</v>
      </c>
      <c r="L47" s="7">
        <v>1.76</v>
      </c>
      <c r="M47" s="7">
        <v>342.716499721527</v>
      </c>
      <c r="N47" s="7">
        <v>381.899111815946</v>
      </c>
      <c r="O47" s="7">
        <v>313.79152</v>
      </c>
      <c r="P47" s="7">
        <v>-141.506692555876</v>
      </c>
      <c r="Q47" s="7">
        <v>598.306307044824</v>
      </c>
      <c r="R47" s="7">
        <v>207.430348369614</v>
      </c>
      <c r="S47" s="7">
        <v>433.546518646415</v>
      </c>
      <c r="T47" s="7">
        <v>253.311456773552</v>
      </c>
      <c r="U47" s="7">
        <v>491.0</v>
      </c>
      <c r="V47" s="7">
        <v>333.714866632006</v>
      </c>
      <c r="W47" s="7">
        <v>293.33328984251</v>
      </c>
      <c r="X47" s="7">
        <v>474.529920843226</v>
      </c>
    </row>
    <row r="48">
      <c r="A48" s="8">
        <v>41579.0</v>
      </c>
      <c r="B48" s="18">
        <f>IFERROR(__xludf.DUMMYFUNCTION("""COMPUTED_VALUE"""),206.0)</f>
        <v>206</v>
      </c>
      <c r="C48" s="7">
        <v>569.495430894368</v>
      </c>
      <c r="D48" s="7">
        <v>397.22</v>
      </c>
      <c r="E48" s="7">
        <v>297.0</v>
      </c>
      <c r="F48" s="7">
        <v>102.625578911304</v>
      </c>
      <c r="G48" s="7">
        <v>345.333333333333</v>
      </c>
      <c r="H48" s="7">
        <v>929.696147339344</v>
      </c>
      <c r="I48" s="7">
        <v>126.872042370041</v>
      </c>
      <c r="J48" s="7">
        <v>330.0538604966</v>
      </c>
      <c r="K48" s="7">
        <v>261.088222909893</v>
      </c>
      <c r="L48" s="7">
        <v>245.834</v>
      </c>
      <c r="M48" s="7">
        <v>507.986750682487</v>
      </c>
      <c r="N48" s="7">
        <v>246.087463182694</v>
      </c>
      <c r="O48" s="7">
        <v>308.424693484013</v>
      </c>
      <c r="P48" s="7">
        <v>355.828725998804</v>
      </c>
      <c r="Q48" s="7">
        <v>636.124683488499</v>
      </c>
      <c r="R48" s="7">
        <v>360.003443607709</v>
      </c>
      <c r="S48" s="7">
        <v>40.7702843227889</v>
      </c>
      <c r="T48" s="7">
        <v>253.311456773552</v>
      </c>
      <c r="U48" s="7">
        <v>470.0</v>
      </c>
      <c r="V48" s="7">
        <v>511.383982238666</v>
      </c>
      <c r="W48" s="7">
        <v>294.744904981903</v>
      </c>
      <c r="X48" s="7">
        <v>418.968361242974</v>
      </c>
    </row>
    <row r="49">
      <c r="A49" s="8">
        <v>41609.0</v>
      </c>
      <c r="B49" s="18">
        <f>IFERROR(__xludf.DUMMYFUNCTION("""COMPUTED_VALUE"""),376.0)</f>
        <v>376</v>
      </c>
      <c r="C49" s="7">
        <v>-563.005474382749</v>
      </c>
      <c r="D49" s="7">
        <v>423.576875</v>
      </c>
      <c r="E49" s="7">
        <v>297.0</v>
      </c>
      <c r="F49" s="7">
        <v>221.345916804295</v>
      </c>
      <c r="G49" s="7">
        <v>348.833333333333</v>
      </c>
      <c r="H49" s="7">
        <v>681.938932981473</v>
      </c>
      <c r="I49" s="7">
        <v>356.822724798451</v>
      </c>
      <c r="J49" s="7">
        <v>394.654422334023</v>
      </c>
      <c r="K49" s="7">
        <v>82.9741291322411</v>
      </c>
      <c r="L49" s="7">
        <v>2.17</v>
      </c>
      <c r="M49" s="7">
        <v>535.144044320371</v>
      </c>
      <c r="N49" s="7">
        <v>274.843435529996</v>
      </c>
      <c r="O49" s="7">
        <v>470.6513</v>
      </c>
      <c r="P49" s="7">
        <v>419.99646566609</v>
      </c>
      <c r="Q49" s="7">
        <v>564.356911306962</v>
      </c>
      <c r="R49" s="7">
        <v>1350.50381226128</v>
      </c>
      <c r="S49" s="7">
        <v>210.008461219433</v>
      </c>
      <c r="T49" s="7">
        <v>253.311456773552</v>
      </c>
      <c r="U49" s="7">
        <v>440.0</v>
      </c>
      <c r="V49" s="7">
        <v>705.306050205764</v>
      </c>
      <c r="W49" s="7">
        <v>794.59054943632</v>
      </c>
      <c r="X49" s="7">
        <v>217.167504246357</v>
      </c>
    </row>
    <row r="50">
      <c r="A50" s="8">
        <v>41640.0</v>
      </c>
      <c r="B50" s="18">
        <f>IFERROR(__xludf.DUMMYFUNCTION("""COMPUTED_VALUE"""),234.0)</f>
        <v>234</v>
      </c>
      <c r="C50" s="7">
        <v>-858.684080320626</v>
      </c>
      <c r="D50" s="7">
        <v>347.88</v>
      </c>
      <c r="E50" s="7">
        <v>297.0</v>
      </c>
      <c r="F50" s="7">
        <v>-9.54777204455729</v>
      </c>
      <c r="G50" s="7">
        <v>344.583333333333</v>
      </c>
      <c r="H50" s="7">
        <v>-16.8790194127033</v>
      </c>
      <c r="I50" s="7">
        <v>42.9756713324223</v>
      </c>
      <c r="J50" s="7">
        <v>294.066094807891</v>
      </c>
      <c r="K50" s="7">
        <v>51.9422369620114</v>
      </c>
      <c r="L50" s="7">
        <v>245.749</v>
      </c>
      <c r="M50" s="7">
        <v>409.702975671539</v>
      </c>
      <c r="N50" s="7">
        <v>524.67087917832</v>
      </c>
      <c r="O50" s="7">
        <v>245.200693484013</v>
      </c>
      <c r="P50" s="7">
        <v>313.00453647509</v>
      </c>
      <c r="Q50" s="7">
        <v>376.307797129417</v>
      </c>
      <c r="R50" s="7">
        <v>770.146774350554</v>
      </c>
      <c r="S50" s="7">
        <v>313.150219771343</v>
      </c>
      <c r="T50" s="7">
        <v>314.616206375411</v>
      </c>
      <c r="U50" s="7">
        <v>417.0</v>
      </c>
      <c r="V50" s="7">
        <v>330.893490566465</v>
      </c>
      <c r="W50" s="7">
        <v>293.33328984251</v>
      </c>
      <c r="X50" s="7">
        <v>1503.78619065304</v>
      </c>
    </row>
    <row r="51">
      <c r="A51" s="8">
        <v>41671.0</v>
      </c>
      <c r="B51" s="18">
        <f>IFERROR(__xludf.DUMMYFUNCTION("""COMPUTED_VALUE"""),396.0)</f>
        <v>396</v>
      </c>
      <c r="C51" s="7">
        <v>-48.7459003945487</v>
      </c>
      <c r="D51" s="7">
        <v>573.0</v>
      </c>
      <c r="E51" s="7">
        <v>297.0</v>
      </c>
      <c r="F51" s="7">
        <v>198.240244410908</v>
      </c>
      <c r="G51" s="7">
        <v>365.718490738422</v>
      </c>
      <c r="H51" s="7">
        <v>-37.131402653805</v>
      </c>
      <c r="I51" s="7">
        <v>258.827031089214</v>
      </c>
      <c r="J51" s="7">
        <v>293.050221792018</v>
      </c>
      <c r="K51" s="7">
        <v>540.274670630583</v>
      </c>
      <c r="L51" s="7">
        <v>189.668</v>
      </c>
      <c r="M51" s="7">
        <v>442.994841294486</v>
      </c>
      <c r="N51" s="7">
        <v>246.405725883326</v>
      </c>
      <c r="O51" s="7">
        <v>429.62418</v>
      </c>
      <c r="P51" s="7">
        <v>279.138465211854</v>
      </c>
      <c r="Q51" s="7">
        <v>379.092701246038</v>
      </c>
      <c r="R51" s="7">
        <v>863.63106006484</v>
      </c>
      <c r="S51" s="7">
        <v>197.281498146854</v>
      </c>
      <c r="T51" s="7">
        <v>461.801407024699</v>
      </c>
      <c r="U51" s="7">
        <v>425.0</v>
      </c>
      <c r="V51" s="7">
        <v>279.903860994704</v>
      </c>
      <c r="W51" s="7">
        <v>293.33328984251</v>
      </c>
      <c r="X51" s="7">
        <v>20.2959251803594</v>
      </c>
    </row>
    <row r="52">
      <c r="A52" s="8">
        <v>41699.0</v>
      </c>
      <c r="B52" s="18">
        <f>IFERROR(__xludf.DUMMYFUNCTION("""COMPUTED_VALUE"""),307.0)</f>
        <v>307</v>
      </c>
      <c r="C52" s="7">
        <v>123.0</v>
      </c>
      <c r="D52" s="7">
        <v>240.0</v>
      </c>
      <c r="E52" s="7">
        <v>297.0</v>
      </c>
      <c r="F52" s="7">
        <v>194.729454937224</v>
      </c>
      <c r="G52" s="7">
        <v>482.776953278809</v>
      </c>
      <c r="H52" s="7">
        <v>321.192290554188</v>
      </c>
      <c r="I52" s="7">
        <v>249.584330268677</v>
      </c>
      <c r="J52" s="7">
        <v>297.17648441828</v>
      </c>
      <c r="K52" s="7">
        <v>458.434443730693</v>
      </c>
      <c r="L52" s="7">
        <v>120.9</v>
      </c>
      <c r="M52" s="7">
        <v>393.735867990681</v>
      </c>
      <c r="N52" s="7">
        <v>503.241067039186</v>
      </c>
      <c r="O52" s="7">
        <v>398.615493484013</v>
      </c>
      <c r="P52" s="7">
        <v>598.126814144341</v>
      </c>
      <c r="Q52" s="7">
        <v>325.920980468448</v>
      </c>
      <c r="R52" s="7">
        <v>914.732592023183</v>
      </c>
      <c r="S52" s="7">
        <v>292.320144011397</v>
      </c>
      <c r="T52" s="7">
        <v>253.311456773552</v>
      </c>
      <c r="U52" s="7">
        <v>353.0</v>
      </c>
      <c r="V52" s="7">
        <v>322.57294720263</v>
      </c>
      <c r="W52" s="7">
        <v>293.33328984251</v>
      </c>
      <c r="X52" s="7">
        <v>492.665273992046</v>
      </c>
    </row>
    <row r="53">
      <c r="A53" s="8">
        <v>41730.0</v>
      </c>
      <c r="B53" s="18">
        <f>IFERROR(__xludf.DUMMYFUNCTION("""COMPUTED_VALUE"""),206.0)</f>
        <v>206</v>
      </c>
      <c r="C53" s="7">
        <v>110.159889931233</v>
      </c>
      <c r="D53" s="7">
        <v>324.93</v>
      </c>
      <c r="E53" s="7">
        <v>297.0</v>
      </c>
      <c r="F53" s="7">
        <v>-62.4367802332091</v>
      </c>
      <c r="G53" s="7">
        <v>326.75</v>
      </c>
      <c r="H53" s="7">
        <v>302.103749098423</v>
      </c>
      <c r="I53" s="7">
        <v>-298.121047581412</v>
      </c>
      <c r="J53" s="7">
        <v>296.787769684738</v>
      </c>
      <c r="K53" s="7">
        <v>89.0011110222569</v>
      </c>
      <c r="L53" s="7">
        <v>33.223</v>
      </c>
      <c r="M53" s="7">
        <v>211.013641587589</v>
      </c>
      <c r="N53" s="7">
        <v>172.51984220214</v>
      </c>
      <c r="O53" s="7">
        <v>245.200693484013</v>
      </c>
      <c r="P53" s="7">
        <v>174.280385195515</v>
      </c>
      <c r="Q53" s="7">
        <v>412.770943152166</v>
      </c>
      <c r="R53" s="7">
        <v>1297.37237977467</v>
      </c>
      <c r="S53" s="7">
        <v>179.47847634102</v>
      </c>
      <c r="T53" s="7">
        <v>253.311456773552</v>
      </c>
      <c r="U53" s="7">
        <v>266.0</v>
      </c>
      <c r="V53" s="7">
        <v>1039.94023441621</v>
      </c>
      <c r="W53" s="7">
        <v>293.33328984251</v>
      </c>
      <c r="X53" s="7">
        <v>224.136746901754</v>
      </c>
    </row>
    <row r="54">
      <c r="A54" s="8">
        <v>41760.0</v>
      </c>
      <c r="B54" s="18">
        <f>IFERROR(__xludf.DUMMYFUNCTION("""COMPUTED_VALUE"""),360.0)</f>
        <v>360</v>
      </c>
      <c r="C54" s="7">
        <v>176.966528987016</v>
      </c>
      <c r="D54" s="7">
        <v>457.183125</v>
      </c>
      <c r="E54" s="7">
        <v>297.0</v>
      </c>
      <c r="F54" s="7">
        <v>-146.632037505669</v>
      </c>
      <c r="G54" s="7">
        <v>458.0</v>
      </c>
      <c r="H54" s="7">
        <v>289.813281022476</v>
      </c>
      <c r="I54" s="7">
        <v>388.136864849322</v>
      </c>
      <c r="J54" s="7">
        <v>299.981703273499</v>
      </c>
      <c r="K54" s="7">
        <v>-14.8197594613443</v>
      </c>
      <c r="L54" s="7">
        <v>222.792</v>
      </c>
      <c r="M54" s="7">
        <v>101.501358321353</v>
      </c>
      <c r="N54" s="7">
        <v>405.08193568887</v>
      </c>
      <c r="O54" s="7">
        <v>245.200693484013</v>
      </c>
      <c r="P54" s="7">
        <v>141.965139214668</v>
      </c>
      <c r="Q54" s="7">
        <v>388.202599420316</v>
      </c>
      <c r="R54" s="7">
        <v>1754.93408094742</v>
      </c>
      <c r="S54" s="7">
        <v>85.6365517172965</v>
      </c>
      <c r="T54" s="7">
        <v>253.311456773552</v>
      </c>
      <c r="U54" s="7">
        <v>313.0</v>
      </c>
      <c r="V54" s="7">
        <v>1474.25743859563</v>
      </c>
      <c r="W54" s="7">
        <v>293.33328984251</v>
      </c>
      <c r="X54" s="7">
        <v>404.180653419766</v>
      </c>
    </row>
    <row r="55">
      <c r="A55" s="8">
        <v>41791.0</v>
      </c>
      <c r="B55" s="18">
        <f>IFERROR(__xludf.DUMMYFUNCTION("""COMPUTED_VALUE"""),1255.0)</f>
        <v>1255</v>
      </c>
      <c r="C55" s="7">
        <v>327.539102094029</v>
      </c>
      <c r="D55" s="7">
        <v>367.138125</v>
      </c>
      <c r="E55" s="7">
        <v>297.0</v>
      </c>
      <c r="F55" s="7">
        <v>1218.04688566798</v>
      </c>
      <c r="G55" s="7">
        <v>445.666666666667</v>
      </c>
      <c r="H55" s="7">
        <v>244.105135247775</v>
      </c>
      <c r="I55" s="7">
        <v>742.69972430283</v>
      </c>
      <c r="J55" s="7">
        <v>327.605304534334</v>
      </c>
      <c r="K55" s="7">
        <v>512.620098988005</v>
      </c>
      <c r="L55" s="7">
        <v>497.50126790816</v>
      </c>
      <c r="M55" s="7">
        <v>105.147868707101</v>
      </c>
      <c r="N55" s="7">
        <v>296.51984220214</v>
      </c>
      <c r="O55" s="7">
        <v>270.746639507924</v>
      </c>
      <c r="P55" s="7">
        <v>683.652313131366</v>
      </c>
      <c r="Q55" s="7">
        <v>316.763762077815</v>
      </c>
      <c r="R55" s="7">
        <v>1859.15337920341</v>
      </c>
      <c r="S55" s="7">
        <v>333.76765318888</v>
      </c>
      <c r="T55" s="7">
        <v>253.311456773552</v>
      </c>
      <c r="U55" s="7">
        <v>307.0</v>
      </c>
      <c r="V55" s="7">
        <v>931.357803770848</v>
      </c>
      <c r="W55" s="7">
        <v>293.33328984251</v>
      </c>
      <c r="X55" s="7">
        <v>786.709860699675</v>
      </c>
    </row>
    <row r="56">
      <c r="A56" s="8">
        <v>41821.0</v>
      </c>
      <c r="B56" s="18">
        <f>IFERROR(__xludf.DUMMYFUNCTION("""COMPUTED_VALUE"""),459.0)</f>
        <v>459</v>
      </c>
      <c r="C56" s="7">
        <v>48.0</v>
      </c>
      <c r="D56" s="7">
        <v>487.36</v>
      </c>
      <c r="E56" s="7">
        <v>297.0</v>
      </c>
      <c r="F56" s="7">
        <v>328.542947310273</v>
      </c>
      <c r="G56" s="7">
        <v>443.916666666667</v>
      </c>
      <c r="H56" s="7">
        <v>248.496765555409</v>
      </c>
      <c r="I56" s="7">
        <v>1722.84279324646</v>
      </c>
      <c r="J56" s="7">
        <v>317.186866236462</v>
      </c>
      <c r="K56" s="7">
        <v>191.079381269265</v>
      </c>
      <c r="L56" s="7">
        <v>279.649</v>
      </c>
      <c r="M56" s="7">
        <v>230.860050993909</v>
      </c>
      <c r="N56" s="7">
        <v>250.098124437142</v>
      </c>
      <c r="O56" s="7">
        <v>273.118693484013</v>
      </c>
      <c r="P56" s="7">
        <v>616.594946938202</v>
      </c>
      <c r="Q56" s="7">
        <v>282.199143487676</v>
      </c>
      <c r="R56" s="7">
        <v>1809.15614706055</v>
      </c>
      <c r="S56" s="7">
        <v>436.726495181915</v>
      </c>
      <c r="T56" s="7">
        <v>253.311456773552</v>
      </c>
      <c r="U56" s="7">
        <v>316.5</v>
      </c>
      <c r="V56" s="7">
        <v>635.017562391311</v>
      </c>
      <c r="W56" s="7">
        <v>293.33328984251</v>
      </c>
      <c r="X56" s="7">
        <v>472.322328585248</v>
      </c>
    </row>
    <row r="57">
      <c r="A57" s="8">
        <v>41852.0</v>
      </c>
      <c r="B57" s="18">
        <f>IFERROR(__xludf.DUMMYFUNCTION("""COMPUTED_VALUE"""),504.0)</f>
        <v>504</v>
      </c>
      <c r="C57" s="7">
        <v>-699.005447574681</v>
      </c>
      <c r="D57" s="7">
        <v>486.65</v>
      </c>
      <c r="E57" s="7">
        <v>297.0</v>
      </c>
      <c r="F57" s="7">
        <v>276.61298375944</v>
      </c>
      <c r="G57" s="7">
        <v>387.5</v>
      </c>
      <c r="H57" s="7">
        <v>978.703565879566</v>
      </c>
      <c r="I57" s="7">
        <v>-123.978744312654</v>
      </c>
      <c r="J57" s="7">
        <v>299.983555125351</v>
      </c>
      <c r="K57" s="7">
        <v>591.938859716325</v>
      </c>
      <c r="L57" s="7">
        <v>207.9195</v>
      </c>
      <c r="M57" s="7">
        <v>321.473701414601</v>
      </c>
      <c r="N57" s="7">
        <v>626.715697343223</v>
      </c>
      <c r="O57" s="7">
        <v>406.088193484013</v>
      </c>
      <c r="P57" s="7">
        <v>288.574422116694</v>
      </c>
      <c r="Q57" s="7">
        <v>114.104858369568</v>
      </c>
      <c r="R57" s="7">
        <v>2043.42157942076</v>
      </c>
      <c r="S57" s="7">
        <v>493.646777588548</v>
      </c>
      <c r="T57" s="7">
        <v>257.963259432443</v>
      </c>
      <c r="U57" s="7">
        <v>232.0</v>
      </c>
      <c r="V57" s="7">
        <v>683.734187064975</v>
      </c>
      <c r="W57" s="7">
        <v>293.33328984251</v>
      </c>
      <c r="X57" s="7">
        <v>275.066698606377</v>
      </c>
    </row>
    <row r="58">
      <c r="A58" s="8">
        <v>41883.0</v>
      </c>
      <c r="B58" s="18">
        <f>IFERROR(__xludf.DUMMYFUNCTION("""COMPUTED_VALUE"""),733.0)</f>
        <v>733</v>
      </c>
      <c r="C58" s="7">
        <v>22.0</v>
      </c>
      <c r="D58" s="7">
        <v>375.578125</v>
      </c>
      <c r="E58" s="7">
        <v>297.0</v>
      </c>
      <c r="F58" s="7">
        <v>39.4428144452194</v>
      </c>
      <c r="G58" s="7">
        <v>396.333333333333</v>
      </c>
      <c r="H58" s="7">
        <v>869.245232546232</v>
      </c>
      <c r="I58" s="7">
        <v>62.2820365171877</v>
      </c>
      <c r="J58" s="7">
        <v>304.4557835461</v>
      </c>
      <c r="K58" s="7">
        <v>400.303766685019</v>
      </c>
      <c r="L58" s="7">
        <v>608.158333333333</v>
      </c>
      <c r="M58" s="7">
        <v>191.423380837378</v>
      </c>
      <c r="N58" s="7">
        <v>397.432182152846</v>
      </c>
      <c r="O58" s="7">
        <v>357.16436015068</v>
      </c>
      <c r="P58" s="7">
        <v>390.402830531816</v>
      </c>
      <c r="Q58" s="7">
        <v>161.012108227926</v>
      </c>
      <c r="R58" s="7">
        <v>2745.49631235978</v>
      </c>
      <c r="S58" s="7">
        <v>589.481494071114</v>
      </c>
      <c r="T58" s="7">
        <v>430.559577155315</v>
      </c>
      <c r="U58" s="7">
        <v>312.5</v>
      </c>
      <c r="V58" s="7">
        <v>806.208040247744</v>
      </c>
      <c r="W58" s="7">
        <v>293.33328984251</v>
      </c>
      <c r="X58" s="7">
        <v>347.105534323163</v>
      </c>
    </row>
    <row r="59">
      <c r="A59" s="8">
        <v>41913.0</v>
      </c>
      <c r="B59" s="18">
        <f>IFERROR(__xludf.DUMMYFUNCTION("""COMPUTED_VALUE"""),348.0)</f>
        <v>348</v>
      </c>
      <c r="C59" s="7">
        <v>-53.5678916027823</v>
      </c>
      <c r="D59" s="7">
        <v>273.255</v>
      </c>
      <c r="E59" s="7">
        <v>297.0</v>
      </c>
      <c r="F59" s="7">
        <v>9.35026454466282</v>
      </c>
      <c r="G59" s="7">
        <v>408.083333333333</v>
      </c>
      <c r="H59" s="7">
        <v>781.321250209829</v>
      </c>
      <c r="I59" s="7">
        <v>57.3583421595958</v>
      </c>
      <c r="J59" s="7">
        <v>296.917743159539</v>
      </c>
      <c r="K59" s="7">
        <v>22.3857733363913</v>
      </c>
      <c r="L59" s="7">
        <v>297.325</v>
      </c>
      <c r="M59" s="7">
        <v>226.343641587589</v>
      </c>
      <c r="N59" s="7">
        <v>161.928331832378</v>
      </c>
      <c r="O59" s="7">
        <v>310.233193484013</v>
      </c>
      <c r="P59" s="7">
        <v>60.2204525286483</v>
      </c>
      <c r="Q59" s="7">
        <v>104.834649700553</v>
      </c>
      <c r="R59" s="7">
        <v>2492.76933165003</v>
      </c>
      <c r="S59" s="7">
        <v>198.773277874054</v>
      </c>
      <c r="T59" s="7">
        <v>364.430395948946</v>
      </c>
      <c r="U59" s="7">
        <v>236.5</v>
      </c>
      <c r="V59" s="7">
        <v>389.655135352393</v>
      </c>
      <c r="W59" s="7">
        <v>293.33328984251</v>
      </c>
      <c r="X59" s="7">
        <v>285.090772015538</v>
      </c>
    </row>
    <row r="60">
      <c r="A60" s="8">
        <v>41944.0</v>
      </c>
      <c r="B60" s="18">
        <f>IFERROR(__xludf.DUMMYFUNCTION("""COMPUTED_VALUE"""),202.0)</f>
        <v>202</v>
      </c>
      <c r="C60" s="7">
        <v>-61.0284057371856</v>
      </c>
      <c r="D60" s="7">
        <v>100.4375</v>
      </c>
      <c r="E60" s="7">
        <v>297.0</v>
      </c>
      <c r="F60" s="7">
        <v>-12.3748268949746</v>
      </c>
      <c r="G60" s="7">
        <v>391.0</v>
      </c>
      <c r="H60" s="7">
        <v>826.467724818728</v>
      </c>
      <c r="I60" s="7">
        <v>138.194659688171</v>
      </c>
      <c r="J60" s="7">
        <v>205.609629699946</v>
      </c>
      <c r="K60" s="7">
        <v>-81.4404431806918</v>
      </c>
      <c r="L60" s="7">
        <v>241.43</v>
      </c>
      <c r="M60" s="7">
        <v>-297.031102517132</v>
      </c>
      <c r="N60" s="7">
        <v>282.689437940303</v>
      </c>
      <c r="O60" s="7">
        <v>262.140190584458</v>
      </c>
      <c r="P60" s="7">
        <v>50.1937287839279</v>
      </c>
      <c r="Q60" s="7">
        <v>118.779532934071</v>
      </c>
      <c r="R60" s="7">
        <v>2338.92839569312</v>
      </c>
      <c r="S60" s="7">
        <v>27.391475156506</v>
      </c>
      <c r="T60" s="7">
        <v>253.311456773552</v>
      </c>
      <c r="U60" s="7">
        <v>260.5</v>
      </c>
      <c r="V60" s="7">
        <v>378.083644598253</v>
      </c>
      <c r="W60" s="7">
        <v>293.33328984251</v>
      </c>
      <c r="X60" s="7">
        <v>121.945057757489</v>
      </c>
    </row>
    <row r="61">
      <c r="A61" s="8">
        <v>41974.0</v>
      </c>
      <c r="B61" s="18">
        <f>IFERROR(__xludf.DUMMYFUNCTION("""COMPUTED_VALUE"""),251.0)</f>
        <v>251</v>
      </c>
      <c r="C61" s="7">
        <v>155.0</v>
      </c>
      <c r="D61" s="7">
        <v>210.15</v>
      </c>
      <c r="E61" s="7">
        <v>297.0</v>
      </c>
      <c r="F61" s="7">
        <v>174.71156922546</v>
      </c>
      <c r="G61" s="7">
        <v>615.0</v>
      </c>
      <c r="H61" s="7">
        <v>831.627233282486</v>
      </c>
      <c r="I61" s="7">
        <v>408.474885981462</v>
      </c>
      <c r="J61" s="7">
        <v>282.208951950748</v>
      </c>
      <c r="K61" s="7">
        <v>-84.9467424100728</v>
      </c>
      <c r="L61" s="7">
        <v>5.91</v>
      </c>
      <c r="M61" s="7">
        <v>-161.985485327665</v>
      </c>
      <c r="N61" s="7">
        <v>115.915103697618</v>
      </c>
      <c r="O61" s="7">
        <v>245.200693484013</v>
      </c>
      <c r="P61" s="7">
        <v>-47.1451374493013</v>
      </c>
      <c r="Q61" s="7">
        <v>135.626447334852</v>
      </c>
      <c r="R61" s="7">
        <v>428.598333956065</v>
      </c>
      <c r="S61" s="7">
        <v>-213.061329580044</v>
      </c>
      <c r="T61" s="7">
        <v>253.311456773552</v>
      </c>
      <c r="U61" s="7">
        <v>227.0</v>
      </c>
      <c r="V61" s="7">
        <v>675.047733854234</v>
      </c>
      <c r="W61" s="7">
        <v>293.33328984251</v>
      </c>
      <c r="X61" s="7">
        <v>120.478125534902</v>
      </c>
    </row>
    <row r="62">
      <c r="A62" s="8">
        <v>42005.0</v>
      </c>
      <c r="B62" s="18">
        <f>IFERROR(__xludf.DUMMYFUNCTION("""COMPUTED_VALUE"""),286.0)</f>
        <v>286</v>
      </c>
      <c r="C62" s="7">
        <v>549.0</v>
      </c>
      <c r="D62" s="7">
        <v>549.0</v>
      </c>
      <c r="E62" s="7">
        <v>297.0</v>
      </c>
      <c r="F62" s="7">
        <v>641.255010598506</v>
      </c>
      <c r="G62" s="7">
        <v>602.75</v>
      </c>
      <c r="H62" s="7">
        <v>922.049139246304</v>
      </c>
      <c r="I62" s="7">
        <v>419.666567614156</v>
      </c>
      <c r="J62" s="7">
        <v>535.571428571429</v>
      </c>
      <c r="K62" s="7">
        <v>137.366004775582</v>
      </c>
      <c r="L62" s="7">
        <v>272.468085802117</v>
      </c>
      <c r="M62" s="7">
        <v>-185.053079842327</v>
      </c>
      <c r="N62" s="7">
        <v>390.06870755411</v>
      </c>
      <c r="O62" s="7">
        <v>245.200693484013</v>
      </c>
      <c r="P62" s="7">
        <v>79.5968206061297</v>
      </c>
      <c r="Q62" s="7">
        <v>131.654346234</v>
      </c>
      <c r="R62" s="7">
        <v>123.879428778823</v>
      </c>
      <c r="S62" s="7">
        <v>748.041476915377</v>
      </c>
      <c r="T62" s="7">
        <v>321.782046806064</v>
      </c>
      <c r="U62" s="7">
        <v>266.0</v>
      </c>
      <c r="V62" s="7">
        <v>830.282451916385</v>
      </c>
      <c r="W62" s="7">
        <v>656.05638733461</v>
      </c>
      <c r="X62" s="7">
        <v>276.966459341011</v>
      </c>
    </row>
    <row r="63">
      <c r="A63" s="8">
        <v>42036.0</v>
      </c>
      <c r="B63" s="18">
        <f>IFERROR(__xludf.DUMMYFUNCTION("""COMPUTED_VALUE"""),783.0)</f>
        <v>783</v>
      </c>
      <c r="C63" s="7">
        <v>325.0</v>
      </c>
      <c r="D63" s="7">
        <v>325.0</v>
      </c>
      <c r="E63" s="7">
        <v>297.0</v>
      </c>
      <c r="F63" s="7">
        <v>541.112782528837</v>
      </c>
      <c r="G63" s="7">
        <v>612.363636363636</v>
      </c>
      <c r="H63" s="7">
        <v>1072.35542936289</v>
      </c>
      <c r="I63" s="7">
        <v>486.669176107803</v>
      </c>
      <c r="J63" s="7">
        <v>325.0</v>
      </c>
      <c r="K63" s="7">
        <v>833.572161541821</v>
      </c>
      <c r="L63" s="7">
        <v>681.231065783862</v>
      </c>
      <c r="M63" s="7">
        <v>291.84636961148</v>
      </c>
      <c r="N63" s="7">
        <v>639.198422021395</v>
      </c>
      <c r="O63" s="7">
        <v>307.120693484013</v>
      </c>
      <c r="P63" s="7">
        <v>346.448383688188</v>
      </c>
      <c r="Q63" s="7">
        <v>242.679967295211</v>
      </c>
      <c r="R63" s="7">
        <v>98.1532020413449</v>
      </c>
      <c r="S63" s="7">
        <v>840.745569269155</v>
      </c>
      <c r="T63" s="7">
        <v>276.443714628901</v>
      </c>
      <c r="U63" s="7">
        <v>599.0</v>
      </c>
      <c r="V63" s="7">
        <v>578.582413910031</v>
      </c>
      <c r="W63" s="7">
        <v>523.411118117371</v>
      </c>
      <c r="X63" s="7">
        <v>370.74195822676</v>
      </c>
    </row>
    <row r="64">
      <c r="A64" s="8">
        <v>42064.0</v>
      </c>
      <c r="B64" s="18">
        <f>IFERROR(__xludf.DUMMYFUNCTION("""COMPUTED_VALUE"""),788.0)</f>
        <v>788</v>
      </c>
      <c r="C64" s="7">
        <v>265.0</v>
      </c>
      <c r="D64" s="7">
        <v>265.0</v>
      </c>
      <c r="E64" s="7">
        <v>297.0</v>
      </c>
      <c r="F64" s="7">
        <v>547.484691721405</v>
      </c>
      <c r="G64" s="7">
        <v>638.5</v>
      </c>
      <c r="H64" s="7">
        <v>1179.07176029721</v>
      </c>
      <c r="I64" s="7">
        <v>1033.96042617108</v>
      </c>
      <c r="J64" s="7">
        <v>300.494666236462</v>
      </c>
      <c r="K64" s="7">
        <v>531.487239551481</v>
      </c>
      <c r="L64" s="7">
        <v>624.819</v>
      </c>
      <c r="M64" s="7">
        <v>1029.76832435999</v>
      </c>
      <c r="N64" s="7">
        <v>1609.18954018086</v>
      </c>
      <c r="O64" s="7">
        <v>816.74337965658</v>
      </c>
      <c r="P64" s="7">
        <v>400.724283458852</v>
      </c>
      <c r="Q64" s="7">
        <v>291.225393334364</v>
      </c>
      <c r="R64" s="7">
        <v>313.991509754184</v>
      </c>
      <c r="S64" s="7">
        <v>765.07983027626</v>
      </c>
      <c r="T64" s="7">
        <v>767.066852185652</v>
      </c>
      <c r="U64" s="7">
        <v>846.0</v>
      </c>
      <c r="V64" s="7">
        <v>318.533772924663</v>
      </c>
      <c r="W64" s="7">
        <v>421.411118117371</v>
      </c>
      <c r="X64" s="7">
        <v>407.426661152916</v>
      </c>
    </row>
    <row r="65">
      <c r="A65" s="8">
        <v>42095.0</v>
      </c>
      <c r="B65" s="18">
        <f>IFERROR(__xludf.DUMMYFUNCTION("""COMPUTED_VALUE"""),175.0)</f>
        <v>175</v>
      </c>
      <c r="C65" s="7">
        <v>565.927189603789</v>
      </c>
      <c r="D65" s="7">
        <v>325.0</v>
      </c>
      <c r="E65" s="7">
        <v>297.0</v>
      </c>
      <c r="F65" s="7">
        <v>448.632586851069</v>
      </c>
      <c r="G65" s="7">
        <v>630.2</v>
      </c>
      <c r="H65" s="7">
        <v>1108.77278215044</v>
      </c>
      <c r="I65" s="7">
        <v>378.208145038169</v>
      </c>
      <c r="J65" s="7">
        <v>375.305486196809</v>
      </c>
      <c r="K65" s="7">
        <v>55.5065180772251</v>
      </c>
      <c r="L65" s="7">
        <v>198.232666666667</v>
      </c>
      <c r="M65" s="7">
        <v>-134.210987362079</v>
      </c>
      <c r="N65" s="7">
        <v>267.761106107926</v>
      </c>
      <c r="O65" s="7">
        <v>245.200693484013</v>
      </c>
      <c r="P65" s="7">
        <v>197.831609031124</v>
      </c>
      <c r="Q65" s="7">
        <v>339.987778757024</v>
      </c>
      <c r="R65" s="7">
        <v>659.232858897892</v>
      </c>
      <c r="S65" s="7">
        <v>495.691852484772</v>
      </c>
      <c r="T65" s="7">
        <v>253.311456773552</v>
      </c>
      <c r="U65" s="7">
        <v>142.0</v>
      </c>
      <c r="V65" s="7">
        <v>1806.33404929971</v>
      </c>
      <c r="W65" s="7">
        <v>528.411118117371</v>
      </c>
      <c r="X65" s="7">
        <v>356.634005696252</v>
      </c>
    </row>
    <row r="66">
      <c r="A66" s="8">
        <v>42125.0</v>
      </c>
      <c r="B66" s="18">
        <f>IFERROR(__xludf.DUMMYFUNCTION("""COMPUTED_VALUE"""),241.0)</f>
        <v>241</v>
      </c>
      <c r="C66" s="7">
        <v>17.0</v>
      </c>
      <c r="D66" s="7">
        <v>109.0</v>
      </c>
      <c r="E66" s="7">
        <v>297.0</v>
      </c>
      <c r="F66" s="7">
        <v>-29.3788322550135</v>
      </c>
      <c r="G66" s="7">
        <v>456.2</v>
      </c>
      <c r="H66" s="7">
        <v>879.550695337433</v>
      </c>
      <c r="I66" s="7">
        <v>222.043627906958</v>
      </c>
      <c r="J66" s="7">
        <v>524.644154708604</v>
      </c>
      <c r="K66" s="7">
        <v>11.3299970637665</v>
      </c>
      <c r="L66" s="7">
        <v>106.896</v>
      </c>
      <c r="M66" s="7">
        <v>-238.366417454749</v>
      </c>
      <c r="N66" s="7">
        <v>135.002566880312</v>
      </c>
      <c r="O66" s="7">
        <v>245.200693484013</v>
      </c>
      <c r="P66" s="7">
        <v>166.801951890591</v>
      </c>
      <c r="Q66" s="7">
        <v>267.993517655807</v>
      </c>
      <c r="R66" s="7">
        <v>706.361091106582</v>
      </c>
      <c r="S66" s="7">
        <v>34.9447843622867</v>
      </c>
      <c r="T66" s="7">
        <v>253.311456773552</v>
      </c>
      <c r="U66" s="7">
        <v>178.5</v>
      </c>
      <c r="V66" s="7">
        <v>1781.44974229816</v>
      </c>
      <c r="W66" s="7">
        <v>293.33328984251</v>
      </c>
      <c r="X66" s="7">
        <v>339.770205425982</v>
      </c>
    </row>
    <row r="67">
      <c r="A67" s="8">
        <v>42156.0</v>
      </c>
      <c r="B67" s="18">
        <f>IFERROR(__xludf.DUMMYFUNCTION("""COMPUTED_VALUE"""),467.0)</f>
        <v>467</v>
      </c>
      <c r="C67" s="7">
        <v>210.0</v>
      </c>
      <c r="D67" s="7">
        <v>210.0</v>
      </c>
      <c r="E67" s="7">
        <v>297.0</v>
      </c>
      <c r="F67" s="7">
        <v>-142.181253544345</v>
      </c>
      <c r="G67" s="7">
        <v>449.8</v>
      </c>
      <c r="H67" s="7">
        <v>875.056132653093</v>
      </c>
      <c r="I67" s="7">
        <v>307.088233281521</v>
      </c>
      <c r="J67" s="7">
        <v>447.368421052632</v>
      </c>
      <c r="K67" s="7">
        <v>63.2592433127417</v>
      </c>
      <c r="L67" s="7">
        <v>230.384</v>
      </c>
      <c r="M67" s="7">
        <v>-35.7244285826642</v>
      </c>
      <c r="N67" s="7">
        <v>277.591313503162</v>
      </c>
      <c r="O67" s="7">
        <v>245.200693484013</v>
      </c>
      <c r="P67" s="7">
        <v>250.20177497289</v>
      </c>
      <c r="Q67" s="7">
        <v>250.404310006284</v>
      </c>
      <c r="R67" s="7">
        <v>338.967641027344</v>
      </c>
      <c r="S67" s="7">
        <v>633.292409503216</v>
      </c>
      <c r="T67" s="7">
        <v>253.311456773552</v>
      </c>
      <c r="U67" s="7">
        <v>188.5</v>
      </c>
      <c r="V67" s="7">
        <v>757.690492965514</v>
      </c>
      <c r="W67" s="7">
        <v>293.33328984251</v>
      </c>
      <c r="X67" s="7">
        <v>689.020805157938</v>
      </c>
    </row>
    <row r="68">
      <c r="A68" s="8">
        <v>42186.0</v>
      </c>
      <c r="B68" s="18">
        <f>IFERROR(__xludf.DUMMYFUNCTION("""COMPUTED_VALUE"""),299.0)</f>
        <v>299</v>
      </c>
      <c r="C68" s="7">
        <v>-585.915944013705</v>
      </c>
      <c r="D68" s="7">
        <v>-9.0</v>
      </c>
      <c r="E68" s="7">
        <v>297.0</v>
      </c>
      <c r="F68" s="7">
        <v>-43.3068097183356</v>
      </c>
      <c r="G68" s="7">
        <v>496.888888888889</v>
      </c>
      <c r="H68" s="7">
        <v>629.029519674958</v>
      </c>
      <c r="I68" s="7">
        <v>-37.5955406990375</v>
      </c>
      <c r="J68" s="7">
        <v>300.494666236462</v>
      </c>
      <c r="K68" s="7">
        <v>199.464751012673</v>
      </c>
      <c r="L68" s="7">
        <v>263.815</v>
      </c>
      <c r="M68" s="7">
        <v>-13.8944285826642</v>
      </c>
      <c r="N68" s="7">
        <v>313.792893004669</v>
      </c>
      <c r="O68" s="7">
        <v>246.732693484013</v>
      </c>
      <c r="P68" s="7">
        <v>254.674049003249</v>
      </c>
      <c r="Q68" s="7">
        <v>204.396112101155</v>
      </c>
      <c r="R68" s="7">
        <v>223.548920248123</v>
      </c>
      <c r="S68" s="7">
        <v>491.595793228546</v>
      </c>
      <c r="T68" s="7">
        <v>310.201916962035</v>
      </c>
      <c r="U68" s="7">
        <v>495.871649780165</v>
      </c>
      <c r="V68" s="7">
        <v>978.284361191785</v>
      </c>
      <c r="W68" s="7">
        <v>293.33328984251</v>
      </c>
      <c r="X68" s="7">
        <v>157.827610281039</v>
      </c>
    </row>
    <row r="69">
      <c r="A69" s="8">
        <v>42217.0</v>
      </c>
      <c r="B69" s="69">
        <f>IFERROR(__xludf.DUMMYFUNCTION("""COMPUTED_VALUE"""),595.0)</f>
        <v>595</v>
      </c>
      <c r="C69" s="7">
        <v>140.0</v>
      </c>
      <c r="D69" s="7">
        <v>356.96</v>
      </c>
      <c r="E69" s="7">
        <v>297.0</v>
      </c>
      <c r="F69" s="7">
        <v>212.627794601835</v>
      </c>
      <c r="G69" s="7">
        <v>482.0</v>
      </c>
      <c r="H69" s="7">
        <v>748.175680608191</v>
      </c>
      <c r="I69" s="7">
        <v>7.49599761372065</v>
      </c>
      <c r="J69" s="7">
        <v>300.229960354109</v>
      </c>
      <c r="K69" s="7">
        <v>489.02424545291</v>
      </c>
      <c r="L69" s="7">
        <v>75.912</v>
      </c>
      <c r="M69" s="7">
        <v>467.855219169002</v>
      </c>
      <c r="N69" s="7">
        <v>210.686871059992</v>
      </c>
      <c r="O69" s="7">
        <v>403.615693484013</v>
      </c>
      <c r="P69" s="7">
        <v>159.865205377235</v>
      </c>
      <c r="Q69" s="7">
        <v>524.010699418787</v>
      </c>
      <c r="R69" s="7">
        <v>206.376057694011</v>
      </c>
      <c r="S69" s="7">
        <v>456.311218882175</v>
      </c>
      <c r="T69" s="7">
        <v>636.753264949849</v>
      </c>
      <c r="U69" s="7">
        <v>518.871649780165</v>
      </c>
      <c r="V69" s="7">
        <v>981.89442018173</v>
      </c>
      <c r="W69" s="7">
        <v>293.33328984251</v>
      </c>
      <c r="X69" s="7">
        <v>105.907439711057</v>
      </c>
    </row>
    <row r="70">
      <c r="A70" s="8">
        <v>42248.0</v>
      </c>
      <c r="B70" s="69">
        <f>IFERROR(__xludf.DUMMYFUNCTION("""COMPUTED_VALUE"""),747.0)</f>
        <v>747</v>
      </c>
      <c r="C70" s="7">
        <v>-642.111931466263</v>
      </c>
      <c r="D70" s="7">
        <v>326.12</v>
      </c>
      <c r="E70" s="7">
        <v>297.0</v>
      </c>
      <c r="F70" s="7">
        <v>53.0470722152779</v>
      </c>
      <c r="G70" s="7">
        <v>408.666666666667</v>
      </c>
      <c r="H70" s="7">
        <v>893.217347274858</v>
      </c>
      <c r="I70" s="7">
        <v>-146.190374110116</v>
      </c>
      <c r="J70" s="7">
        <v>299.605777347573</v>
      </c>
      <c r="K70" s="7">
        <v>318.391122777583</v>
      </c>
      <c r="L70" s="7">
        <v>4.83</v>
      </c>
      <c r="M70" s="7">
        <v>-155.109375131512</v>
      </c>
      <c r="N70" s="7">
        <v>245.108588824989</v>
      </c>
      <c r="O70" s="7">
        <v>245.200693484013</v>
      </c>
      <c r="P70" s="7">
        <v>300.206811387862</v>
      </c>
      <c r="Q70" s="7">
        <v>212.028363400201</v>
      </c>
      <c r="R70" s="7">
        <v>430.427099294845</v>
      </c>
      <c r="S70" s="7">
        <v>551.22975917791</v>
      </c>
      <c r="T70" s="7">
        <v>1637.81626390345</v>
      </c>
      <c r="U70" s="7">
        <v>114.0</v>
      </c>
      <c r="V70" s="7">
        <v>1052.67360446732</v>
      </c>
      <c r="W70" s="7">
        <v>293.33328984251</v>
      </c>
      <c r="X70" s="7">
        <v>46.3010431819132</v>
      </c>
    </row>
    <row r="71">
      <c r="A71" s="8">
        <v>42278.0</v>
      </c>
      <c r="B71" s="69">
        <f>IFERROR(__xludf.DUMMYFUNCTION("""COMPUTED_VALUE"""),668.0)</f>
        <v>668</v>
      </c>
      <c r="C71" s="7">
        <v>-944.91330392671</v>
      </c>
      <c r="D71" s="7">
        <v>468.7475</v>
      </c>
      <c r="E71" s="7">
        <v>297.0</v>
      </c>
      <c r="F71" s="7">
        <v>-134.688714884723</v>
      </c>
      <c r="G71" s="7">
        <v>367.222222222222</v>
      </c>
      <c r="H71" s="7">
        <v>873.679426283743</v>
      </c>
      <c r="I71" s="7">
        <v>-209.060973327224</v>
      </c>
      <c r="J71" s="7">
        <v>300.200548589403</v>
      </c>
      <c r="K71" s="7">
        <v>229.71831665374</v>
      </c>
      <c r="L71" s="7">
        <v>7.74</v>
      </c>
      <c r="M71" s="7">
        <v>-144.109375131512</v>
      </c>
      <c r="N71" s="7">
        <v>216.445410287605</v>
      </c>
      <c r="O71" s="7">
        <v>245.200693484013</v>
      </c>
      <c r="P71" s="7">
        <v>455.554338879791</v>
      </c>
      <c r="Q71" s="7">
        <v>124.454901609138</v>
      </c>
      <c r="R71" s="7">
        <v>681.993305845932</v>
      </c>
      <c r="S71" s="7">
        <v>237.580674663354</v>
      </c>
      <c r="T71" s="7">
        <v>357.513541986121</v>
      </c>
      <c r="U71" s="7">
        <v>170.0</v>
      </c>
      <c r="V71" s="7">
        <v>553.0</v>
      </c>
      <c r="W71" s="7">
        <v>293.33328984251</v>
      </c>
      <c r="X71" s="7">
        <v>-320.074876890678</v>
      </c>
    </row>
    <row r="72">
      <c r="A72" s="8">
        <v>42309.0</v>
      </c>
      <c r="B72" s="69">
        <f>IFERROR(__xludf.DUMMYFUNCTION("""COMPUTED_VALUE"""),295.0)</f>
        <v>295</v>
      </c>
      <c r="C72" s="7">
        <v>-1212.04525746426</v>
      </c>
      <c r="D72" s="7">
        <v>256.0</v>
      </c>
      <c r="E72" s="7">
        <v>297.0</v>
      </c>
      <c r="F72" s="7">
        <v>-419.012244296488</v>
      </c>
      <c r="G72" s="7">
        <v>352.888888888889</v>
      </c>
      <c r="H72" s="7">
        <v>646.625</v>
      </c>
      <c r="I72" s="7">
        <v>-252.951165223317</v>
      </c>
      <c r="J72" s="7">
        <v>300.494666236462</v>
      </c>
      <c r="K72" s="7">
        <v>182.458915775125</v>
      </c>
      <c r="L72" s="7">
        <v>0.0</v>
      </c>
      <c r="M72" s="7">
        <v>-144.109375131512</v>
      </c>
      <c r="N72" s="7">
        <v>196.286278937289</v>
      </c>
      <c r="O72" s="7">
        <v>245.200693484013</v>
      </c>
      <c r="P72" s="7">
        <v>256.599333509993</v>
      </c>
      <c r="Q72" s="7">
        <v>83.9766280539624</v>
      </c>
      <c r="R72" s="7">
        <v>109.276709966278</v>
      </c>
      <c r="S72" s="7">
        <v>146.39512212299</v>
      </c>
      <c r="T72" s="7">
        <v>253.311456773552</v>
      </c>
      <c r="U72" s="7">
        <v>164.0</v>
      </c>
      <c r="V72" s="7">
        <v>562.5</v>
      </c>
      <c r="W72" s="7">
        <v>293.33328984251</v>
      </c>
      <c r="X72" s="7">
        <v>-477.642153288827</v>
      </c>
    </row>
    <row r="73">
      <c r="A73" s="8">
        <v>42339.0</v>
      </c>
      <c r="B73" s="69">
        <f>IFERROR(__xludf.DUMMYFUNCTION("""COMPUTED_VALUE"""),111.0)</f>
        <v>111</v>
      </c>
      <c r="C73" s="7">
        <v>-1212.04525746426</v>
      </c>
      <c r="D73" s="7">
        <v>280.0</v>
      </c>
      <c r="E73" s="7">
        <v>297.0</v>
      </c>
      <c r="F73" s="7">
        <v>-117.409069693313</v>
      </c>
      <c r="G73" s="7">
        <v>196.0</v>
      </c>
      <c r="H73" s="7">
        <v>633.5</v>
      </c>
      <c r="I73" s="7">
        <v>-262.857811993359</v>
      </c>
      <c r="J73" s="7">
        <v>261.978537204204</v>
      </c>
      <c r="K73" s="7">
        <v>-5.86656100651493</v>
      </c>
      <c r="L73" s="7">
        <v>0.0</v>
      </c>
      <c r="M73" s="7">
        <v>-144.109375131512</v>
      </c>
      <c r="N73" s="7">
        <v>89.124580706661</v>
      </c>
      <c r="O73" s="7">
        <v>245.200693484013</v>
      </c>
      <c r="P73" s="7">
        <v>-57.9194075790934</v>
      </c>
      <c r="Q73" s="7">
        <v>76.8828695953866</v>
      </c>
      <c r="R73" s="7">
        <v>-54.1815446563021</v>
      </c>
      <c r="S73" s="7">
        <v>90.6129356826612</v>
      </c>
      <c r="T73" s="7">
        <v>253.311456773552</v>
      </c>
      <c r="U73" s="7">
        <v>165.0</v>
      </c>
      <c r="V73" s="7">
        <v>333.007868558684</v>
      </c>
      <c r="W73" s="7">
        <v>293.33328984251</v>
      </c>
      <c r="X73" s="7">
        <v>-446.346180314454</v>
      </c>
    </row>
    <row r="74">
      <c r="A74" s="8">
        <v>42370.0</v>
      </c>
      <c r="B74" s="18">
        <f>IFERROR(__xludf.DUMMYFUNCTION("""COMPUTED_VALUE"""),68.0)</f>
        <v>68</v>
      </c>
      <c r="C74" s="7">
        <v>-1164.49480654286</v>
      </c>
      <c r="D74" s="7">
        <v>357.0</v>
      </c>
      <c r="E74" s="7">
        <v>297.0</v>
      </c>
      <c r="F74" s="7">
        <v>-92.0306050481395</v>
      </c>
      <c r="G74" s="7">
        <v>191.222222222222</v>
      </c>
      <c r="H74" s="7">
        <v>475.166666666667</v>
      </c>
      <c r="I74" s="7">
        <v>-333.587277525923</v>
      </c>
      <c r="J74" s="7">
        <v>300.494666236462</v>
      </c>
      <c r="K74" s="7">
        <v>71.2651447543898</v>
      </c>
      <c r="L74" s="7">
        <v>0.0</v>
      </c>
      <c r="M74" s="7">
        <v>-144.109375131512</v>
      </c>
      <c r="N74" s="7">
        <v>86.9654493563448</v>
      </c>
      <c r="O74" s="7">
        <v>245.200693484013</v>
      </c>
      <c r="P74" s="7">
        <v>50.0452188116008</v>
      </c>
      <c r="Q74" s="7">
        <v>144.622791073743</v>
      </c>
      <c r="R74" s="7">
        <v>-54.1815446563021</v>
      </c>
      <c r="S74" s="7">
        <v>0.0</v>
      </c>
      <c r="T74" s="7">
        <v>526.219925795245</v>
      </c>
      <c r="U74" s="7">
        <v>220.0</v>
      </c>
      <c r="V74" s="7">
        <v>806.850665008832</v>
      </c>
      <c r="W74" s="7">
        <v>293.33328984251</v>
      </c>
      <c r="X74" s="7">
        <v>-343.803724861324</v>
      </c>
    </row>
    <row r="75">
      <c r="A75" s="8">
        <v>42401.0</v>
      </c>
      <c r="B75" s="69">
        <f>IFERROR(__xludf.DUMMYFUNCTION("""COMPUTED_VALUE"""),254.0)</f>
        <v>254</v>
      </c>
      <c r="C75" s="7">
        <v>-729.330573071225</v>
      </c>
      <c r="D75" s="7">
        <v>286.0</v>
      </c>
      <c r="E75" s="7">
        <v>297.0</v>
      </c>
      <c r="F75" s="7">
        <v>46.0422391982662</v>
      </c>
      <c r="G75" s="7">
        <v>181.6</v>
      </c>
      <c r="H75" s="7">
        <v>466.0</v>
      </c>
      <c r="I75" s="7">
        <v>-9.32358189761544</v>
      </c>
      <c r="J75" s="7">
        <v>294.137523379319</v>
      </c>
      <c r="K75" s="7">
        <v>189.385018015654</v>
      </c>
      <c r="L75" s="7">
        <v>99.9</v>
      </c>
      <c r="M75" s="7">
        <v>-80.1798010353618</v>
      </c>
      <c r="N75" s="7">
        <v>279.363277732135</v>
      </c>
      <c r="O75" s="7">
        <v>245.200693484013</v>
      </c>
      <c r="P75" s="7">
        <v>53.1039310473554</v>
      </c>
      <c r="Q75" s="7">
        <v>233.095287959985</v>
      </c>
      <c r="R75" s="7">
        <v>370.322661894785</v>
      </c>
      <c r="S75" s="7">
        <v>0.0</v>
      </c>
      <c r="T75" s="7">
        <v>253.311456773552</v>
      </c>
      <c r="U75" s="7">
        <v>193.0</v>
      </c>
      <c r="V75" s="7">
        <v>501.5</v>
      </c>
      <c r="W75" s="7">
        <v>293.33328984251</v>
      </c>
      <c r="X75" s="7">
        <v>528.898377335488</v>
      </c>
    </row>
    <row r="76">
      <c r="A76" s="8">
        <v>42430.0</v>
      </c>
      <c r="B76" s="69">
        <f>IFERROR(__xludf.DUMMYFUNCTION("""COMPUTED_VALUE"""),112.0)</f>
        <v>112</v>
      </c>
      <c r="C76" s="7">
        <v>-831.788656638476</v>
      </c>
      <c r="D76" s="7">
        <v>151.0</v>
      </c>
      <c r="E76" s="7">
        <v>297.0</v>
      </c>
      <c r="F76" s="7">
        <v>0.519195289648053</v>
      </c>
      <c r="G76" s="7">
        <v>166.272727272727</v>
      </c>
      <c r="H76" s="7">
        <v>445.75</v>
      </c>
      <c r="I76" s="7">
        <v>-145.273162422499</v>
      </c>
      <c r="J76" s="7">
        <v>298.694666236462</v>
      </c>
      <c r="K76" s="7">
        <v>-14.0764330379053</v>
      </c>
      <c r="L76" s="7">
        <v>60.84</v>
      </c>
      <c r="M76" s="7">
        <v>-157.142043543606</v>
      </c>
      <c r="N76" s="7">
        <v>405.758539227614</v>
      </c>
      <c r="O76" s="7">
        <v>245.200693484013</v>
      </c>
      <c r="P76" s="7">
        <v>132.916552929293</v>
      </c>
      <c r="Q76" s="7">
        <v>199.42338315177</v>
      </c>
      <c r="R76" s="7">
        <v>364.727995228118</v>
      </c>
      <c r="S76" s="7">
        <v>0.0</v>
      </c>
      <c r="T76" s="7">
        <v>253.311456773552</v>
      </c>
      <c r="U76" s="7">
        <v>315.0</v>
      </c>
      <c r="V76" s="7">
        <v>542.89326031038</v>
      </c>
      <c r="W76" s="7">
        <v>293.33328984251</v>
      </c>
      <c r="X76" s="7">
        <v>476.221360044344</v>
      </c>
    </row>
    <row r="77">
      <c r="A77" s="8">
        <v>42461.0</v>
      </c>
      <c r="B77" s="69">
        <f>IFERROR(__xludf.DUMMYFUNCTION("""COMPUTED_VALUE"""),63.0)</f>
        <v>63</v>
      </c>
      <c r="C77" s="7">
        <v>-1011.68522283142</v>
      </c>
      <c r="D77" s="7">
        <v>137.0</v>
      </c>
      <c r="E77" s="7">
        <v>297.0</v>
      </c>
      <c r="F77" s="7">
        <v>-416.316857704105</v>
      </c>
      <c r="G77" s="7">
        <v>162.636363636364</v>
      </c>
      <c r="H77" s="7">
        <v>445.0</v>
      </c>
      <c r="I77" s="7">
        <v>-120.012308702884</v>
      </c>
      <c r="J77" s="7">
        <v>343.136444522797</v>
      </c>
      <c r="K77" s="7">
        <v>60.3064808803304</v>
      </c>
      <c r="L77" s="7">
        <v>9.89333333333333</v>
      </c>
      <c r="M77" s="7">
        <v>40.0415624009435</v>
      </c>
      <c r="N77" s="7">
        <v>707.843041796796</v>
      </c>
      <c r="O77" s="7">
        <v>261.693730467594</v>
      </c>
      <c r="P77" s="7">
        <v>470.239324763546</v>
      </c>
      <c r="Q77" s="7">
        <v>221.543523541267</v>
      </c>
      <c r="R77" s="7">
        <v>41.6534859829592</v>
      </c>
      <c r="S77" s="7">
        <v>0.0</v>
      </c>
      <c r="T77" s="7">
        <v>253.311456773552</v>
      </c>
      <c r="U77" s="7">
        <v>145.0</v>
      </c>
      <c r="V77" s="7">
        <v>388.458432993216</v>
      </c>
      <c r="W77" s="7">
        <v>293.33328984251</v>
      </c>
      <c r="X77" s="7">
        <v>77.9865780644081</v>
      </c>
    </row>
    <row r="78">
      <c r="A78" s="8">
        <v>42491.0</v>
      </c>
      <c r="B78" s="69">
        <f>IFERROR(__xludf.DUMMYFUNCTION("""COMPUTED_VALUE"""),75.0)</f>
        <v>75</v>
      </c>
      <c r="C78" s="7">
        <v>-807.495169324349</v>
      </c>
      <c r="D78" s="7">
        <v>118.0</v>
      </c>
      <c r="E78" s="7">
        <v>297.0</v>
      </c>
      <c r="F78" s="7">
        <v>-357.703071766391</v>
      </c>
      <c r="G78" s="7">
        <v>165.0</v>
      </c>
      <c r="H78" s="7">
        <v>632.951292863393</v>
      </c>
      <c r="I78" s="7">
        <v>-427.458175483254</v>
      </c>
      <c r="J78" s="7">
        <v>299.669666236462</v>
      </c>
      <c r="K78" s="7">
        <v>-40.9807163258924</v>
      </c>
      <c r="L78" s="7">
        <v>82.7755638904325</v>
      </c>
      <c r="M78" s="7">
        <v>-2.62790906836523</v>
      </c>
      <c r="N78" s="7">
        <v>182.074235047934</v>
      </c>
      <c r="O78" s="7">
        <v>245.200693484013</v>
      </c>
      <c r="P78" s="7">
        <v>85.2425087283094</v>
      </c>
      <c r="Q78" s="7">
        <v>236.659633190008</v>
      </c>
      <c r="R78" s="7">
        <v>102.420455679929</v>
      </c>
      <c r="S78" s="7">
        <v>67.3895503724427</v>
      </c>
      <c r="T78" s="7">
        <v>253.311456773552</v>
      </c>
      <c r="U78" s="7">
        <v>92.0</v>
      </c>
      <c r="V78" s="7">
        <v>504.835956186228</v>
      </c>
      <c r="W78" s="7">
        <v>293.33328984251</v>
      </c>
      <c r="X78" s="7">
        <v>-53.641408783486</v>
      </c>
    </row>
    <row r="79">
      <c r="A79" s="8">
        <v>42522.0</v>
      </c>
      <c r="B79" s="69">
        <f>IFERROR(__xludf.DUMMYFUNCTION("""COMPUTED_VALUE"""),80.0)</f>
        <v>80</v>
      </c>
      <c r="C79" s="7">
        <v>356.05665149735</v>
      </c>
      <c r="D79" s="7">
        <v>-21317.0</v>
      </c>
      <c r="E79" s="7">
        <v>297.0</v>
      </c>
      <c r="F79" s="7">
        <v>1.08239089679023</v>
      </c>
      <c r="G79" s="7">
        <v>165.181818181818</v>
      </c>
      <c r="H79" s="7">
        <v>927.770278333484</v>
      </c>
      <c r="I79" s="7">
        <v>-344.334594671329</v>
      </c>
      <c r="J79" s="7">
        <v>361.629562372664</v>
      </c>
      <c r="K79" s="7">
        <v>169.541675940953</v>
      </c>
      <c r="L79" s="7">
        <v>168.31</v>
      </c>
      <c r="M79" s="7">
        <v>400.098157369446</v>
      </c>
      <c r="N79" s="7">
        <v>302.761106107926</v>
      </c>
      <c r="O79" s="7">
        <v>245.200693484013</v>
      </c>
      <c r="P79" s="7">
        <v>528.155361823327</v>
      </c>
      <c r="Q79" s="7">
        <v>866.807750497408</v>
      </c>
      <c r="R79" s="7">
        <v>351.336940528414</v>
      </c>
      <c r="S79" s="7">
        <v>121.874933181905</v>
      </c>
      <c r="T79" s="7">
        <v>253.311456773552</v>
      </c>
      <c r="U79" s="7">
        <v>112.0</v>
      </c>
      <c r="V79" s="7">
        <v>1291.27865206208</v>
      </c>
      <c r="W79" s="7">
        <v>293.33328984251</v>
      </c>
      <c r="X79" s="7">
        <v>-100.751092263259</v>
      </c>
    </row>
    <row r="80">
      <c r="A80" s="8">
        <v>42552.0</v>
      </c>
      <c r="B80" s="18">
        <f>IFERROR(__xludf.DUMMYFUNCTION("""COMPUTED_VALUE"""),750.0)</f>
        <v>750</v>
      </c>
      <c r="C80" s="7">
        <v>368.878877861127</v>
      </c>
      <c r="D80" s="7">
        <v>114.0</v>
      </c>
      <c r="E80" s="7">
        <v>297.0</v>
      </c>
      <c r="F80" s="7">
        <v>556.92188938171</v>
      </c>
      <c r="G80" s="7">
        <v>663.53439686139</v>
      </c>
      <c r="H80" s="7">
        <v>1080.68694500015</v>
      </c>
      <c r="I80" s="7">
        <v>-106.990834301038</v>
      </c>
      <c r="J80" s="7">
        <v>307.942963033279</v>
      </c>
      <c r="K80" s="7">
        <v>674.398337847455</v>
      </c>
      <c r="L80" s="7">
        <v>410.793385482486</v>
      </c>
      <c r="M80" s="7">
        <v>368.541258472631</v>
      </c>
      <c r="N80" s="7">
        <v>742.34156149004</v>
      </c>
      <c r="O80" s="7">
        <v>411.45130622517</v>
      </c>
      <c r="P80" s="7">
        <v>689.125729354189</v>
      </c>
      <c r="Q80" s="7">
        <v>340.919515503005</v>
      </c>
      <c r="R80" s="7">
        <v>472.977031437505</v>
      </c>
      <c r="S80" s="7">
        <v>191.557879819204</v>
      </c>
      <c r="T80" s="7">
        <v>1180.36437642423</v>
      </c>
      <c r="U80" s="7">
        <v>491.0</v>
      </c>
      <c r="V80" s="7">
        <v>2324.0</v>
      </c>
      <c r="W80" s="7">
        <v>293.33328984251</v>
      </c>
      <c r="X80" s="7">
        <v>159.357819506786</v>
      </c>
    </row>
    <row r="81">
      <c r="A81" s="8">
        <v>42583.0</v>
      </c>
      <c r="B81" s="18">
        <f>IFERROR(__xludf.DUMMYFUNCTION("""COMPUTED_VALUE"""),956.0)</f>
        <v>956</v>
      </c>
      <c r="C81" s="7">
        <v>425.808469339612</v>
      </c>
      <c r="D81" s="7">
        <v>545.12</v>
      </c>
      <c r="E81" s="7">
        <v>297.0</v>
      </c>
      <c r="F81" s="7">
        <v>635.136879541249</v>
      </c>
      <c r="G81" s="7">
        <v>152.583333333333</v>
      </c>
      <c r="H81" s="7">
        <v>809.702708750113</v>
      </c>
      <c r="I81" s="7">
        <v>-285.119801045499</v>
      </c>
      <c r="J81" s="7">
        <v>400.059185276597</v>
      </c>
      <c r="K81" s="7">
        <v>1011.1814853478</v>
      </c>
      <c r="L81" s="7">
        <v>905.369524068255</v>
      </c>
      <c r="M81" s="7">
        <v>1134.37364158759</v>
      </c>
      <c r="N81" s="7">
        <v>636.055282552751</v>
      </c>
      <c r="O81" s="7">
        <v>453.149912285776</v>
      </c>
      <c r="P81" s="7">
        <v>738.465721197004</v>
      </c>
      <c r="Q81" s="7">
        <v>347.693457557576</v>
      </c>
      <c r="R81" s="7">
        <v>953.291649431926</v>
      </c>
      <c r="S81" s="7">
        <v>151.234088380369</v>
      </c>
      <c r="T81" s="7">
        <v>370.404167276251</v>
      </c>
      <c r="U81" s="7">
        <v>184.0</v>
      </c>
      <c r="V81" s="7">
        <v>1677.39326031038</v>
      </c>
      <c r="W81" s="7">
        <v>293.33328984251</v>
      </c>
      <c r="X81" s="7">
        <v>715.791878427654</v>
      </c>
    </row>
    <row r="82">
      <c r="A82" s="8">
        <v>42614.0</v>
      </c>
      <c r="B82" s="18">
        <f>IFERROR(__xludf.DUMMYFUNCTION("""COMPUTED_VALUE"""),242.0)</f>
        <v>242</v>
      </c>
      <c r="C82" s="7">
        <v>-345.437124001348</v>
      </c>
      <c r="D82" s="7">
        <v>302.58</v>
      </c>
      <c r="E82" s="7">
        <v>297.0</v>
      </c>
      <c r="F82" s="7">
        <v>63.8858140446976</v>
      </c>
      <c r="G82" s="7">
        <v>150.416666666667</v>
      </c>
      <c r="H82" s="7">
        <v>762.441297085403</v>
      </c>
      <c r="I82" s="7">
        <v>-383.110873889712</v>
      </c>
      <c r="J82" s="7">
        <v>375.305486196809</v>
      </c>
      <c r="K82" s="7">
        <v>413.294463134942</v>
      </c>
      <c r="L82" s="7">
        <v>349.784</v>
      </c>
      <c r="M82" s="7">
        <v>337.898076674534</v>
      </c>
      <c r="N82" s="7">
        <v>443.699902328151</v>
      </c>
      <c r="O82" s="7">
        <v>300.114228420092</v>
      </c>
      <c r="P82" s="7">
        <v>277.949218052733</v>
      </c>
      <c r="Q82" s="7">
        <v>318.475849930294</v>
      </c>
      <c r="R82" s="7">
        <v>155.956134280411</v>
      </c>
      <c r="S82" s="7">
        <v>57.497480765057</v>
      </c>
      <c r="T82" s="7">
        <v>253.311456773552</v>
      </c>
      <c r="U82" s="7">
        <v>146.0</v>
      </c>
      <c r="V82" s="7">
        <v>580.5</v>
      </c>
      <c r="W82" s="7">
        <v>293.33328984251</v>
      </c>
      <c r="X82" s="7">
        <v>41.6913962161237</v>
      </c>
    </row>
    <row r="83">
      <c r="A83" s="8">
        <v>42644.0</v>
      </c>
      <c r="B83" s="18">
        <f>IFERROR(__xludf.DUMMYFUNCTION("""COMPUTED_VALUE"""),46.0)</f>
        <v>46</v>
      </c>
      <c r="C83" s="7">
        <v>6.0</v>
      </c>
      <c r="D83" s="7">
        <v>298.1</v>
      </c>
      <c r="E83" s="7">
        <v>297.0</v>
      </c>
      <c r="F83" s="7">
        <v>60.3362249501998</v>
      </c>
      <c r="G83" s="7">
        <v>294.913875066085</v>
      </c>
      <c r="H83" s="7">
        <v>779.301805833409</v>
      </c>
      <c r="I83" s="7">
        <v>-267.546949953793</v>
      </c>
      <c r="J83" s="7">
        <v>300.494666236462</v>
      </c>
      <c r="K83" s="7">
        <v>363.88979876835</v>
      </c>
      <c r="L83" s="7">
        <v>510.085445227769</v>
      </c>
      <c r="M83" s="7">
        <v>401.398190685785</v>
      </c>
      <c r="N83" s="7">
        <v>168.100691317454</v>
      </c>
      <c r="O83" s="7">
        <v>295.700693484013</v>
      </c>
      <c r="P83" s="7">
        <v>435.192955956509</v>
      </c>
      <c r="Q83" s="7">
        <v>283.286454865045</v>
      </c>
      <c r="R83" s="7">
        <v>101.358887341748</v>
      </c>
      <c r="S83" s="7">
        <v>72.9920418653144</v>
      </c>
      <c r="T83" s="7">
        <v>253.311456773552</v>
      </c>
      <c r="U83" s="7">
        <v>267.0</v>
      </c>
      <c r="V83" s="7">
        <v>519.0</v>
      </c>
      <c r="W83" s="7">
        <v>293.33328984251</v>
      </c>
      <c r="X83" s="7">
        <v>86.2287208545623</v>
      </c>
    </row>
    <row r="84">
      <c r="A84" s="8">
        <v>42675.0</v>
      </c>
      <c r="B84" s="18">
        <f>IFERROR(__xludf.DUMMYFUNCTION("""COMPUTED_VALUE"""),162.0)</f>
        <v>162</v>
      </c>
      <c r="C84" s="7">
        <v>178.671174343933</v>
      </c>
      <c r="D84" s="7">
        <v>252.88</v>
      </c>
      <c r="E84" s="7">
        <v>297.0</v>
      </c>
      <c r="F84" s="7">
        <v>72.0431293355308</v>
      </c>
      <c r="G84" s="7">
        <v>178.2</v>
      </c>
      <c r="H84" s="7">
        <v>783.631144448605</v>
      </c>
      <c r="I84" s="7">
        <v>-419.723801045499</v>
      </c>
      <c r="J84" s="7">
        <v>300.174666236462</v>
      </c>
      <c r="K84" s="7">
        <v>643.331526626382</v>
      </c>
      <c r="L84" s="7">
        <v>908.52</v>
      </c>
      <c r="M84" s="7">
        <v>444.416535824032</v>
      </c>
      <c r="N84" s="7">
        <v>105.716091076423</v>
      </c>
      <c r="O84" s="7">
        <v>245.200693484013</v>
      </c>
      <c r="P84" s="7">
        <v>373.025198534077</v>
      </c>
      <c r="Q84" s="7">
        <v>215.655259184254</v>
      </c>
      <c r="R84" s="7">
        <v>151.554123595113</v>
      </c>
      <c r="S84" s="7">
        <v>65.5688733924117</v>
      </c>
      <c r="T84" s="7">
        <v>253.311456773552</v>
      </c>
      <c r="U84" s="7">
        <v>179.0</v>
      </c>
      <c r="V84" s="7">
        <v>750.39326031038</v>
      </c>
      <c r="W84" s="7">
        <v>293.33328984251</v>
      </c>
      <c r="X84" s="7">
        <v>283.282299790814</v>
      </c>
    </row>
    <row r="85">
      <c r="A85" s="8">
        <v>42705.0</v>
      </c>
      <c r="B85" s="18">
        <f>IFERROR(__xludf.DUMMYFUNCTION("""COMPUTED_VALUE"""),374.0)</f>
        <v>374</v>
      </c>
      <c r="C85" s="7">
        <v>49.0294225519724</v>
      </c>
      <c r="D85" s="7">
        <v>315.4</v>
      </c>
      <c r="E85" s="7">
        <v>297.0</v>
      </c>
      <c r="F85" s="7">
        <v>327.79355080594</v>
      </c>
      <c r="G85" s="7">
        <v>34.8</v>
      </c>
      <c r="H85" s="7">
        <v>667.727715377859</v>
      </c>
      <c r="I85" s="7">
        <v>-289.190412392868</v>
      </c>
      <c r="J85" s="7">
        <v>1186.25</v>
      </c>
      <c r="K85" s="7">
        <v>809.923036080291</v>
      </c>
      <c r="L85" s="7">
        <v>914.188</v>
      </c>
      <c r="M85" s="7">
        <v>456.980262979779</v>
      </c>
      <c r="N85" s="7">
        <v>340.066140673798</v>
      </c>
      <c r="O85" s="7">
        <v>245.200693484013</v>
      </c>
      <c r="P85" s="7">
        <v>324.163233544816</v>
      </c>
      <c r="Q85" s="7">
        <v>238.162327701015</v>
      </c>
      <c r="R85" s="7">
        <v>404.299093292082</v>
      </c>
      <c r="S85" s="7">
        <v>167.860809614694</v>
      </c>
      <c r="T85" s="7">
        <v>394.972299656613</v>
      </c>
      <c r="U85" s="7">
        <v>189.5</v>
      </c>
      <c r="V85" s="7">
        <v>457.5</v>
      </c>
      <c r="W85" s="7">
        <v>293.33328984251</v>
      </c>
      <c r="X85" s="7">
        <v>243.115395495869</v>
      </c>
    </row>
    <row r="86">
      <c r="A86" s="8">
        <v>42736.0</v>
      </c>
      <c r="B86" s="18">
        <f>IFERROR(__xludf.DUMMYFUNCTION("""COMPUTED_VALUE"""),3059.0)</f>
        <v>3059</v>
      </c>
      <c r="C86" s="7">
        <v>3000.0</v>
      </c>
      <c r="D86" s="7">
        <v>3000.0</v>
      </c>
      <c r="E86" s="7">
        <v>739.545549402725</v>
      </c>
      <c r="F86" s="7">
        <v>3278.80746485372</v>
      </c>
      <c r="G86" s="7">
        <v>2841.5292882885</v>
      </c>
      <c r="H86" s="7">
        <v>755.519382044526</v>
      </c>
      <c r="I86" s="7">
        <v>2607.2761989545</v>
      </c>
      <c r="J86" s="7">
        <v>45065.3055555556</v>
      </c>
      <c r="K86" s="7">
        <v>3408.34090487863</v>
      </c>
      <c r="L86" s="7">
        <v>2633.43854796999</v>
      </c>
      <c r="M86" s="7">
        <v>2912.09364158759</v>
      </c>
      <c r="N86" s="7">
        <v>2302.27897964407</v>
      </c>
      <c r="O86" s="7">
        <v>3062.63939237438</v>
      </c>
      <c r="P86" s="7">
        <v>2597.68176890721</v>
      </c>
      <c r="Q86" s="7">
        <v>1678.17930690581</v>
      </c>
      <c r="R86" s="7">
        <v>3022.44775995875</v>
      </c>
      <c r="S86" s="7">
        <v>2726.22878480407</v>
      </c>
      <c r="T86" s="7">
        <v>3003.8476585246</v>
      </c>
      <c r="U86" s="7">
        <v>2520.0</v>
      </c>
      <c r="V86" s="7">
        <v>3591.13682783016</v>
      </c>
      <c r="W86" s="7">
        <v>2769.06039504624</v>
      </c>
      <c r="X86" s="7">
        <v>3035.61098132927</v>
      </c>
    </row>
    <row r="87">
      <c r="A87" s="8">
        <v>42767.0</v>
      </c>
      <c r="B87" s="18">
        <f>IFERROR(__xludf.DUMMYFUNCTION("""COMPUTED_VALUE"""),911.0)</f>
        <v>911</v>
      </c>
      <c r="C87" s="7">
        <v>-915.496638818369</v>
      </c>
      <c r="D87" s="7">
        <v>321.884</v>
      </c>
      <c r="E87" s="7">
        <v>297.0</v>
      </c>
      <c r="F87" s="7">
        <v>114.215396153348</v>
      </c>
      <c r="G87" s="7">
        <v>1198.21200918142</v>
      </c>
      <c r="H87" s="7">
        <v>858.014087159133</v>
      </c>
      <c r="I87" s="7">
        <v>606.216750512766</v>
      </c>
      <c r="J87" s="7">
        <v>300.494666236462</v>
      </c>
      <c r="K87" s="7">
        <v>659.171585158542</v>
      </c>
      <c r="L87" s="7">
        <v>244.117805173307</v>
      </c>
      <c r="M87" s="7">
        <v>-254.01100909946</v>
      </c>
      <c r="N87" s="7">
        <v>940.659627324072</v>
      </c>
      <c r="O87" s="7">
        <v>698.994130467594</v>
      </c>
      <c r="P87" s="7">
        <v>683.58105784499</v>
      </c>
      <c r="Q87" s="7">
        <v>224.449475003345</v>
      </c>
      <c r="R87" s="7">
        <v>524.057923595113</v>
      </c>
      <c r="S87" s="7">
        <v>564.894004380187</v>
      </c>
      <c r="T87" s="7">
        <v>746.214588096219</v>
      </c>
      <c r="U87" s="7">
        <v>719.0</v>
      </c>
      <c r="V87" s="7">
        <v>1103.5</v>
      </c>
      <c r="W87" s="7">
        <v>293.33328984251</v>
      </c>
      <c r="X87" s="7">
        <v>-105.727348447597</v>
      </c>
    </row>
    <row r="88">
      <c r="A88" s="8">
        <v>42795.0</v>
      </c>
      <c r="B88" s="18">
        <f>IFERROR(__xludf.DUMMYFUNCTION("""COMPUTED_VALUE"""),552.0)</f>
        <v>552</v>
      </c>
      <c r="C88" s="7">
        <v>-890.914188333981</v>
      </c>
      <c r="D88" s="7">
        <v>557.474</v>
      </c>
      <c r="E88" s="7">
        <v>297.0</v>
      </c>
      <c r="F88" s="7">
        <v>100.464043005832</v>
      </c>
      <c r="G88" s="7">
        <v>644.290936081731</v>
      </c>
      <c r="H88" s="7">
        <v>771.961953916309</v>
      </c>
      <c r="I88" s="7">
        <v>74.291871055778</v>
      </c>
      <c r="J88" s="7">
        <v>393.150318410375</v>
      </c>
      <c r="K88" s="7">
        <v>-34.1238859014803</v>
      </c>
      <c r="L88" s="7">
        <v>237.216</v>
      </c>
      <c r="M88" s="7">
        <v>565.371731475229</v>
      </c>
      <c r="N88" s="7">
        <v>547.893387455523</v>
      </c>
      <c r="O88" s="7">
        <v>800.730457740322</v>
      </c>
      <c r="P88" s="7">
        <v>554.740198901429</v>
      </c>
      <c r="Q88" s="7">
        <v>336.241828043258</v>
      </c>
      <c r="R88" s="7">
        <v>541.806923595113</v>
      </c>
      <c r="S88" s="7">
        <v>583.29808395345</v>
      </c>
      <c r="T88" s="7">
        <v>468.164635222932</v>
      </c>
      <c r="U88" s="7">
        <v>799.0</v>
      </c>
      <c r="V88" s="7">
        <v>701.614608248304</v>
      </c>
      <c r="W88" s="7">
        <v>328.718397506918</v>
      </c>
      <c r="X88" s="7">
        <v>-177.748111322757</v>
      </c>
    </row>
    <row r="89">
      <c r="A89" s="8">
        <v>42826.0</v>
      </c>
      <c r="B89" s="18">
        <f>IFERROR(__xludf.DUMMYFUNCTION("""COMPUTED_VALUE"""),220.0)</f>
        <v>220</v>
      </c>
      <c r="C89" s="7">
        <v>-621.029253757481</v>
      </c>
      <c r="D89" s="7">
        <v>265.97</v>
      </c>
      <c r="E89" s="7">
        <v>297.0</v>
      </c>
      <c r="F89" s="7">
        <v>82.4146749205435</v>
      </c>
      <c r="G89" s="7">
        <v>560.854368176765</v>
      </c>
      <c r="H89" s="7">
        <v>744.076175088766</v>
      </c>
      <c r="I89" s="7">
        <v>-37.8591355702632</v>
      </c>
      <c r="J89" s="7">
        <v>632.093450436731</v>
      </c>
      <c r="K89" s="7">
        <v>-2.64373174971809</v>
      </c>
      <c r="L89" s="7">
        <v>318.12</v>
      </c>
      <c r="M89" s="7">
        <v>293.149858521746</v>
      </c>
      <c r="N89" s="7">
        <v>62.5994078772976</v>
      </c>
      <c r="O89" s="7">
        <v>245.200693484013</v>
      </c>
      <c r="P89" s="7">
        <v>-63.5943820100759</v>
      </c>
      <c r="Q89" s="7">
        <v>181.596436953694</v>
      </c>
      <c r="R89" s="7">
        <v>475.280528963976</v>
      </c>
      <c r="S89" s="7">
        <v>408.831418849946</v>
      </c>
      <c r="T89" s="7">
        <v>655.905537140148</v>
      </c>
      <c r="U89" s="7">
        <v>189.0</v>
      </c>
      <c r="V89" s="7">
        <v>1024.13154128427</v>
      </c>
      <c r="W89" s="7">
        <v>293.33328984251</v>
      </c>
      <c r="X89" s="7">
        <v>-15.1495825975854</v>
      </c>
    </row>
    <row r="90">
      <c r="A90" s="8">
        <v>42856.0</v>
      </c>
      <c r="B90" s="18">
        <f>IFERROR(__xludf.DUMMYFUNCTION("""COMPUTED_VALUE"""),450.0)</f>
        <v>450</v>
      </c>
      <c r="C90" s="7">
        <v>-769.939512434443</v>
      </c>
      <c r="D90" s="7">
        <v>-86557.8475</v>
      </c>
      <c r="E90" s="7">
        <v>297.0</v>
      </c>
      <c r="F90" s="7">
        <v>541.993687488614</v>
      </c>
      <c r="G90" s="7">
        <v>865.116114558352</v>
      </c>
      <c r="H90" s="7">
        <v>567.81102727427</v>
      </c>
      <c r="I90" s="7">
        <v>55.857847520182</v>
      </c>
      <c r="J90" s="7">
        <v>300.494666236462</v>
      </c>
      <c r="K90" s="7">
        <v>23.8320390799711</v>
      </c>
      <c r="L90" s="7">
        <v>256.145</v>
      </c>
      <c r="M90" s="7">
        <v>473.192366961136</v>
      </c>
      <c r="N90" s="7">
        <v>386.501086573556</v>
      </c>
      <c r="O90" s="7">
        <v>245.200693484013</v>
      </c>
      <c r="P90" s="7">
        <v>241.726412349427</v>
      </c>
      <c r="Q90" s="7">
        <v>265.939922260154</v>
      </c>
      <c r="R90" s="7">
        <v>444.078127292462</v>
      </c>
      <c r="S90" s="7">
        <v>-408.714958391704</v>
      </c>
      <c r="T90" s="7">
        <v>253.311456773552</v>
      </c>
      <c r="U90" s="7">
        <v>241.0</v>
      </c>
      <c r="V90" s="7">
        <v>306.937768099633</v>
      </c>
      <c r="W90" s="7">
        <v>293.33328984251</v>
      </c>
      <c r="X90" s="7">
        <v>216.709003633338</v>
      </c>
    </row>
    <row r="91">
      <c r="A91" s="8">
        <v>42887.0</v>
      </c>
      <c r="B91" s="18">
        <f>IFERROR(__xludf.DUMMYFUNCTION("""COMPUTED_VALUE"""),621.0)</f>
        <v>621</v>
      </c>
      <c r="C91" s="7">
        <v>110.087946022284</v>
      </c>
      <c r="D91" s="7">
        <v>-401.375</v>
      </c>
      <c r="E91" s="7">
        <v>297.0</v>
      </c>
      <c r="F91" s="7">
        <v>257.140208495649</v>
      </c>
      <c r="G91" s="7">
        <v>1234.84120112518</v>
      </c>
      <c r="H91" s="7">
        <v>655.050116821726</v>
      </c>
      <c r="I91" s="7">
        <v>407.283770952995</v>
      </c>
      <c r="J91" s="7">
        <v>57265.2837209302</v>
      </c>
      <c r="K91" s="7">
        <v>348.821683452611</v>
      </c>
      <c r="L91" s="7">
        <v>608.032</v>
      </c>
      <c r="M91" s="7">
        <v>252.429978560235</v>
      </c>
      <c r="N91" s="7">
        <v>470.620336652993</v>
      </c>
      <c r="O91" s="7">
        <v>513.099670695005</v>
      </c>
      <c r="P91" s="7">
        <v>319.71790468914</v>
      </c>
      <c r="Q91" s="7">
        <v>445.599750884736</v>
      </c>
      <c r="R91" s="7">
        <v>822.936348898658</v>
      </c>
      <c r="S91" s="7">
        <v>1480.36211332014</v>
      </c>
      <c r="T91" s="7">
        <v>253.311456773552</v>
      </c>
      <c r="U91" s="7">
        <v>537.0</v>
      </c>
      <c r="V91" s="7">
        <v>-901.758356728928</v>
      </c>
      <c r="W91" s="7">
        <v>293.33328984251</v>
      </c>
      <c r="X91" s="7">
        <v>63.8001480167227</v>
      </c>
    </row>
    <row r="92">
      <c r="A92" s="8">
        <v>42917.0</v>
      </c>
      <c r="B92" s="18">
        <f>IFERROR(__xludf.DUMMYFUNCTION("""COMPUTED_VALUE"""),356.0)</f>
        <v>356</v>
      </c>
      <c r="C92" s="7">
        <v>-455.830218435148</v>
      </c>
      <c r="D92" s="7">
        <v>411.56</v>
      </c>
      <c r="E92" s="7">
        <v>297.0</v>
      </c>
      <c r="F92" s="7">
        <v>17.4538321011478</v>
      </c>
      <c r="G92" s="7">
        <v>1114.64086320525</v>
      </c>
      <c r="H92" s="7">
        <v>594.654703748445</v>
      </c>
      <c r="I92" s="7">
        <v>201.975441507564</v>
      </c>
      <c r="J92" s="7">
        <v>62309.9705882353</v>
      </c>
      <c r="K92" s="7">
        <v>61.5982566455367</v>
      </c>
      <c r="L92" s="7">
        <v>148.004</v>
      </c>
      <c r="M92" s="7">
        <v>-154.014773882788</v>
      </c>
      <c r="N92" s="7">
        <v>5201.27345976475</v>
      </c>
      <c r="O92" s="7">
        <v>4400.49423206358</v>
      </c>
      <c r="P92" s="7">
        <v>5612.24833650062</v>
      </c>
      <c r="Q92" s="7">
        <v>1179.60282340733</v>
      </c>
      <c r="R92" s="7">
        <v>1401.58302926034</v>
      </c>
      <c r="S92" s="7">
        <v>3089.74763173162</v>
      </c>
      <c r="T92" s="7">
        <v>1112.21959986658</v>
      </c>
      <c r="U92" s="7">
        <v>4092.0</v>
      </c>
      <c r="V92" s="7">
        <v>1951.27297372487</v>
      </c>
      <c r="W92" s="7">
        <v>409.968378879219</v>
      </c>
      <c r="X92" s="7">
        <v>221.318099443356</v>
      </c>
    </row>
    <row r="93">
      <c r="A93" s="8">
        <v>42948.0</v>
      </c>
      <c r="B93" s="18">
        <f>IFERROR(__xludf.DUMMYFUNCTION("""COMPUTED_VALUE"""),119.0)</f>
        <v>119</v>
      </c>
      <c r="C93" s="7">
        <v>-201.237559294828</v>
      </c>
      <c r="D93" s="7">
        <v>370.08</v>
      </c>
      <c r="E93" s="7">
        <v>297.0</v>
      </c>
      <c r="F93" s="7">
        <v>65.8838998989073</v>
      </c>
      <c r="G93" s="7">
        <v>699.864811534693</v>
      </c>
      <c r="H93" s="7">
        <v>575.649753123716</v>
      </c>
      <c r="I93" s="7">
        <v>461.323685516981</v>
      </c>
      <c r="J93" s="7">
        <v>183645.0</v>
      </c>
      <c r="K93" s="7">
        <v>233.309173222645</v>
      </c>
      <c r="L93" s="7">
        <v>354.967</v>
      </c>
      <c r="M93" s="7">
        <v>548.747822705305</v>
      </c>
      <c r="N93" s="7">
        <v>2230.74334242685</v>
      </c>
      <c r="O93" s="7">
        <v>1099.0586216977</v>
      </c>
      <c r="P93" s="7">
        <v>1236.16222527631</v>
      </c>
      <c r="Q93" s="7">
        <v>803.54043408352</v>
      </c>
      <c r="R93" s="7">
        <v>2773.36259054005</v>
      </c>
      <c r="S93" s="7">
        <v>2217.31836936314</v>
      </c>
      <c r="T93" s="7">
        <v>2715.77541423942</v>
      </c>
      <c r="U93" s="7">
        <v>2019.0</v>
      </c>
      <c r="V93" s="7">
        <v>1364.9243129309</v>
      </c>
      <c r="W93" s="7">
        <v>310.736470964298</v>
      </c>
      <c r="X93" s="7">
        <v>352.494399686126</v>
      </c>
    </row>
    <row r="94">
      <c r="A94" s="14">
        <v>42979.0</v>
      </c>
      <c r="B94" s="18">
        <f>IFERROR(__xludf.DUMMYFUNCTION("""COMPUTED_VALUE"""),102.0)</f>
        <v>102</v>
      </c>
      <c r="C94" s="7">
        <v>619.534947001115</v>
      </c>
      <c r="D94" s="7">
        <v>271.0</v>
      </c>
      <c r="E94" s="7">
        <v>297.0</v>
      </c>
      <c r="F94" s="7">
        <v>180.140554439249</v>
      </c>
      <c r="G94" s="7">
        <v>81.3333333333333</v>
      </c>
      <c r="H94" s="7">
        <v>608.249712361336</v>
      </c>
      <c r="I94" s="7">
        <v>2461.89528666391</v>
      </c>
      <c r="J94" s="7">
        <v>14690.0</v>
      </c>
      <c r="K94" s="7">
        <v>377.446678373684</v>
      </c>
      <c r="L94" s="7">
        <v>444.978</v>
      </c>
      <c r="M94" s="7">
        <v>3909.76364158759</v>
      </c>
      <c r="N94" s="7">
        <v>2045.68509926059</v>
      </c>
      <c r="O94" s="7">
        <v>1091.00335726185</v>
      </c>
      <c r="P94" s="7">
        <v>376.796019028581</v>
      </c>
      <c r="Q94" s="7">
        <v>567.29556060623</v>
      </c>
      <c r="R94" s="7">
        <v>5352.18576671401</v>
      </c>
      <c r="S94" s="7">
        <v>1889.71218978549</v>
      </c>
      <c r="T94" s="7">
        <v>1587.35290223657</v>
      </c>
      <c r="U94" s="7">
        <v>1394.0</v>
      </c>
      <c r="V94" s="7">
        <v>7711.73844943939</v>
      </c>
      <c r="W94" s="7">
        <v>293.33328984251</v>
      </c>
      <c r="X94" s="7">
        <v>306.090837450815</v>
      </c>
    </row>
    <row r="95">
      <c r="A95" s="14">
        <v>43009.0</v>
      </c>
      <c r="B95" s="18">
        <f>IFERROR(__xludf.DUMMYFUNCTION("""COMPUTED_VALUE"""),84.0)</f>
        <v>84</v>
      </c>
      <c r="C95" s="7">
        <v>788.850683983899</v>
      </c>
      <c r="D95" s="7">
        <v>262.42</v>
      </c>
      <c r="E95" s="7">
        <v>297.0</v>
      </c>
      <c r="F95" s="7">
        <v>707.030644413346</v>
      </c>
      <c r="G95" s="7">
        <v>403.854948484459</v>
      </c>
      <c r="H95" s="7">
        <v>596.874712361336</v>
      </c>
      <c r="I95" s="7">
        <v>1443.86768578558</v>
      </c>
      <c r="J95" s="7">
        <v>339.17045424231</v>
      </c>
      <c r="K95" s="7">
        <v>-106.606198861632</v>
      </c>
      <c r="L95" s="7">
        <v>52.78</v>
      </c>
      <c r="M95" s="7">
        <v>14418.3336415876</v>
      </c>
      <c r="N95" s="7">
        <v>1961.31392402092</v>
      </c>
      <c r="O95" s="7">
        <v>950.7617</v>
      </c>
      <c r="P95" s="7">
        <v>427.544818673597</v>
      </c>
      <c r="Q95" s="7">
        <v>589.419288338594</v>
      </c>
      <c r="R95" s="7">
        <v>16728.539766714</v>
      </c>
      <c r="S95" s="7">
        <v>3071.73753248193</v>
      </c>
      <c r="T95" s="7">
        <v>1306.46571630375</v>
      </c>
      <c r="U95" s="7">
        <v>1055.0</v>
      </c>
      <c r="V95" s="7">
        <v>12744.9461368263</v>
      </c>
      <c r="W95" s="7">
        <v>929.505289272405</v>
      </c>
      <c r="X95" s="7">
        <v>322.570696026512</v>
      </c>
    </row>
    <row r="96">
      <c r="A96" s="14">
        <v>43040.0</v>
      </c>
      <c r="B96" s="18">
        <f>IFERROR(__xludf.DUMMYFUNCTION("""COMPUTED_VALUE"""),25.0)</f>
        <v>25</v>
      </c>
      <c r="C96" s="7">
        <v>396.070133659909</v>
      </c>
      <c r="D96" s="7">
        <v>180.525625</v>
      </c>
      <c r="E96" s="7">
        <v>297.0</v>
      </c>
      <c r="F96" s="7">
        <v>12.7142327330151</v>
      </c>
      <c r="G96" s="7">
        <v>67.2727272727273</v>
      </c>
      <c r="H96" s="7">
        <v>717.309748015894</v>
      </c>
      <c r="I96" s="7">
        <v>-15.1538688446269</v>
      </c>
      <c r="J96" s="7">
        <v>12688.9538461538</v>
      </c>
      <c r="K96" s="7">
        <v>147.471100747411</v>
      </c>
      <c r="L96" s="7">
        <v>302.278</v>
      </c>
      <c r="M96" s="7">
        <v>14707.8336415876</v>
      </c>
      <c r="N96" s="7">
        <v>1083.9540006355</v>
      </c>
      <c r="O96" s="7">
        <v>501.150094103958</v>
      </c>
      <c r="P96" s="7">
        <v>628.341447515792</v>
      </c>
      <c r="Q96" s="7">
        <v>631.55888041508</v>
      </c>
      <c r="R96" s="7">
        <v>18082.2040217038</v>
      </c>
      <c r="S96" s="7">
        <v>2685.17853604916</v>
      </c>
      <c r="T96" s="7">
        <v>253.311456773552</v>
      </c>
      <c r="U96" s="7">
        <v>1087.0</v>
      </c>
      <c r="V96" s="7">
        <v>11337.8659800742</v>
      </c>
      <c r="W96" s="7">
        <v>293.33328984251</v>
      </c>
      <c r="X96" s="7">
        <v>235.987625717624</v>
      </c>
    </row>
    <row r="97">
      <c r="A97" s="14">
        <v>43070.0</v>
      </c>
      <c r="B97" s="18">
        <f>IFERROR(__xludf.DUMMYFUNCTION("""COMPUTED_VALUE"""),20.0)</f>
        <v>20</v>
      </c>
      <c r="C97" s="7">
        <v>2093.33482145437</v>
      </c>
      <c r="D97" s="7">
        <v>316.2</v>
      </c>
      <c r="E97" s="7">
        <v>297.0</v>
      </c>
      <c r="F97" s="7">
        <v>191.126845638624</v>
      </c>
      <c r="G97" s="7">
        <v>55.6363636363636</v>
      </c>
      <c r="H97" s="7">
        <v>690.601384085718</v>
      </c>
      <c r="I97" s="7">
        <v>427.192443685931</v>
      </c>
      <c r="J97" s="7">
        <v>4160.17916666667</v>
      </c>
      <c r="K97" s="7">
        <v>723.150850577054</v>
      </c>
      <c r="L97" s="7">
        <v>741.086</v>
      </c>
      <c r="M97" s="7">
        <v>6055.04364158759</v>
      </c>
      <c r="N97" s="7">
        <v>1917.19447707488</v>
      </c>
      <c r="O97" s="7">
        <v>1149.75573466853</v>
      </c>
      <c r="P97" s="7">
        <v>1183.53841188638</v>
      </c>
      <c r="Q97" s="7">
        <v>1014.31303472727</v>
      </c>
      <c r="R97" s="7">
        <v>10107.822007644</v>
      </c>
      <c r="S97" s="7">
        <v>2129.82461319248</v>
      </c>
      <c r="T97" s="7">
        <v>253.311456773552</v>
      </c>
      <c r="U97" s="7">
        <v>1961.0</v>
      </c>
      <c r="V97" s="7">
        <v>13868.011140272</v>
      </c>
      <c r="W97" s="7">
        <v>326.320395989763</v>
      </c>
      <c r="X97" s="7">
        <v>173.544730070161</v>
      </c>
    </row>
    <row r="98">
      <c r="A98" s="14">
        <v>43101.0</v>
      </c>
      <c r="B98" s="18">
        <f>IFERROR(__xludf.DUMMYFUNCTION("""COMPUTED_VALUE"""),48.0)</f>
        <v>48</v>
      </c>
      <c r="C98" s="6" t="s">
        <v>393</v>
      </c>
      <c r="D98" s="7">
        <v>194.28125</v>
      </c>
      <c r="E98" s="7">
        <v>297.0</v>
      </c>
      <c r="F98" s="7">
        <v>279.744395720624</v>
      </c>
      <c r="G98" s="7">
        <v>53.9090909090909</v>
      </c>
      <c r="H98" s="7">
        <v>697.38238784351</v>
      </c>
      <c r="I98" s="7">
        <v>316.509028262529</v>
      </c>
      <c r="J98" s="7">
        <v>8918.0</v>
      </c>
      <c r="K98" s="7">
        <v>16719.5346252658</v>
      </c>
      <c r="L98" s="7">
        <v>4698.29104372576</v>
      </c>
      <c r="M98" s="7">
        <v>9928.70364158759</v>
      </c>
      <c r="N98" s="7">
        <v>2146.61599797328</v>
      </c>
      <c r="O98" s="7">
        <v>510.934821376685</v>
      </c>
      <c r="P98" s="7">
        <v>-1382.77274624026</v>
      </c>
      <c r="Q98" s="7">
        <v>2732.66508523055</v>
      </c>
      <c r="R98" s="7">
        <v>14018.990007644</v>
      </c>
      <c r="S98" s="7">
        <v>1309.68873462451</v>
      </c>
      <c r="T98" s="7">
        <v>1947.97055728949</v>
      </c>
      <c r="U98" s="7">
        <v>1949.0</v>
      </c>
      <c r="V98" s="7">
        <v>12563.0809098002</v>
      </c>
      <c r="W98" s="7">
        <v>293.33328984251</v>
      </c>
      <c r="X98" s="7">
        <v>234.345271657086</v>
      </c>
    </row>
    <row r="99">
      <c r="A99" s="14">
        <v>43132.0</v>
      </c>
      <c r="B99" s="18">
        <f>IFERROR(__xludf.DUMMYFUNCTION("""COMPUTED_VALUE"""),198.0)</f>
        <v>198</v>
      </c>
      <c r="C99" s="7">
        <v>4669.80567729923</v>
      </c>
      <c r="D99" s="7">
        <v>-1294.0025</v>
      </c>
      <c r="E99" s="7">
        <v>4318.63034449555</v>
      </c>
      <c r="F99" s="7">
        <v>2169.34565022345</v>
      </c>
      <c r="G99" s="7">
        <v>52.6363636363636</v>
      </c>
      <c r="H99" s="7">
        <v>659.948390268749</v>
      </c>
      <c r="I99" s="7">
        <v>207.970478645482</v>
      </c>
      <c r="J99" s="7">
        <v>852.863234004459</v>
      </c>
      <c r="K99" s="7">
        <v>5129.56021588874</v>
      </c>
      <c r="L99" s="7">
        <v>8624.89867605152</v>
      </c>
      <c r="M99" s="7">
        <v>19263.1236415876</v>
      </c>
      <c r="N99" s="7">
        <v>723.251334560434</v>
      </c>
      <c r="O99" s="7">
        <v>888.625434478637</v>
      </c>
      <c r="P99" s="7">
        <v>-1595.73830008481</v>
      </c>
      <c r="Q99" s="7">
        <v>3004.74175632193</v>
      </c>
      <c r="R99" s="7">
        <v>17945.623442139</v>
      </c>
      <c r="S99" s="7">
        <v>801.123437966745</v>
      </c>
      <c r="T99" s="7">
        <v>2468.09831266393</v>
      </c>
      <c r="U99" s="7">
        <v>4681.0</v>
      </c>
      <c r="V99" s="7">
        <v>11695.1371856296</v>
      </c>
      <c r="W99" s="7">
        <v>1244.81115287193</v>
      </c>
      <c r="X99" s="7">
        <v>4740.2876796845</v>
      </c>
    </row>
    <row r="100">
      <c r="A100" s="15">
        <v>43160.0</v>
      </c>
      <c r="B100" s="18">
        <f>IFERROR(__xludf.DUMMYFUNCTION("""COMPUTED_VALUE"""),242.0)</f>
        <v>242</v>
      </c>
      <c r="C100" s="7">
        <v>1950.3769736726</v>
      </c>
      <c r="D100" s="7">
        <v>430.015625</v>
      </c>
      <c r="E100" s="7">
        <v>297.0</v>
      </c>
      <c r="F100" s="7">
        <v>441.715003096308</v>
      </c>
      <c r="G100" s="7">
        <v>40.0909090909091</v>
      </c>
      <c r="H100" s="7">
        <v>658.42390768619</v>
      </c>
      <c r="I100" s="7">
        <v>115.314993409289</v>
      </c>
      <c r="J100" s="7">
        <v>1741.88355096729</v>
      </c>
      <c r="K100" s="7">
        <v>2813.27387393642</v>
      </c>
      <c r="L100" s="7">
        <v>1848.93</v>
      </c>
      <c r="M100" s="7">
        <v>3148.60364158759</v>
      </c>
      <c r="N100" s="7">
        <v>25060.7927646687</v>
      </c>
      <c r="O100" s="7">
        <v>471.614488043352</v>
      </c>
      <c r="P100" s="7">
        <v>1587.16247218176</v>
      </c>
      <c r="Q100" s="7">
        <v>828.137298362926</v>
      </c>
      <c r="R100" s="7">
        <v>6602.16545164754</v>
      </c>
      <c r="S100" s="7">
        <v>710.806460963893</v>
      </c>
      <c r="T100" s="7">
        <v>1684.96034396346</v>
      </c>
      <c r="U100" s="7">
        <v>5030.0</v>
      </c>
      <c r="V100" s="7">
        <v>7876.86602080476</v>
      </c>
      <c r="W100" s="7">
        <v>1673.06067362957</v>
      </c>
      <c r="X100" s="7">
        <v>1236.68365366638</v>
      </c>
    </row>
    <row r="101">
      <c r="A101" s="15">
        <v>43191.0</v>
      </c>
      <c r="B101" s="18">
        <f>IFERROR(__xludf.DUMMYFUNCTION("""COMPUTED_VALUE"""),96.0)</f>
        <v>96</v>
      </c>
      <c r="C101" s="7">
        <v>1821.83519684783</v>
      </c>
      <c r="D101" s="7">
        <v>561.07</v>
      </c>
      <c r="E101" s="7">
        <v>297.0</v>
      </c>
      <c r="F101" s="7">
        <v>153.352077904463</v>
      </c>
      <c r="G101" s="7">
        <v>39.6363636363636</v>
      </c>
      <c r="H101" s="7">
        <v>664.887645769626</v>
      </c>
      <c r="I101" s="7">
        <v>-55.6590068860633</v>
      </c>
      <c r="J101" s="7">
        <v>2007.00095914324</v>
      </c>
      <c r="K101" s="7">
        <v>25523.7674949792</v>
      </c>
      <c r="L101" s="7">
        <v>80.302</v>
      </c>
      <c r="M101" s="7">
        <v>6687.02364158759</v>
      </c>
      <c r="N101" s="7">
        <v>1143.00987378805</v>
      </c>
      <c r="O101" s="7">
        <v>1071.02706380093</v>
      </c>
      <c r="P101" s="7">
        <v>536.817696154203</v>
      </c>
      <c r="Q101" s="7">
        <v>1656.42357127331</v>
      </c>
      <c r="R101" s="7">
        <v>9585.29284784414</v>
      </c>
      <c r="S101" s="7">
        <v>480.109871039285</v>
      </c>
      <c r="T101" s="7">
        <v>2294.9738527394</v>
      </c>
      <c r="U101" s="7">
        <v>6387.0</v>
      </c>
      <c r="V101" s="7">
        <v>12819.4383417489</v>
      </c>
      <c r="W101" s="7">
        <v>6924.65319254638</v>
      </c>
      <c r="X101" s="7">
        <v>6115.52466035009</v>
      </c>
    </row>
    <row r="102">
      <c r="A102" s="15">
        <v>43221.0</v>
      </c>
      <c r="B102" s="18">
        <f>IFERROR(__xludf.DUMMYFUNCTION("""COMPUTED_VALUE"""),32.0)</f>
        <v>32</v>
      </c>
      <c r="C102" s="7">
        <v>8062.5771258138</v>
      </c>
      <c r="D102" s="7">
        <v>-1010.4225</v>
      </c>
      <c r="E102" s="7">
        <v>6986.41752605925</v>
      </c>
      <c r="F102" s="7">
        <v>3673.10885791921</v>
      </c>
      <c r="G102" s="7">
        <v>5.09090909090909</v>
      </c>
      <c r="H102" s="7">
        <v>609.998543652675</v>
      </c>
      <c r="I102" s="7">
        <v>102.223731116325</v>
      </c>
      <c r="J102" s="7">
        <v>2104.54307699654</v>
      </c>
      <c r="K102" s="7">
        <v>17750.6966415039</v>
      </c>
      <c r="L102" s="7">
        <v>3877.854</v>
      </c>
      <c r="M102" s="7">
        <v>4011.46120647829</v>
      </c>
      <c r="N102" s="7">
        <v>6241.31490835392</v>
      </c>
      <c r="O102" s="7">
        <v>1058.23918501305</v>
      </c>
      <c r="P102" s="7">
        <v>180.78203783763</v>
      </c>
      <c r="Q102" s="7">
        <v>1488.63200857986</v>
      </c>
      <c r="R102" s="7">
        <v>3639.62307907254</v>
      </c>
      <c r="S102" s="7">
        <v>3688.2931407272</v>
      </c>
      <c r="T102" s="7">
        <v>253.311456773552</v>
      </c>
      <c r="U102" s="7">
        <v>5915.0</v>
      </c>
      <c r="V102" s="7">
        <v>12357.0285024738</v>
      </c>
      <c r="W102" s="7">
        <v>3362.35232613963</v>
      </c>
      <c r="X102" s="7">
        <v>12167.9442862991</v>
      </c>
    </row>
    <row r="103">
      <c r="A103" s="15">
        <v>43252.0</v>
      </c>
      <c r="B103" s="18">
        <f>IFERROR(__xludf.DUMMYFUNCTION("""COMPUTED_VALUE"""),20.0)</f>
        <v>20</v>
      </c>
      <c r="C103" s="7">
        <v>612.338442497433</v>
      </c>
      <c r="D103" s="7">
        <v>4896.83</v>
      </c>
      <c r="E103" s="7">
        <v>661.22982466201</v>
      </c>
      <c r="F103" s="7">
        <v>1581.26949477802</v>
      </c>
      <c r="G103" s="7">
        <v>4.36363636363636</v>
      </c>
      <c r="H103" s="7">
        <v>617.130344277241</v>
      </c>
      <c r="I103" s="7">
        <v>3601.75557379879</v>
      </c>
      <c r="J103" s="7">
        <v>3509.60170069877</v>
      </c>
      <c r="K103" s="7">
        <v>2889.67735435123</v>
      </c>
      <c r="L103" s="7">
        <v>5603.00291793423</v>
      </c>
      <c r="M103" s="7">
        <v>3097.45933055544</v>
      </c>
      <c r="N103" s="7">
        <v>3243.41461533837</v>
      </c>
      <c r="O103" s="7">
        <v>1027.55406380093</v>
      </c>
      <c r="P103" s="7">
        <v>372.652589852858</v>
      </c>
      <c r="Q103" s="7">
        <v>3623.74843519096</v>
      </c>
      <c r="R103" s="7">
        <v>3888.01550824722</v>
      </c>
      <c r="S103" s="7">
        <v>8722.01829741112</v>
      </c>
      <c r="T103" s="7">
        <v>424.064378908363</v>
      </c>
      <c r="U103" s="7">
        <v>14989.1</v>
      </c>
      <c r="V103" s="7">
        <v>18089.2554891294</v>
      </c>
      <c r="W103" s="7">
        <v>8671.16941313146</v>
      </c>
      <c r="X103" s="7">
        <v>3105.14887982404</v>
      </c>
    </row>
    <row r="104">
      <c r="A104" s="15">
        <v>43282.0</v>
      </c>
      <c r="B104" s="18">
        <f>IFERROR(__xludf.DUMMYFUNCTION("""COMPUTED_VALUE"""),18.0)</f>
        <v>18</v>
      </c>
      <c r="C104" s="7">
        <v>456.352586922462</v>
      </c>
      <c r="D104" s="7">
        <v>1948.989375</v>
      </c>
      <c r="E104" s="7">
        <v>297.0</v>
      </c>
      <c r="F104" s="7">
        <v>3281.97200569018</v>
      </c>
      <c r="G104" s="7">
        <v>2.45454545454545</v>
      </c>
      <c r="H104" s="7">
        <v>604.318143887817</v>
      </c>
      <c r="I104" s="7">
        <v>1123.28888965499</v>
      </c>
      <c r="J104" s="7">
        <v>3166.59864112593</v>
      </c>
      <c r="K104" s="7">
        <v>7956.66016829711</v>
      </c>
      <c r="L104" s="7">
        <v>12243.6710076839</v>
      </c>
      <c r="M104" s="7">
        <v>2721.6962963794</v>
      </c>
      <c r="N104" s="7">
        <v>3016.50740914829</v>
      </c>
      <c r="O104" s="7">
        <v>2710.7968674358</v>
      </c>
      <c r="P104" s="7">
        <v>856.07380315704</v>
      </c>
      <c r="Q104" s="7">
        <v>4588.04944728425</v>
      </c>
      <c r="R104" s="7">
        <v>3681.01258918429</v>
      </c>
      <c r="S104" s="7">
        <v>10233.8668588489</v>
      </c>
      <c r="T104" s="7">
        <v>4822.78104080151</v>
      </c>
      <c r="U104" s="7">
        <v>18224.2</v>
      </c>
      <c r="V104" s="7">
        <v>19334.8572440942</v>
      </c>
      <c r="W104" s="7">
        <v>5299.56765822708</v>
      </c>
      <c r="X104" s="7">
        <v>4492.69414477233</v>
      </c>
    </row>
    <row r="105">
      <c r="A105" s="17">
        <v>43313.0</v>
      </c>
      <c r="B105" s="18"/>
      <c r="C105" s="7">
        <v>32647.0</v>
      </c>
      <c r="D105" s="7">
        <v>31996.0</v>
      </c>
      <c r="E105" s="7">
        <v>315.968149826253</v>
      </c>
      <c r="F105" s="7">
        <v>32534.6539958721</v>
      </c>
      <c r="G105" s="7">
        <v>2.25</v>
      </c>
      <c r="H105" s="7">
        <v>582.030858902465</v>
      </c>
      <c r="I105" s="7">
        <v>34613.6803987141</v>
      </c>
      <c r="J105" s="7">
        <v>31996.0</v>
      </c>
      <c r="K105" s="7">
        <v>6115.7346668174</v>
      </c>
      <c r="L105" s="7">
        <v>10617.1631918579</v>
      </c>
      <c r="M105" s="7">
        <v>2968.92747205915</v>
      </c>
      <c r="N105" s="7">
        <v>10013.7186808003</v>
      </c>
      <c r="O105" s="7">
        <v>4506.46713</v>
      </c>
      <c r="P105" s="7">
        <v>5006.80436541446</v>
      </c>
      <c r="Q105" s="7">
        <v>2765.84231408249</v>
      </c>
      <c r="R105" s="7">
        <v>4436.51294885508</v>
      </c>
      <c r="S105" s="7">
        <v>9716.00709306638</v>
      </c>
      <c r="T105" s="7">
        <v>5471.82066334342</v>
      </c>
      <c r="U105" s="7">
        <v>5499.0</v>
      </c>
      <c r="V105" s="7">
        <v>21281.4878372469</v>
      </c>
      <c r="W105" s="7">
        <v>37297.1523269443</v>
      </c>
      <c r="X105" s="7">
        <v>36227.1564158591</v>
      </c>
    </row>
    <row r="106">
      <c r="A106" s="15">
        <v>43344.0</v>
      </c>
      <c r="B106" s="18"/>
    </row>
    <row r="107">
      <c r="A107" s="15">
        <v>43374.0</v>
      </c>
      <c r="B107" s="18"/>
    </row>
    <row r="108">
      <c r="A108" s="15">
        <v>43405.0</v>
      </c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1" max="11" width="17.86"/>
  </cols>
  <sheetData>
    <row r="1">
      <c r="A1" s="1" t="s">
        <v>0</v>
      </c>
      <c r="B1" s="2" t="s">
        <v>1</v>
      </c>
      <c r="C1" s="3" t="s">
        <v>2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37</v>
      </c>
      <c r="S1" s="3" t="s">
        <v>41</v>
      </c>
      <c r="T1" s="3" t="s">
        <v>38</v>
      </c>
      <c r="U1" s="3" t="s">
        <v>39</v>
      </c>
      <c r="V1" s="3" t="s">
        <v>42</v>
      </c>
      <c r="W1" s="3" t="s">
        <v>40</v>
      </c>
    </row>
    <row r="2">
      <c r="A2" s="8">
        <v>40179.0</v>
      </c>
      <c r="B2" s="9">
        <f>IFERROR(__xludf.DUMMYFUNCTION("IMPORTRANGE(""https://docs.google.com/spreadsheets/d/1oPTPmoJ9phtMOkp-nMB7WHnPESomLzqUj9t0gcE9bYA"",""Current Region!C2:C130"")"),376.0)</f>
        <v>376</v>
      </c>
      <c r="C2" s="10" t="s">
        <v>27</v>
      </c>
      <c r="D2" s="10" t="s">
        <v>26</v>
      </c>
      <c r="E2" s="10" t="s">
        <v>26</v>
      </c>
      <c r="F2" s="10" t="s">
        <v>26</v>
      </c>
      <c r="G2" s="10" t="s">
        <v>26</v>
      </c>
      <c r="H2" s="10" t="s">
        <v>26</v>
      </c>
      <c r="I2" s="10" t="s">
        <v>26</v>
      </c>
      <c r="J2" s="11" t="s">
        <v>26</v>
      </c>
      <c r="K2" s="11" t="s">
        <v>26</v>
      </c>
      <c r="L2" s="10" t="s">
        <v>26</v>
      </c>
      <c r="M2" s="10" t="s">
        <v>26</v>
      </c>
      <c r="N2" s="10" t="s">
        <v>26</v>
      </c>
      <c r="O2" s="10" t="s">
        <v>26</v>
      </c>
      <c r="P2" s="10" t="s">
        <v>26</v>
      </c>
      <c r="Q2" s="10" t="s">
        <v>26</v>
      </c>
      <c r="R2" s="10" t="s">
        <v>26</v>
      </c>
      <c r="S2" s="10" t="s">
        <v>26</v>
      </c>
      <c r="T2" s="10" t="s">
        <v>26</v>
      </c>
      <c r="U2" s="7" t="s">
        <v>26</v>
      </c>
      <c r="V2" s="7" t="s">
        <v>26</v>
      </c>
      <c r="W2" s="7" t="s">
        <v>26</v>
      </c>
    </row>
    <row r="3">
      <c r="A3" s="8">
        <v>40210.0</v>
      </c>
      <c r="B3" s="9">
        <f>IFERROR(__xludf.DUMMYFUNCTION("""COMPUTED_VALUE"""),121.0)</f>
        <v>121</v>
      </c>
      <c r="C3" s="10" t="s">
        <v>28</v>
      </c>
      <c r="D3" s="10" t="s">
        <v>26</v>
      </c>
      <c r="E3" s="10" t="s">
        <v>26</v>
      </c>
      <c r="F3" s="10" t="s">
        <v>26</v>
      </c>
      <c r="G3" s="10" t="s">
        <v>26</v>
      </c>
      <c r="H3" s="10" t="s">
        <v>26</v>
      </c>
      <c r="I3" s="10" t="s">
        <v>26</v>
      </c>
      <c r="J3" s="11" t="s">
        <v>26</v>
      </c>
      <c r="K3" s="11" t="s">
        <v>26</v>
      </c>
      <c r="L3" s="10" t="s">
        <v>26</v>
      </c>
      <c r="M3" s="10" t="s">
        <v>26</v>
      </c>
      <c r="N3" s="10" t="s">
        <v>26</v>
      </c>
      <c r="O3" s="10" t="s">
        <v>26</v>
      </c>
      <c r="P3" s="10" t="s">
        <v>26</v>
      </c>
      <c r="Q3" s="10" t="s">
        <v>26</v>
      </c>
      <c r="R3" s="10" t="s">
        <v>26</v>
      </c>
      <c r="S3" s="10" t="s">
        <v>26</v>
      </c>
      <c r="T3" s="10" t="s">
        <v>26</v>
      </c>
      <c r="U3" s="7" t="s">
        <v>26</v>
      </c>
      <c r="V3" s="7" t="s">
        <v>26</v>
      </c>
      <c r="W3" s="7" t="s">
        <v>26</v>
      </c>
    </row>
    <row r="4">
      <c r="A4" s="8">
        <v>40238.0</v>
      </c>
      <c r="B4" s="9">
        <f>IFERROR(__xludf.DUMMYFUNCTION("""COMPUTED_VALUE"""),239.0)</f>
        <v>239</v>
      </c>
      <c r="C4" s="10" t="s">
        <v>29</v>
      </c>
      <c r="D4" s="10" t="s">
        <v>26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26</v>
      </c>
      <c r="J4" s="11" t="s">
        <v>26</v>
      </c>
      <c r="K4" s="11" t="s">
        <v>26</v>
      </c>
      <c r="L4" s="10" t="s">
        <v>26</v>
      </c>
      <c r="M4" s="10" t="s">
        <v>26</v>
      </c>
      <c r="N4" s="10" t="s">
        <v>26</v>
      </c>
      <c r="O4" s="10" t="s">
        <v>26</v>
      </c>
      <c r="P4" s="10" t="s">
        <v>26</v>
      </c>
      <c r="Q4" s="10" t="s">
        <v>26</v>
      </c>
      <c r="R4" s="10" t="s">
        <v>26</v>
      </c>
      <c r="S4" s="10" t="s">
        <v>26</v>
      </c>
      <c r="T4" s="10" t="s">
        <v>26</v>
      </c>
      <c r="U4" s="7" t="s">
        <v>26</v>
      </c>
      <c r="V4" s="7" t="s">
        <v>26</v>
      </c>
      <c r="W4" s="7" t="s">
        <v>26</v>
      </c>
    </row>
    <row r="5">
      <c r="A5" s="8">
        <v>40269.0</v>
      </c>
      <c r="B5" s="9">
        <f>IFERROR(__xludf.DUMMYFUNCTION("""COMPUTED_VALUE"""),200.0)</f>
        <v>200</v>
      </c>
      <c r="C5" s="10" t="s">
        <v>30</v>
      </c>
      <c r="D5" s="10" t="s">
        <v>26</v>
      </c>
      <c r="E5" s="10" t="s">
        <v>26</v>
      </c>
      <c r="F5" s="10" t="s">
        <v>26</v>
      </c>
      <c r="G5" s="10" t="s">
        <v>26</v>
      </c>
      <c r="H5" s="10" t="s">
        <v>26</v>
      </c>
      <c r="I5" s="10" t="s">
        <v>26</v>
      </c>
      <c r="J5" s="11" t="s">
        <v>26</v>
      </c>
      <c r="K5" s="11" t="s">
        <v>26</v>
      </c>
      <c r="L5" s="10" t="s">
        <v>26</v>
      </c>
      <c r="M5" s="10" t="s">
        <v>26</v>
      </c>
      <c r="N5" s="10" t="s">
        <v>26</v>
      </c>
      <c r="O5" s="10" t="s">
        <v>26</v>
      </c>
      <c r="P5" s="10" t="s">
        <v>26</v>
      </c>
      <c r="Q5" s="10" t="s">
        <v>26</v>
      </c>
      <c r="R5" s="10" t="s">
        <v>26</v>
      </c>
      <c r="S5" s="10" t="s">
        <v>26</v>
      </c>
      <c r="T5" s="10" t="s">
        <v>26</v>
      </c>
      <c r="U5" s="7" t="s">
        <v>26</v>
      </c>
      <c r="V5" s="7" t="s">
        <v>26</v>
      </c>
      <c r="W5" s="7" t="s">
        <v>26</v>
      </c>
    </row>
    <row r="6">
      <c r="A6" s="8">
        <v>40299.0</v>
      </c>
      <c r="B6" s="9">
        <f>IFERROR(__xludf.DUMMYFUNCTION("""COMPUTED_VALUE"""),385.0)</f>
        <v>385</v>
      </c>
      <c r="C6" s="10" t="s">
        <v>31</v>
      </c>
      <c r="D6" s="10" t="s">
        <v>26</v>
      </c>
      <c r="E6" s="10" t="s">
        <v>26</v>
      </c>
      <c r="F6" s="10" t="s">
        <v>26</v>
      </c>
      <c r="G6" s="10" t="s">
        <v>26</v>
      </c>
      <c r="H6" s="10" t="s">
        <v>26</v>
      </c>
      <c r="I6" s="10" t="s">
        <v>26</v>
      </c>
      <c r="J6" s="11" t="s">
        <v>26</v>
      </c>
      <c r="K6" s="11" t="s">
        <v>26</v>
      </c>
      <c r="L6" s="10" t="s">
        <v>26</v>
      </c>
      <c r="M6" s="10" t="s">
        <v>26</v>
      </c>
      <c r="N6" s="10" t="s">
        <v>26</v>
      </c>
      <c r="O6" s="10" t="s">
        <v>26</v>
      </c>
      <c r="P6" s="10" t="s">
        <v>26</v>
      </c>
      <c r="Q6" s="10" t="s">
        <v>26</v>
      </c>
      <c r="R6" s="10" t="s">
        <v>26</v>
      </c>
      <c r="S6" s="10" t="s">
        <v>26</v>
      </c>
      <c r="T6" s="10" t="s">
        <v>26</v>
      </c>
      <c r="U6" s="7" t="s">
        <v>26</v>
      </c>
      <c r="V6" s="7" t="s">
        <v>26</v>
      </c>
      <c r="W6" s="7" t="s">
        <v>26</v>
      </c>
    </row>
    <row r="7">
      <c r="A7" s="8">
        <v>40330.0</v>
      </c>
      <c r="B7" s="9">
        <f>IFERROR(__xludf.DUMMYFUNCTION("""COMPUTED_VALUE"""),42.0)</f>
        <v>42</v>
      </c>
      <c r="C7" s="10" t="s">
        <v>32</v>
      </c>
      <c r="D7" s="10" t="s">
        <v>26</v>
      </c>
      <c r="E7" s="10" t="s">
        <v>26</v>
      </c>
      <c r="F7" s="10" t="s">
        <v>26</v>
      </c>
      <c r="G7" s="10" t="s">
        <v>26</v>
      </c>
      <c r="H7" s="10" t="s">
        <v>26</v>
      </c>
      <c r="I7" s="10" t="s">
        <v>26</v>
      </c>
      <c r="J7" s="11" t="s">
        <v>26</v>
      </c>
      <c r="K7" s="11" t="s">
        <v>26</v>
      </c>
      <c r="L7" s="10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  <c r="R7" s="10" t="s">
        <v>26</v>
      </c>
      <c r="S7" s="10" t="s">
        <v>26</v>
      </c>
      <c r="T7" s="10" t="s">
        <v>26</v>
      </c>
      <c r="U7" s="7" t="s">
        <v>26</v>
      </c>
      <c r="V7" s="7" t="s">
        <v>26</v>
      </c>
      <c r="W7" s="7" t="s">
        <v>26</v>
      </c>
    </row>
    <row r="8">
      <c r="A8" s="8">
        <v>40360.0</v>
      </c>
      <c r="B8" s="9">
        <f>IFERROR(__xludf.DUMMYFUNCTION("""COMPUTED_VALUE"""),294.0)</f>
        <v>294</v>
      </c>
      <c r="C8" s="10" t="s">
        <v>33</v>
      </c>
      <c r="D8" s="10" t="s">
        <v>26</v>
      </c>
      <c r="E8" s="10" t="s">
        <v>26</v>
      </c>
      <c r="F8" s="10" t="s">
        <v>26</v>
      </c>
      <c r="G8" s="10" t="s">
        <v>26</v>
      </c>
      <c r="H8" s="10" t="s">
        <v>26</v>
      </c>
      <c r="I8" s="10" t="s">
        <v>26</v>
      </c>
      <c r="J8" s="11" t="s">
        <v>26</v>
      </c>
      <c r="K8" s="11" t="s">
        <v>26</v>
      </c>
      <c r="L8" s="10" t="s">
        <v>26</v>
      </c>
      <c r="M8" s="10" t="s">
        <v>26</v>
      </c>
      <c r="N8" s="10" t="s">
        <v>26</v>
      </c>
      <c r="O8" s="10" t="s">
        <v>26</v>
      </c>
      <c r="P8" s="10" t="s">
        <v>26</v>
      </c>
      <c r="Q8" s="10" t="s">
        <v>26</v>
      </c>
      <c r="R8" s="10" t="s">
        <v>26</v>
      </c>
      <c r="S8" s="10" t="s">
        <v>26</v>
      </c>
      <c r="T8" s="10" t="s">
        <v>26</v>
      </c>
      <c r="U8" s="7" t="s">
        <v>26</v>
      </c>
      <c r="V8" s="7" t="s">
        <v>26</v>
      </c>
      <c r="W8" s="7" t="s">
        <v>26</v>
      </c>
    </row>
    <row r="9">
      <c r="A9" s="8">
        <v>40391.0</v>
      </c>
      <c r="B9" s="9">
        <f>IFERROR(__xludf.DUMMYFUNCTION("""COMPUTED_VALUE"""),125.0)</f>
        <v>125</v>
      </c>
      <c r="C9" s="10" t="s">
        <v>34</v>
      </c>
      <c r="D9" s="10" t="s">
        <v>26</v>
      </c>
      <c r="E9" s="10" t="s">
        <v>26</v>
      </c>
      <c r="F9" s="10" t="s">
        <v>26</v>
      </c>
      <c r="G9" s="10" t="s">
        <v>26</v>
      </c>
      <c r="H9" s="10" t="s">
        <v>26</v>
      </c>
      <c r="I9" s="10" t="s">
        <v>26</v>
      </c>
      <c r="J9" s="11" t="s">
        <v>26</v>
      </c>
      <c r="K9" s="11" t="s">
        <v>26</v>
      </c>
      <c r="L9" s="10" t="s">
        <v>26</v>
      </c>
      <c r="M9" s="10" t="s">
        <v>26</v>
      </c>
      <c r="N9" s="10" t="s">
        <v>26</v>
      </c>
      <c r="O9" s="10" t="s">
        <v>26</v>
      </c>
      <c r="P9" s="10" t="s">
        <v>26</v>
      </c>
      <c r="Q9" s="10" t="s">
        <v>26</v>
      </c>
      <c r="R9" s="10" t="s">
        <v>26</v>
      </c>
      <c r="S9" s="10" t="s">
        <v>26</v>
      </c>
      <c r="T9" s="10" t="s">
        <v>26</v>
      </c>
      <c r="U9" s="7" t="s">
        <v>26</v>
      </c>
      <c r="V9" s="7" t="s">
        <v>26</v>
      </c>
      <c r="W9" s="7" t="s">
        <v>26</v>
      </c>
    </row>
    <row r="10">
      <c r="A10" s="8">
        <v>40422.0</v>
      </c>
      <c r="B10" s="9">
        <f>IFERROR(__xludf.DUMMYFUNCTION("""COMPUTED_VALUE"""),151.0)</f>
        <v>151</v>
      </c>
      <c r="C10" s="10" t="s">
        <v>35</v>
      </c>
      <c r="D10" s="10" t="s">
        <v>26</v>
      </c>
      <c r="E10" s="10" t="s">
        <v>26</v>
      </c>
      <c r="F10" s="10" t="s">
        <v>26</v>
      </c>
      <c r="G10" s="10" t="s">
        <v>26</v>
      </c>
      <c r="H10" s="10" t="s">
        <v>26</v>
      </c>
      <c r="I10" s="10" t="s">
        <v>26</v>
      </c>
      <c r="J10" s="11" t="s">
        <v>26</v>
      </c>
      <c r="K10" s="11" t="s">
        <v>26</v>
      </c>
      <c r="L10" s="10" t="s">
        <v>26</v>
      </c>
      <c r="M10" s="10" t="s">
        <v>26</v>
      </c>
      <c r="N10" s="10" t="s">
        <v>26</v>
      </c>
      <c r="O10" s="10" t="s">
        <v>26</v>
      </c>
      <c r="P10" s="10" t="s">
        <v>26</v>
      </c>
      <c r="Q10" s="10" t="s">
        <v>26</v>
      </c>
      <c r="R10" s="10" t="s">
        <v>26</v>
      </c>
      <c r="S10" s="10" t="s">
        <v>26</v>
      </c>
      <c r="T10" s="10" t="s">
        <v>26</v>
      </c>
      <c r="U10" s="7" t="s">
        <v>26</v>
      </c>
      <c r="V10" s="7" t="s">
        <v>26</v>
      </c>
      <c r="W10" s="7" t="s">
        <v>26</v>
      </c>
    </row>
    <row r="11">
      <c r="A11" s="8">
        <v>40452.0</v>
      </c>
      <c r="B11" s="9">
        <f>IFERROR(__xludf.DUMMYFUNCTION("""COMPUTED_VALUE"""),245.0)</f>
        <v>245</v>
      </c>
      <c r="C11" s="10" t="s">
        <v>36</v>
      </c>
      <c r="D11" s="10" t="s">
        <v>26</v>
      </c>
      <c r="E11" s="10" t="s">
        <v>26</v>
      </c>
      <c r="F11" s="10" t="s">
        <v>26</v>
      </c>
      <c r="G11" s="10" t="s">
        <v>26</v>
      </c>
      <c r="H11" s="10" t="s">
        <v>26</v>
      </c>
      <c r="I11" s="10" t="s">
        <v>26</v>
      </c>
      <c r="J11" s="11" t="s">
        <v>26</v>
      </c>
      <c r="K11" s="11" t="s">
        <v>26</v>
      </c>
      <c r="L11" s="10" t="s">
        <v>26</v>
      </c>
      <c r="M11" s="10" t="s">
        <v>26</v>
      </c>
      <c r="N11" s="10" t="s">
        <v>26</v>
      </c>
      <c r="O11" s="10" t="s">
        <v>26</v>
      </c>
      <c r="P11" s="10" t="s">
        <v>26</v>
      </c>
      <c r="Q11" s="10" t="s">
        <v>26</v>
      </c>
      <c r="R11" s="10" t="s">
        <v>26</v>
      </c>
      <c r="S11" s="10" t="s">
        <v>26</v>
      </c>
      <c r="T11" s="10" t="s">
        <v>26</v>
      </c>
      <c r="U11" s="7" t="s">
        <v>26</v>
      </c>
      <c r="V11" s="7" t="s">
        <v>26</v>
      </c>
      <c r="W11" s="7" t="s">
        <v>26</v>
      </c>
    </row>
    <row r="12">
      <c r="A12" s="8">
        <v>40483.0</v>
      </c>
      <c r="B12" s="9">
        <f>IFERROR(__xludf.DUMMYFUNCTION("""COMPUTED_VALUE"""),729.0)</f>
        <v>729</v>
      </c>
      <c r="C12" s="10" t="s">
        <v>37</v>
      </c>
      <c r="D12" s="10" t="s">
        <v>26</v>
      </c>
      <c r="E12" s="10" t="s">
        <v>26</v>
      </c>
      <c r="F12" s="10" t="s">
        <v>26</v>
      </c>
      <c r="G12" s="10" t="s">
        <v>26</v>
      </c>
      <c r="H12" s="10" t="s">
        <v>26</v>
      </c>
      <c r="I12" s="10" t="s">
        <v>26</v>
      </c>
      <c r="J12" s="11" t="s">
        <v>26</v>
      </c>
      <c r="K12" s="11" t="s">
        <v>26</v>
      </c>
      <c r="L12" s="10" t="s">
        <v>26</v>
      </c>
      <c r="M12" s="10" t="s">
        <v>26</v>
      </c>
      <c r="N12" s="10" t="s">
        <v>26</v>
      </c>
      <c r="O12" s="10" t="s">
        <v>26</v>
      </c>
      <c r="P12" s="10" t="s">
        <v>26</v>
      </c>
      <c r="Q12" s="10" t="s">
        <v>26</v>
      </c>
      <c r="R12" s="10" t="s">
        <v>26</v>
      </c>
      <c r="S12" s="10" t="s">
        <v>26</v>
      </c>
      <c r="T12" s="10" t="s">
        <v>26</v>
      </c>
      <c r="U12" s="7" t="s">
        <v>26</v>
      </c>
      <c r="V12" s="7" t="s">
        <v>26</v>
      </c>
      <c r="W12" s="7" t="s">
        <v>26</v>
      </c>
    </row>
    <row r="13">
      <c r="A13" s="8">
        <v>40513.0</v>
      </c>
      <c r="B13" s="9">
        <f>IFERROR(__xludf.DUMMYFUNCTION("""COMPUTED_VALUE"""),158.0)</f>
        <v>158</v>
      </c>
      <c r="C13" s="10" t="s">
        <v>38</v>
      </c>
      <c r="D13" s="10" t="s">
        <v>26</v>
      </c>
      <c r="E13" s="10" t="s">
        <v>26</v>
      </c>
      <c r="F13" s="10" t="s">
        <v>26</v>
      </c>
      <c r="G13" s="10" t="s">
        <v>26</v>
      </c>
      <c r="H13" s="10" t="s">
        <v>26</v>
      </c>
      <c r="I13" s="10" t="s">
        <v>26</v>
      </c>
      <c r="J13" s="11" t="s">
        <v>26</v>
      </c>
      <c r="K13" s="11" t="s">
        <v>26</v>
      </c>
      <c r="L13" s="10" t="s">
        <v>26</v>
      </c>
      <c r="M13" s="10" t="s">
        <v>26</v>
      </c>
      <c r="N13" s="10" t="s">
        <v>26</v>
      </c>
      <c r="O13" s="10" t="s">
        <v>26</v>
      </c>
      <c r="P13" s="10" t="s">
        <v>26</v>
      </c>
      <c r="Q13" s="10" t="s">
        <v>26</v>
      </c>
      <c r="R13" s="10" t="s">
        <v>26</v>
      </c>
      <c r="S13" s="10" t="s">
        <v>26</v>
      </c>
      <c r="T13" s="10" t="s">
        <v>26</v>
      </c>
      <c r="U13" s="7" t="s">
        <v>26</v>
      </c>
      <c r="V13" s="7" t="s">
        <v>26</v>
      </c>
      <c r="W13" s="7" t="s">
        <v>26</v>
      </c>
    </row>
    <row r="14">
      <c r="A14" s="8">
        <v>40544.0</v>
      </c>
      <c r="B14" s="9">
        <f>IFERROR(__xludf.DUMMYFUNCTION("""COMPUTED_VALUE"""),99.0)</f>
        <v>99</v>
      </c>
      <c r="C14" s="10" t="s">
        <v>39</v>
      </c>
      <c r="D14" s="10" t="s">
        <v>26</v>
      </c>
      <c r="E14" s="10" t="s">
        <v>26</v>
      </c>
      <c r="F14" s="10" t="s">
        <v>26</v>
      </c>
      <c r="G14" s="10" t="s">
        <v>26</v>
      </c>
      <c r="H14" s="10" t="s">
        <v>26</v>
      </c>
      <c r="I14" s="10" t="s">
        <v>26</v>
      </c>
      <c r="J14" s="11" t="s">
        <v>26</v>
      </c>
      <c r="K14" s="11" t="s">
        <v>26</v>
      </c>
      <c r="L14" s="10" t="s">
        <v>26</v>
      </c>
      <c r="M14" s="10" t="s">
        <v>26</v>
      </c>
      <c r="N14" s="10" t="s">
        <v>26</v>
      </c>
      <c r="O14" s="10" t="s">
        <v>26</v>
      </c>
      <c r="P14" s="10" t="s">
        <v>26</v>
      </c>
      <c r="Q14" s="10" t="s">
        <v>26</v>
      </c>
      <c r="R14" s="10" t="s">
        <v>26</v>
      </c>
      <c r="S14" s="10" t="s">
        <v>26</v>
      </c>
      <c r="T14" s="10" t="s">
        <v>26</v>
      </c>
      <c r="U14" s="7" t="s">
        <v>26</v>
      </c>
      <c r="V14" s="7" t="s">
        <v>26</v>
      </c>
      <c r="W14" s="7" t="s">
        <v>26</v>
      </c>
    </row>
    <row r="15">
      <c r="A15" s="8">
        <v>40575.0</v>
      </c>
      <c r="B15" s="9">
        <f>IFERROR(__xludf.DUMMYFUNCTION("""COMPUTED_VALUE"""),42.0)</f>
        <v>42</v>
      </c>
      <c r="C15" s="10" t="s">
        <v>40</v>
      </c>
      <c r="D15" s="10" t="s">
        <v>26</v>
      </c>
      <c r="E15" s="10" t="s">
        <v>26</v>
      </c>
      <c r="F15" s="10" t="s">
        <v>26</v>
      </c>
      <c r="G15" s="10" t="s">
        <v>26</v>
      </c>
      <c r="H15" s="10" t="s">
        <v>26</v>
      </c>
      <c r="I15" s="10" t="s">
        <v>26</v>
      </c>
      <c r="J15" s="11" t="s">
        <v>26</v>
      </c>
      <c r="K15" s="11" t="s">
        <v>26</v>
      </c>
      <c r="L15" s="10" t="s">
        <v>26</v>
      </c>
      <c r="M15" s="10" t="s">
        <v>26</v>
      </c>
      <c r="N15" s="10" t="s">
        <v>26</v>
      </c>
      <c r="O15" s="10" t="s">
        <v>26</v>
      </c>
      <c r="P15" s="10" t="s">
        <v>26</v>
      </c>
      <c r="Q15" s="10" t="s">
        <v>26</v>
      </c>
      <c r="R15" s="10" t="s">
        <v>26</v>
      </c>
      <c r="S15" s="10" t="s">
        <v>26</v>
      </c>
      <c r="T15" s="10" t="s">
        <v>26</v>
      </c>
      <c r="U15" s="7" t="s">
        <v>26</v>
      </c>
      <c r="V15" s="7" t="s">
        <v>26</v>
      </c>
      <c r="W15" s="7" t="s">
        <v>26</v>
      </c>
    </row>
    <row r="16">
      <c r="A16" s="8">
        <v>40603.0</v>
      </c>
      <c r="B16" s="9">
        <f>IFERROR(__xludf.DUMMYFUNCTION("""COMPUTED_VALUE"""),53.0)</f>
        <v>53</v>
      </c>
      <c r="C16" s="10" t="s">
        <v>27</v>
      </c>
      <c r="D16" s="10" t="s">
        <v>26</v>
      </c>
      <c r="E16" s="10" t="s">
        <v>26</v>
      </c>
      <c r="F16" s="10" t="s">
        <v>26</v>
      </c>
      <c r="G16" s="10" t="s">
        <v>26</v>
      </c>
      <c r="H16" s="10" t="s">
        <v>26</v>
      </c>
      <c r="I16" s="10" t="s">
        <v>26</v>
      </c>
      <c r="J16" s="11" t="s">
        <v>26</v>
      </c>
      <c r="K16" s="11" t="s">
        <v>26</v>
      </c>
      <c r="L16" s="10" t="s">
        <v>26</v>
      </c>
      <c r="M16" s="10" t="s">
        <v>26</v>
      </c>
      <c r="N16" s="10" t="s">
        <v>26</v>
      </c>
      <c r="O16" s="10" t="s">
        <v>26</v>
      </c>
      <c r="P16" s="10" t="s">
        <v>26</v>
      </c>
      <c r="Q16" s="10" t="s">
        <v>26</v>
      </c>
      <c r="R16" s="10" t="s">
        <v>26</v>
      </c>
      <c r="S16" s="10" t="s">
        <v>26</v>
      </c>
      <c r="T16" s="10" t="s">
        <v>26</v>
      </c>
      <c r="U16" s="7" t="s">
        <v>26</v>
      </c>
      <c r="V16" s="7" t="s">
        <v>26</v>
      </c>
      <c r="W16" s="7" t="s">
        <v>26</v>
      </c>
    </row>
    <row r="17">
      <c r="A17" s="8">
        <v>40634.0</v>
      </c>
      <c r="B17" s="9">
        <f>IFERROR(__xludf.DUMMYFUNCTION("""COMPUTED_VALUE"""),145.0)</f>
        <v>145</v>
      </c>
      <c r="C17" s="10" t="s">
        <v>28</v>
      </c>
      <c r="D17" s="10" t="s">
        <v>26</v>
      </c>
      <c r="E17" s="10" t="s">
        <v>26</v>
      </c>
      <c r="F17" s="10" t="s">
        <v>26</v>
      </c>
      <c r="G17" s="10" t="s">
        <v>26</v>
      </c>
      <c r="H17" s="10" t="s">
        <v>26</v>
      </c>
      <c r="I17" s="10" t="s">
        <v>26</v>
      </c>
      <c r="J17" s="11" t="s">
        <v>26</v>
      </c>
      <c r="K17" s="11" t="s">
        <v>26</v>
      </c>
      <c r="L17" s="10" t="s">
        <v>26</v>
      </c>
      <c r="M17" s="10" t="s">
        <v>26</v>
      </c>
      <c r="N17" s="10" t="s">
        <v>26</v>
      </c>
      <c r="O17" s="10" t="s">
        <v>26</v>
      </c>
      <c r="P17" s="10" t="s">
        <v>26</v>
      </c>
      <c r="Q17" s="10" t="s">
        <v>26</v>
      </c>
      <c r="R17" s="10" t="s">
        <v>26</v>
      </c>
      <c r="S17" s="10" t="s">
        <v>26</v>
      </c>
      <c r="T17" s="10" t="s">
        <v>26</v>
      </c>
      <c r="U17" s="7" t="s">
        <v>26</v>
      </c>
      <c r="V17" s="7" t="s">
        <v>26</v>
      </c>
      <c r="W17" s="7" t="s">
        <v>26</v>
      </c>
    </row>
    <row r="18">
      <c r="A18" s="8">
        <v>40664.0</v>
      </c>
      <c r="B18" s="9">
        <f>IFERROR(__xludf.DUMMYFUNCTION("""COMPUTED_VALUE"""),213.0)</f>
        <v>213</v>
      </c>
      <c r="C18" s="10" t="s">
        <v>29</v>
      </c>
      <c r="D18" s="10" t="s">
        <v>26</v>
      </c>
      <c r="E18" s="10" t="s">
        <v>26</v>
      </c>
      <c r="F18" s="10" t="s">
        <v>26</v>
      </c>
      <c r="G18" s="10" t="s">
        <v>26</v>
      </c>
      <c r="H18" s="10" t="s">
        <v>26</v>
      </c>
      <c r="I18" s="10" t="s">
        <v>26</v>
      </c>
      <c r="J18" s="11" t="s">
        <v>26</v>
      </c>
      <c r="K18" s="11" t="s">
        <v>26</v>
      </c>
      <c r="L18" s="10" t="s">
        <v>26</v>
      </c>
      <c r="M18" s="10" t="s">
        <v>26</v>
      </c>
      <c r="N18" s="10" t="s">
        <v>26</v>
      </c>
      <c r="O18" s="10" t="s">
        <v>26</v>
      </c>
      <c r="P18" s="10" t="s">
        <v>26</v>
      </c>
      <c r="Q18" s="10" t="s">
        <v>26</v>
      </c>
      <c r="R18" s="10" t="s">
        <v>26</v>
      </c>
      <c r="S18" s="10" t="s">
        <v>26</v>
      </c>
      <c r="T18" s="10" t="s">
        <v>26</v>
      </c>
      <c r="U18" s="7" t="s">
        <v>26</v>
      </c>
      <c r="V18" s="7" t="s">
        <v>26</v>
      </c>
      <c r="W18" s="7" t="s">
        <v>26</v>
      </c>
    </row>
    <row r="19">
      <c r="A19" s="8">
        <v>40695.0</v>
      </c>
      <c r="B19" s="9">
        <f>IFERROR(__xludf.DUMMYFUNCTION("""COMPUTED_VALUE"""),159.0)</f>
        <v>159</v>
      </c>
      <c r="C19" s="10" t="s">
        <v>30</v>
      </c>
      <c r="D19" s="10" t="s">
        <v>26</v>
      </c>
      <c r="E19" s="10" t="s">
        <v>26</v>
      </c>
      <c r="F19" s="10" t="s">
        <v>26</v>
      </c>
      <c r="G19" s="10" t="s">
        <v>26</v>
      </c>
      <c r="H19" s="10" t="s">
        <v>26</v>
      </c>
      <c r="I19" s="10" t="s">
        <v>26</v>
      </c>
      <c r="J19" s="11" t="s">
        <v>26</v>
      </c>
      <c r="K19" s="11" t="s">
        <v>26</v>
      </c>
      <c r="L19" s="10" t="s">
        <v>26</v>
      </c>
      <c r="M19" s="10" t="s">
        <v>26</v>
      </c>
      <c r="N19" s="10" t="s">
        <v>26</v>
      </c>
      <c r="O19" s="10" t="s">
        <v>26</v>
      </c>
      <c r="P19" s="10" t="s">
        <v>26</v>
      </c>
      <c r="Q19" s="10" t="s">
        <v>26</v>
      </c>
      <c r="R19" s="10" t="s">
        <v>26</v>
      </c>
      <c r="S19" s="10" t="s">
        <v>26</v>
      </c>
      <c r="T19" s="10" t="s">
        <v>26</v>
      </c>
      <c r="U19" s="7" t="s">
        <v>26</v>
      </c>
      <c r="V19" s="7" t="s">
        <v>26</v>
      </c>
      <c r="W19" s="7" t="s">
        <v>26</v>
      </c>
    </row>
    <row r="20">
      <c r="A20" s="8">
        <v>40725.0</v>
      </c>
      <c r="B20" s="9">
        <f>IFERROR(__xludf.DUMMYFUNCTION("""COMPUTED_VALUE"""),1067.0)</f>
        <v>1067</v>
      </c>
      <c r="C20" s="10" t="s">
        <v>31</v>
      </c>
      <c r="D20" s="10" t="s">
        <v>26</v>
      </c>
      <c r="E20" s="10" t="s">
        <v>26</v>
      </c>
      <c r="F20" s="10" t="s">
        <v>26</v>
      </c>
      <c r="G20" s="10" t="s">
        <v>26</v>
      </c>
      <c r="H20" s="10" t="s">
        <v>26</v>
      </c>
      <c r="I20" s="10" t="s">
        <v>26</v>
      </c>
      <c r="J20" s="11" t="s">
        <v>26</v>
      </c>
      <c r="K20" s="11" t="s">
        <v>26</v>
      </c>
      <c r="L20" s="10" t="s">
        <v>26</v>
      </c>
      <c r="M20" s="10" t="s">
        <v>26</v>
      </c>
      <c r="N20" s="10" t="s">
        <v>26</v>
      </c>
      <c r="O20" s="10" t="s">
        <v>26</v>
      </c>
      <c r="P20" s="10" t="s">
        <v>26</v>
      </c>
      <c r="Q20" s="10" t="s">
        <v>26</v>
      </c>
      <c r="R20" s="10" t="s">
        <v>26</v>
      </c>
      <c r="S20" s="10" t="s">
        <v>26</v>
      </c>
      <c r="T20" s="10" t="s">
        <v>26</v>
      </c>
      <c r="U20" s="7" t="s">
        <v>26</v>
      </c>
      <c r="V20" s="7" t="s">
        <v>26</v>
      </c>
      <c r="W20" s="7" t="s">
        <v>26</v>
      </c>
    </row>
    <row r="21">
      <c r="A21" s="8">
        <v>40756.0</v>
      </c>
      <c r="B21" s="9">
        <f>IFERROR(__xludf.DUMMYFUNCTION("""COMPUTED_VALUE"""),140.0)</f>
        <v>140</v>
      </c>
      <c r="C21" s="12" t="s">
        <v>32</v>
      </c>
      <c r="D21" s="12">
        <v>265.983305431168</v>
      </c>
      <c r="E21" s="12">
        <v>255.5</v>
      </c>
      <c r="F21" s="12">
        <v>38.5446229596738</v>
      </c>
      <c r="G21" s="12">
        <v>107.747054677038</v>
      </c>
      <c r="H21" s="12">
        <v>269.492932989355</v>
      </c>
      <c r="I21" s="12">
        <v>-644.823491269192</v>
      </c>
      <c r="J21" s="13">
        <v>215.189029732305</v>
      </c>
      <c r="K21" s="13">
        <v>245.403384250375</v>
      </c>
      <c r="L21" s="12">
        <v>87.6529334289134</v>
      </c>
      <c r="M21" s="12">
        <v>253.881567525207</v>
      </c>
      <c r="N21" s="12">
        <v>143.322051921076</v>
      </c>
      <c r="O21" s="12">
        <v>169.52523584372</v>
      </c>
      <c r="P21" s="12">
        <v>185.285987503514</v>
      </c>
      <c r="Q21" s="12">
        <v>58.0</v>
      </c>
      <c r="R21" s="12">
        <v>143.322051921076</v>
      </c>
      <c r="S21" s="12">
        <v>155.232426248721</v>
      </c>
      <c r="T21" s="12">
        <v>169.52523584372</v>
      </c>
      <c r="U21" s="7">
        <v>185.285987503514</v>
      </c>
      <c r="V21" s="7">
        <v>1520.00167812518</v>
      </c>
      <c r="W21" s="7">
        <v>58.0</v>
      </c>
    </row>
    <row r="22">
      <c r="A22" s="8">
        <v>40787.0</v>
      </c>
      <c r="B22" s="9">
        <f>IFERROR(__xludf.DUMMYFUNCTION("""COMPUTED_VALUE"""),187.0)</f>
        <v>187</v>
      </c>
      <c r="C22" s="12" t="s">
        <v>33</v>
      </c>
      <c r="D22" s="12">
        <v>306.67199790037</v>
      </c>
      <c r="E22" s="12">
        <v>269.0</v>
      </c>
      <c r="F22" s="12">
        <v>36.5650202374636</v>
      </c>
      <c r="G22" s="12">
        <v>98.7701660128375</v>
      </c>
      <c r="H22" s="12">
        <v>258.892932989355</v>
      </c>
      <c r="I22" s="12">
        <v>-644.823491269192</v>
      </c>
      <c r="J22" s="13">
        <v>86.1129798904096</v>
      </c>
      <c r="K22" s="13">
        <v>136.56213767164</v>
      </c>
      <c r="L22" s="12">
        <v>254.527293194067</v>
      </c>
      <c r="M22" s="12">
        <v>120.162167525207</v>
      </c>
      <c r="N22" s="12">
        <v>257.524651554003</v>
      </c>
      <c r="O22" s="12">
        <v>207.936682545732</v>
      </c>
      <c r="P22" s="12">
        <v>185.285987503514</v>
      </c>
      <c r="Q22" s="12">
        <v>348.5625</v>
      </c>
      <c r="R22" s="12">
        <v>257.524651554003</v>
      </c>
      <c r="S22" s="12">
        <v>131.271940234795</v>
      </c>
      <c r="T22" s="12">
        <v>207.936682545732</v>
      </c>
      <c r="U22" s="7">
        <v>185.285987503514</v>
      </c>
      <c r="V22" s="7">
        <v>1169.22344880972</v>
      </c>
      <c r="W22" s="7">
        <v>348.5625</v>
      </c>
    </row>
    <row r="23">
      <c r="A23" s="8">
        <v>40817.0</v>
      </c>
      <c r="B23" s="9">
        <f>IFERROR(__xludf.DUMMYFUNCTION("""COMPUTED_VALUE"""),1630.0)</f>
        <v>1630</v>
      </c>
      <c r="C23" s="12" t="s">
        <v>34</v>
      </c>
      <c r="D23" s="12">
        <v>1777.0887868242</v>
      </c>
      <c r="E23" s="12">
        <v>269.0</v>
      </c>
      <c r="F23" s="12">
        <v>263.250799353496</v>
      </c>
      <c r="G23" s="12">
        <v>275.023789183619</v>
      </c>
      <c r="H23" s="12">
        <v>353.35215664008</v>
      </c>
      <c r="I23" s="12">
        <v>110.782023828281</v>
      </c>
      <c r="J23" s="13">
        <v>338.971123133884</v>
      </c>
      <c r="K23" s="13">
        <v>1529.01753311173</v>
      </c>
      <c r="L23" s="12">
        <v>586.734677515597</v>
      </c>
      <c r="M23" s="12">
        <v>1924.16148602497</v>
      </c>
      <c r="N23" s="12">
        <v>1356.01040742007</v>
      </c>
      <c r="O23" s="12">
        <v>1391.67891556603</v>
      </c>
      <c r="P23" s="12">
        <v>1299.48643639029</v>
      </c>
      <c r="Q23" s="12">
        <v>771.008389462501</v>
      </c>
      <c r="R23" s="12">
        <v>1356.01040742007</v>
      </c>
      <c r="S23" s="12">
        <v>1659.4035017104</v>
      </c>
      <c r="T23" s="12">
        <v>1391.67891556603</v>
      </c>
      <c r="U23" s="7">
        <v>1299.48643639029</v>
      </c>
      <c r="V23" s="7">
        <v>177.940849253581</v>
      </c>
      <c r="W23" s="7">
        <v>771.008389462501</v>
      </c>
    </row>
    <row r="24">
      <c r="A24" s="8">
        <v>40848.0</v>
      </c>
      <c r="B24" s="9"/>
      <c r="C24" s="12" t="s">
        <v>35</v>
      </c>
      <c r="D24" s="12">
        <v>354.010963906799</v>
      </c>
      <c r="E24" s="12">
        <v>269.0</v>
      </c>
      <c r="F24" s="12">
        <v>319.611953608627</v>
      </c>
      <c r="G24" s="12">
        <v>265.792677314106</v>
      </c>
      <c r="H24" s="12">
        <v>248.903972617828</v>
      </c>
      <c r="I24" s="12">
        <v>151.384220740346</v>
      </c>
      <c r="J24" s="13">
        <v>177.240007070287</v>
      </c>
      <c r="K24" s="13">
        <v>151.487471263671</v>
      </c>
      <c r="L24" s="12">
        <v>221.483585347542</v>
      </c>
      <c r="M24" s="12">
        <v>154.613367525207</v>
      </c>
      <c r="N24" s="12">
        <v>163.252531462417</v>
      </c>
      <c r="O24" s="12">
        <v>469.874132364425</v>
      </c>
      <c r="P24" s="12">
        <v>185.285987503514</v>
      </c>
      <c r="Q24" s="12">
        <v>496.604005173431</v>
      </c>
      <c r="R24" s="12">
        <v>163.252531462417</v>
      </c>
      <c r="S24" s="12">
        <v>187.278886326598</v>
      </c>
      <c r="T24" s="12">
        <v>469.874132364425</v>
      </c>
      <c r="U24" s="7">
        <v>185.285987503514</v>
      </c>
      <c r="V24" s="7">
        <v>61.755811574363</v>
      </c>
      <c r="W24" s="7">
        <v>496.604005173431</v>
      </c>
    </row>
    <row r="25">
      <c r="A25" s="8">
        <v>40878.0</v>
      </c>
      <c r="B25" s="9"/>
      <c r="C25" s="12" t="s">
        <v>36</v>
      </c>
      <c r="D25" s="12">
        <v>401.404286079266</v>
      </c>
      <c r="E25" s="12">
        <v>7723.0</v>
      </c>
      <c r="F25" s="12">
        <v>613.209706760612</v>
      </c>
      <c r="G25" s="12">
        <v>448.594477866944</v>
      </c>
      <c r="H25" s="12">
        <v>266.852470897754</v>
      </c>
      <c r="I25" s="12">
        <v>327.103680353367</v>
      </c>
      <c r="J25" s="13">
        <v>306.124789381942</v>
      </c>
      <c r="K25" s="13">
        <v>373.181952222014</v>
      </c>
      <c r="L25" s="12">
        <v>394.727713386743</v>
      </c>
      <c r="M25" s="12">
        <v>230.168847525207</v>
      </c>
      <c r="N25" s="12">
        <v>143.322051921076</v>
      </c>
      <c r="O25" s="12">
        <v>231.708853135503</v>
      </c>
      <c r="P25" s="12">
        <v>185.285987503514</v>
      </c>
      <c r="Q25" s="12">
        <v>795.834925350088</v>
      </c>
      <c r="R25" s="12">
        <v>143.322051921076</v>
      </c>
      <c r="S25" s="12">
        <v>192.562844728951</v>
      </c>
      <c r="T25" s="12">
        <v>231.708853135503</v>
      </c>
      <c r="U25" s="7">
        <v>185.285987503514</v>
      </c>
      <c r="V25" s="7">
        <v>292.492687604198</v>
      </c>
      <c r="W25" s="7">
        <v>795.834925350088</v>
      </c>
    </row>
    <row r="26">
      <c r="A26" s="8">
        <v>40909.0</v>
      </c>
      <c r="B26" s="9">
        <f>IFERROR(__xludf.DUMMYFUNCTION("""COMPUTED_VALUE"""),183.0)</f>
        <v>183</v>
      </c>
      <c r="C26" s="12" t="s">
        <v>37</v>
      </c>
      <c r="D26" s="12">
        <v>297.717775098014</v>
      </c>
      <c r="E26" s="12">
        <v>7723.0</v>
      </c>
      <c r="F26" s="12">
        <v>172.304374984536</v>
      </c>
      <c r="G26" s="12">
        <v>256.748877701131</v>
      </c>
      <c r="H26" s="12">
        <v>236.954296773262</v>
      </c>
      <c r="I26" s="12">
        <v>154.17209379838</v>
      </c>
      <c r="J26" s="13">
        <v>135.540387802887</v>
      </c>
      <c r="K26" s="13">
        <v>231.01073239294</v>
      </c>
      <c r="L26" s="12">
        <v>260.342534837425</v>
      </c>
      <c r="M26" s="12">
        <v>173.191322373979</v>
      </c>
      <c r="N26" s="12">
        <v>643.555922270425</v>
      </c>
      <c r="O26" s="12">
        <v>730.630613190636</v>
      </c>
      <c r="P26" s="12">
        <v>185.285987503514</v>
      </c>
      <c r="Q26" s="12">
        <v>108.848797205049</v>
      </c>
      <c r="R26" s="12">
        <v>643.555922270425</v>
      </c>
      <c r="S26" s="12">
        <v>-157.828300457063</v>
      </c>
      <c r="T26" s="12">
        <v>730.630613190636</v>
      </c>
      <c r="U26" s="7">
        <v>185.285987503514</v>
      </c>
      <c r="V26" s="7">
        <v>326.515570394029</v>
      </c>
      <c r="W26" s="7">
        <v>108.848797205049</v>
      </c>
    </row>
    <row r="27">
      <c r="A27" s="8">
        <v>40940.0</v>
      </c>
      <c r="B27" s="9">
        <f>IFERROR(__xludf.DUMMYFUNCTION("""COMPUTED_VALUE"""),655.0)</f>
        <v>655</v>
      </c>
      <c r="C27" s="12" t="s">
        <v>38</v>
      </c>
      <c r="D27" s="12">
        <v>304.781671017671</v>
      </c>
      <c r="E27" s="12">
        <v>7723.0</v>
      </c>
      <c r="F27" s="12">
        <v>200.204266468293</v>
      </c>
      <c r="G27" s="12">
        <v>470.305356900782</v>
      </c>
      <c r="H27" s="12">
        <v>255.194950283863</v>
      </c>
      <c r="I27" s="12">
        <v>163.229526088887</v>
      </c>
      <c r="J27" s="13">
        <v>446.887967135524</v>
      </c>
      <c r="K27" s="13">
        <v>150.184816212848</v>
      </c>
      <c r="L27" s="12">
        <v>384.423214083705</v>
      </c>
      <c r="M27" s="12">
        <v>593.731567525207</v>
      </c>
      <c r="N27" s="12">
        <v>142.322051921076</v>
      </c>
      <c r="O27" s="12">
        <v>245.811202777968</v>
      </c>
      <c r="P27" s="12">
        <v>185.285987503514</v>
      </c>
      <c r="Q27" s="12">
        <v>126.00335923828</v>
      </c>
      <c r="R27" s="12">
        <v>142.322051921076</v>
      </c>
      <c r="S27" s="12">
        <v>224.456722805171</v>
      </c>
      <c r="T27" s="12">
        <v>245.811202777968</v>
      </c>
      <c r="U27" s="7">
        <v>185.285987503514</v>
      </c>
      <c r="V27" s="7">
        <v>150.507704346038</v>
      </c>
      <c r="W27" s="7">
        <v>126.00335923828</v>
      </c>
    </row>
    <row r="28">
      <c r="A28" s="8">
        <v>40969.0</v>
      </c>
      <c r="B28" s="9">
        <f>IFERROR(__xludf.DUMMYFUNCTION("""COMPUTED_VALUE"""),234.0)</f>
        <v>234</v>
      </c>
      <c r="C28" s="12" t="s">
        <v>39</v>
      </c>
      <c r="D28" s="12">
        <v>336.809939844665</v>
      </c>
      <c r="E28" s="12">
        <v>7723.0</v>
      </c>
      <c r="F28" s="12">
        <v>536.74993604408</v>
      </c>
      <c r="G28" s="12">
        <v>261.22688695219</v>
      </c>
      <c r="H28" s="12">
        <v>281.402629819491</v>
      </c>
      <c r="I28" s="12">
        <v>140.81384756665</v>
      </c>
      <c r="J28" s="13">
        <v>451.365697176899</v>
      </c>
      <c r="K28" s="13">
        <v>67.6554809837008</v>
      </c>
      <c r="L28" s="12">
        <v>827.817075915162</v>
      </c>
      <c r="M28" s="12">
        <v>388.075004335436</v>
      </c>
      <c r="N28" s="12">
        <v>144.322051921076</v>
      </c>
      <c r="O28" s="12">
        <v>525.84538030134</v>
      </c>
      <c r="P28" s="12">
        <v>185.285987503514</v>
      </c>
      <c r="Q28" s="12">
        <v>217.331266930143</v>
      </c>
      <c r="R28" s="12">
        <v>144.322051921076</v>
      </c>
      <c r="S28" s="12">
        <v>196.878858228317</v>
      </c>
      <c r="T28" s="12">
        <v>525.84538030134</v>
      </c>
      <c r="U28" s="7">
        <v>185.285987503514</v>
      </c>
      <c r="V28" s="7">
        <v>185.183389019539</v>
      </c>
      <c r="W28" s="7">
        <v>217.331266930143</v>
      </c>
    </row>
    <row r="29">
      <c r="A29" s="8">
        <v>41000.0</v>
      </c>
      <c r="B29" s="9">
        <f>IFERROR(__xludf.DUMMYFUNCTION("""COMPUTED_VALUE"""),404.0)</f>
        <v>404</v>
      </c>
      <c r="C29" s="12" t="s">
        <v>40</v>
      </c>
      <c r="D29" s="12">
        <v>335.228099589099</v>
      </c>
      <c r="E29" s="12">
        <v>7723.0</v>
      </c>
      <c r="F29" s="12">
        <v>66.5235087756586</v>
      </c>
      <c r="G29" s="12">
        <v>356.230603661788</v>
      </c>
      <c r="H29" s="12">
        <v>239.194599133309</v>
      </c>
      <c r="I29" s="12">
        <v>126.653481410772</v>
      </c>
      <c r="J29" s="13">
        <v>418.819839851872</v>
      </c>
      <c r="K29" s="13">
        <v>163.710195511378</v>
      </c>
      <c r="L29" s="12">
        <v>488.075379573472</v>
      </c>
      <c r="M29" s="12">
        <v>424.926767525207</v>
      </c>
      <c r="N29" s="12">
        <v>394.056436811773</v>
      </c>
      <c r="O29" s="12">
        <v>231.523645222549</v>
      </c>
      <c r="P29" s="12">
        <v>185.285987503514</v>
      </c>
      <c r="Q29" s="12">
        <v>125.329472035965</v>
      </c>
      <c r="R29" s="12">
        <v>394.056436811773</v>
      </c>
      <c r="S29" s="12">
        <v>222.44514812593</v>
      </c>
      <c r="T29" s="12">
        <v>231.523645222549</v>
      </c>
      <c r="U29" s="7">
        <v>185.285987503514</v>
      </c>
      <c r="V29" s="7">
        <v>388.840236702746</v>
      </c>
      <c r="W29" s="7">
        <v>125.329472035965</v>
      </c>
    </row>
    <row r="30">
      <c r="A30" s="8">
        <v>41030.0</v>
      </c>
      <c r="B30" s="9">
        <f>IFERROR(__xludf.DUMMYFUNCTION("""COMPUTED_VALUE"""),247.0)</f>
        <v>247</v>
      </c>
      <c r="C30" s="12" t="s">
        <v>27</v>
      </c>
      <c r="D30" s="12">
        <v>331.715186709155</v>
      </c>
      <c r="E30" s="12">
        <v>198.0</v>
      </c>
      <c r="F30" s="12">
        <v>34.0626027852997</v>
      </c>
      <c r="G30" s="12">
        <v>318.147198461367</v>
      </c>
      <c r="H30" s="12">
        <v>236.904170949451</v>
      </c>
      <c r="I30" s="12">
        <v>132.488430570257</v>
      </c>
      <c r="J30" s="13">
        <v>397.966703974985</v>
      </c>
      <c r="K30" s="13">
        <v>445.982818372</v>
      </c>
      <c r="L30" s="12">
        <v>231.245172730161</v>
      </c>
      <c r="M30" s="12">
        <v>282.243067525207</v>
      </c>
      <c r="N30" s="12">
        <v>151.222419140617</v>
      </c>
      <c r="O30" s="12">
        <v>237.241850930388</v>
      </c>
      <c r="P30" s="12">
        <v>185.285987503514</v>
      </c>
      <c r="Q30" s="12">
        <v>100.0</v>
      </c>
      <c r="R30" s="12">
        <v>151.222419140617</v>
      </c>
      <c r="S30" s="12">
        <v>155.95979675433</v>
      </c>
      <c r="T30" s="12">
        <v>237.241850930388</v>
      </c>
      <c r="U30" s="7">
        <v>185.285987503514</v>
      </c>
      <c r="V30" s="7">
        <v>255.130281846459</v>
      </c>
      <c r="W30" s="7">
        <v>100.0</v>
      </c>
    </row>
    <row r="31">
      <c r="A31" s="8">
        <v>41061.0</v>
      </c>
      <c r="B31" s="9">
        <f>IFERROR(__xludf.DUMMYFUNCTION("""COMPUTED_VALUE"""),375.0)</f>
        <v>375</v>
      </c>
      <c r="C31" s="12" t="s">
        <v>28</v>
      </c>
      <c r="D31" s="12">
        <v>341.990004351004</v>
      </c>
      <c r="E31" s="12">
        <v>266.0</v>
      </c>
      <c r="F31" s="12">
        <v>72.3789107678826</v>
      </c>
      <c r="G31" s="12">
        <v>247.716338297325</v>
      </c>
      <c r="H31" s="12">
        <v>236.894063435045</v>
      </c>
      <c r="I31" s="12">
        <v>167.00936934327</v>
      </c>
      <c r="J31" s="13">
        <v>329.763302673095</v>
      </c>
      <c r="K31" s="13">
        <v>335.572131770319</v>
      </c>
      <c r="L31" s="12">
        <v>446.733365151344</v>
      </c>
      <c r="M31" s="12">
        <v>131.240367525207</v>
      </c>
      <c r="N31" s="12">
        <v>141.322051921076</v>
      </c>
      <c r="O31" s="12">
        <v>239.773608528221</v>
      </c>
      <c r="P31" s="12">
        <v>185.285987503514</v>
      </c>
      <c r="Q31" s="12">
        <v>403.875076524917</v>
      </c>
      <c r="R31" s="12">
        <v>141.322051921076</v>
      </c>
      <c r="S31" s="12">
        <v>181.153142565325</v>
      </c>
      <c r="T31" s="12">
        <v>239.773608528221</v>
      </c>
      <c r="U31" s="7">
        <v>185.285987503514</v>
      </c>
      <c r="V31" s="7">
        <v>207.327836105847</v>
      </c>
      <c r="W31" s="7">
        <v>403.875076524917</v>
      </c>
    </row>
    <row r="32">
      <c r="A32" s="8">
        <v>41091.0</v>
      </c>
      <c r="B32" s="9">
        <f>IFERROR(__xludf.DUMMYFUNCTION("""COMPUTED_VALUE"""),359.0)</f>
        <v>359</v>
      </c>
      <c r="C32" s="12" t="s">
        <v>29</v>
      </c>
      <c r="D32" s="12">
        <v>321.656671017671</v>
      </c>
      <c r="E32" s="12">
        <v>296.5</v>
      </c>
      <c r="F32" s="12">
        <v>257.186417029583</v>
      </c>
      <c r="G32" s="12">
        <v>209.158012241764</v>
      </c>
      <c r="H32" s="12">
        <v>237.006704767431</v>
      </c>
      <c r="I32" s="12">
        <v>290.190333741314</v>
      </c>
      <c r="J32" s="13">
        <v>302.006436413973</v>
      </c>
      <c r="K32" s="13">
        <v>191.373026075874</v>
      </c>
      <c r="L32" s="12">
        <v>373.105253753497</v>
      </c>
      <c r="M32" s="12">
        <v>115.765887525207</v>
      </c>
      <c r="N32" s="12">
        <v>289.51085153518</v>
      </c>
      <c r="O32" s="12">
        <v>394.149881510564</v>
      </c>
      <c r="P32" s="12">
        <v>185.285987503514</v>
      </c>
      <c r="Q32" s="12">
        <v>-12.0457209457031</v>
      </c>
      <c r="R32" s="12">
        <v>289.51085153518</v>
      </c>
      <c r="S32" s="12">
        <v>196.632312344843</v>
      </c>
      <c r="T32" s="12">
        <v>394.149881510564</v>
      </c>
      <c r="U32" s="7">
        <v>185.285987503514</v>
      </c>
      <c r="V32" s="7">
        <v>189.292681068668</v>
      </c>
      <c r="W32" s="7">
        <v>-12.0457209457031</v>
      </c>
    </row>
    <row r="33">
      <c r="A33" s="8">
        <v>41122.0</v>
      </c>
      <c r="B33" s="9">
        <f>IFERROR(__xludf.DUMMYFUNCTION("""COMPUTED_VALUE"""),253.0)</f>
        <v>253</v>
      </c>
      <c r="C33" s="12" t="s">
        <v>30</v>
      </c>
      <c r="D33" s="12">
        <v>281.890186709155</v>
      </c>
      <c r="E33" s="12">
        <v>279.5</v>
      </c>
      <c r="F33" s="12">
        <v>120.499617345817</v>
      </c>
      <c r="G33" s="12">
        <v>149.824295215285</v>
      </c>
      <c r="H33" s="12">
        <v>236.892932989355</v>
      </c>
      <c r="I33" s="12">
        <v>-285.823491269192</v>
      </c>
      <c r="J33" s="13">
        <v>223.031109131817</v>
      </c>
      <c r="K33" s="13">
        <v>137.534410040034</v>
      </c>
      <c r="L33" s="12">
        <v>150.840194219796</v>
      </c>
      <c r="M33" s="12">
        <v>169.476327525207</v>
      </c>
      <c r="N33" s="12">
        <v>221.266743531596</v>
      </c>
      <c r="O33" s="12">
        <v>380.826718289962</v>
      </c>
      <c r="P33" s="12">
        <v>185.285987503514</v>
      </c>
      <c r="Q33" s="12">
        <v>116.581367200705</v>
      </c>
      <c r="R33" s="12">
        <v>221.266743531596</v>
      </c>
      <c r="S33" s="12">
        <v>197.807966615575</v>
      </c>
      <c r="T33" s="12">
        <v>380.826718289962</v>
      </c>
      <c r="U33" s="7">
        <v>185.285987503514</v>
      </c>
      <c r="V33" s="7">
        <v>1618.98718945756</v>
      </c>
      <c r="W33" s="7">
        <v>116.581367200705</v>
      </c>
    </row>
    <row r="34">
      <c r="A34" s="8">
        <v>41153.0</v>
      </c>
      <c r="B34" s="9">
        <f>IFERROR(__xludf.DUMMYFUNCTION("""COMPUTED_VALUE"""),139.0)</f>
        <v>139</v>
      </c>
      <c r="C34" s="12" t="s">
        <v>31</v>
      </c>
      <c r="D34" s="12">
        <v>251.649859826456</v>
      </c>
      <c r="E34" s="12">
        <v>212.5</v>
      </c>
      <c r="F34" s="12">
        <v>164.633672278577</v>
      </c>
      <c r="G34" s="12">
        <v>288.921523298314</v>
      </c>
      <c r="H34" s="12">
        <v>246.495314662645</v>
      </c>
      <c r="I34" s="12">
        <v>309.639257406097</v>
      </c>
      <c r="J34" s="13">
        <v>116.854208315508</v>
      </c>
      <c r="K34" s="13">
        <v>120.894448585423</v>
      </c>
      <c r="L34" s="12">
        <v>54.8790562948441</v>
      </c>
      <c r="M34" s="12">
        <v>210.871807525207</v>
      </c>
      <c r="N34" s="12">
        <v>136.322051921076</v>
      </c>
      <c r="O34" s="12">
        <v>606.577856277725</v>
      </c>
      <c r="P34" s="12">
        <v>185.285987503514</v>
      </c>
      <c r="Q34" s="12">
        <v>155.554972042738</v>
      </c>
      <c r="R34" s="12">
        <v>136.322051921076</v>
      </c>
      <c r="S34" s="12">
        <v>244.597228153984</v>
      </c>
      <c r="T34" s="12">
        <v>606.577856277725</v>
      </c>
      <c r="U34" s="7">
        <v>185.285987503514</v>
      </c>
      <c r="V34" s="7">
        <v>161.997557311873</v>
      </c>
      <c r="W34" s="7">
        <v>155.554972042738</v>
      </c>
    </row>
    <row r="35">
      <c r="A35" s="8">
        <v>41183.0</v>
      </c>
      <c r="B35" s="9">
        <f>IFERROR(__xludf.DUMMYFUNCTION("""COMPUTED_VALUE"""),340.0)</f>
        <v>340</v>
      </c>
      <c r="C35" s="12" t="s">
        <v>32</v>
      </c>
      <c r="D35" s="12">
        <v>215.397271437597</v>
      </c>
      <c r="E35" s="12">
        <v>234.0</v>
      </c>
      <c r="F35" s="12">
        <v>338.305894355888</v>
      </c>
      <c r="G35" s="12">
        <v>149.540789043383</v>
      </c>
      <c r="H35" s="12">
        <v>309.192932989355</v>
      </c>
      <c r="I35" s="12">
        <v>-620.649491492638</v>
      </c>
      <c r="J35" s="13">
        <v>179.821416629845</v>
      </c>
      <c r="K35" s="13">
        <v>172.015468171049</v>
      </c>
      <c r="L35" s="12">
        <v>4.05195960696477</v>
      </c>
      <c r="M35" s="12">
        <v>887.843007525207</v>
      </c>
      <c r="N35" s="12">
        <v>386.404373343199</v>
      </c>
      <c r="O35" s="12">
        <v>279.665855204825</v>
      </c>
      <c r="P35" s="12">
        <v>349.296052941167</v>
      </c>
      <c r="Q35" s="12">
        <v>136.161695796402</v>
      </c>
      <c r="R35" s="12">
        <v>386.404373343199</v>
      </c>
      <c r="S35" s="12">
        <v>62.0146024393442</v>
      </c>
      <c r="T35" s="12">
        <v>279.665855204825</v>
      </c>
      <c r="U35" s="7">
        <v>349.296052941167</v>
      </c>
      <c r="V35" s="7">
        <v>1115.25199206989</v>
      </c>
      <c r="W35" s="7">
        <v>136.161695796402</v>
      </c>
    </row>
    <row r="36">
      <c r="A36" s="8">
        <v>41214.0</v>
      </c>
      <c r="B36" s="9">
        <f>IFERROR(__xludf.DUMMYFUNCTION("""COMPUTED_VALUE"""),24.0)</f>
        <v>24</v>
      </c>
      <c r="C36" s="12" t="s">
        <v>33</v>
      </c>
      <c r="D36" s="12">
        <v>201.66757164756</v>
      </c>
      <c r="E36" s="12">
        <v>173.0</v>
      </c>
      <c r="F36" s="12">
        <v>214.3991089125</v>
      </c>
      <c r="G36" s="12">
        <v>135.495075656199</v>
      </c>
      <c r="H36" s="12">
        <v>242.120306266264</v>
      </c>
      <c r="I36" s="12">
        <v>113.808601166934</v>
      </c>
      <c r="J36" s="13">
        <v>204.977453208848</v>
      </c>
      <c r="K36" s="13">
        <v>182.148951209402</v>
      </c>
      <c r="L36" s="12">
        <v>76.2801470623497</v>
      </c>
      <c r="M36" s="12">
        <v>100.306527525207</v>
      </c>
      <c r="N36" s="12">
        <v>143.157331440433</v>
      </c>
      <c r="O36" s="12">
        <v>318.688537941878</v>
      </c>
      <c r="P36" s="12">
        <v>185.285987503514</v>
      </c>
      <c r="Q36" s="12">
        <v>78.8305510165534</v>
      </c>
      <c r="R36" s="12">
        <v>143.157331440433</v>
      </c>
      <c r="S36" s="12">
        <v>169.481053895879</v>
      </c>
      <c r="T36" s="12">
        <v>318.688537941878</v>
      </c>
      <c r="U36" s="7">
        <v>185.285987503514</v>
      </c>
      <c r="V36" s="7">
        <v>11.3081031110241</v>
      </c>
      <c r="W36" s="7">
        <v>78.8305510165534</v>
      </c>
    </row>
    <row r="37">
      <c r="A37" s="8">
        <v>41244.0</v>
      </c>
      <c r="B37" s="9"/>
      <c r="C37" s="12" t="s">
        <v>34</v>
      </c>
      <c r="D37" s="12">
        <v>193.262394869842</v>
      </c>
      <c r="E37" s="12">
        <v>191.0</v>
      </c>
      <c r="F37" s="12">
        <v>56.3125693237897</v>
      </c>
      <c r="G37" s="12">
        <v>173.304145138974</v>
      </c>
      <c r="H37" s="12">
        <v>236.895591797618</v>
      </c>
      <c r="I37" s="12">
        <v>107.615238524886</v>
      </c>
      <c r="J37" s="13">
        <v>227.578378008154</v>
      </c>
      <c r="K37" s="13">
        <v>245.562070950365</v>
      </c>
      <c r="L37" s="12">
        <v>-10.7014838966311</v>
      </c>
      <c r="M37" s="12">
        <v>145.946527525207</v>
      </c>
      <c r="N37" s="12">
        <v>138.59805930275</v>
      </c>
      <c r="O37" s="12">
        <v>315.217427976951</v>
      </c>
      <c r="P37" s="12">
        <v>185.285987503514</v>
      </c>
      <c r="Q37" s="12">
        <v>289.849894877928</v>
      </c>
      <c r="R37" s="12">
        <v>138.59805930275</v>
      </c>
      <c r="S37" s="12">
        <v>217.80062273158</v>
      </c>
      <c r="T37" s="12">
        <v>315.217427976951</v>
      </c>
      <c r="U37" s="7">
        <v>185.285987503514</v>
      </c>
      <c r="V37" s="7">
        <v>25.9987536808325</v>
      </c>
      <c r="W37" s="7">
        <v>289.849894877928</v>
      </c>
    </row>
    <row r="38">
      <c r="A38" s="8">
        <v>41275.0</v>
      </c>
      <c r="B38" s="9"/>
      <c r="C38" s="12" t="s">
        <v>35</v>
      </c>
      <c r="D38" s="12">
        <v>183.206264116762</v>
      </c>
      <c r="E38" s="12">
        <v>254.0</v>
      </c>
      <c r="F38" s="12">
        <v>53.5771620056435</v>
      </c>
      <c r="G38" s="12">
        <v>238.274516345543</v>
      </c>
      <c r="H38" s="12">
        <v>237.692932989355</v>
      </c>
      <c r="I38" s="12">
        <v>-630.337626978638</v>
      </c>
      <c r="J38" s="13">
        <v>138.431992075285</v>
      </c>
      <c r="K38" s="13">
        <v>266.887809661222</v>
      </c>
      <c r="L38" s="12">
        <v>174.231316821714</v>
      </c>
      <c r="M38" s="12">
        <v>161.451207525207</v>
      </c>
      <c r="N38" s="12">
        <v>234.284431173598</v>
      </c>
      <c r="O38" s="12">
        <v>274.833333333333</v>
      </c>
      <c r="P38" s="12">
        <v>185.285987503514</v>
      </c>
      <c r="Q38" s="12">
        <v>264.446251634158</v>
      </c>
      <c r="R38" s="12">
        <v>234.284431173598</v>
      </c>
      <c r="S38" s="12">
        <v>296.247815941356</v>
      </c>
      <c r="T38" s="12">
        <v>274.833333333333</v>
      </c>
      <c r="U38" s="7">
        <v>185.285987503514</v>
      </c>
      <c r="V38" s="7">
        <v>133.392983357557</v>
      </c>
      <c r="W38" s="7">
        <v>264.446251634158</v>
      </c>
    </row>
    <row r="39">
      <c r="A39" s="8">
        <v>41306.0</v>
      </c>
      <c r="B39" s="9">
        <f>IFERROR(__xludf.DUMMYFUNCTION("""COMPUTED_VALUE"""),244.0)</f>
        <v>244</v>
      </c>
      <c r="C39" s="12" t="s">
        <v>36</v>
      </c>
      <c r="D39" s="12">
        <v>196.748225412959</v>
      </c>
      <c r="E39" s="12">
        <v>329.857142857143</v>
      </c>
      <c r="F39" s="12">
        <v>337.62608147187</v>
      </c>
      <c r="G39" s="12">
        <v>203.041228186554</v>
      </c>
      <c r="H39" s="12">
        <v>136.150586128876</v>
      </c>
      <c r="I39" s="12">
        <v>96.2477577433871</v>
      </c>
      <c r="J39" s="13">
        <v>401.78214156674</v>
      </c>
      <c r="K39" s="13">
        <v>54.2415413669439</v>
      </c>
      <c r="L39" s="12">
        <v>-7.86431771427479</v>
      </c>
      <c r="M39" s="12">
        <v>188.394687525207</v>
      </c>
      <c r="N39" s="12">
        <v>136.451555384579</v>
      </c>
      <c r="O39" s="12">
        <v>749.75590701518</v>
      </c>
      <c r="P39" s="12">
        <v>185.285987503514</v>
      </c>
      <c r="Q39" s="12">
        <v>164.077092881184</v>
      </c>
      <c r="R39" s="12">
        <v>136.451555384579</v>
      </c>
      <c r="S39" s="12">
        <v>255.768828918695</v>
      </c>
      <c r="T39" s="12">
        <v>749.75590701518</v>
      </c>
      <c r="U39" s="7">
        <v>185.285987503514</v>
      </c>
      <c r="V39" s="7">
        <v>41.5288581525121</v>
      </c>
      <c r="W39" s="7">
        <v>164.077092881184</v>
      </c>
    </row>
    <row r="40">
      <c r="A40" s="8">
        <v>41334.0</v>
      </c>
      <c r="B40" s="9">
        <f>IFERROR(__xludf.DUMMYFUNCTION("""COMPUTED_VALUE"""),2169.0)</f>
        <v>2169</v>
      </c>
      <c r="C40" s="12" t="s">
        <v>37</v>
      </c>
      <c r="D40" s="12">
        <v>122.431902430538</v>
      </c>
      <c r="E40" s="12">
        <v>2261.16666666667</v>
      </c>
      <c r="F40" s="12">
        <v>1554.19403875088</v>
      </c>
      <c r="G40" s="12">
        <v>1120.48447385142</v>
      </c>
      <c r="H40" s="12">
        <v>2274.06963966181</v>
      </c>
      <c r="I40" s="12">
        <v>100.346173328784</v>
      </c>
      <c r="J40" s="13">
        <v>473.365781658447</v>
      </c>
      <c r="K40" s="13">
        <v>141.688697051443</v>
      </c>
      <c r="L40" s="12">
        <v>2147.40244849333</v>
      </c>
      <c r="M40" s="12">
        <v>1327.16396752521</v>
      </c>
      <c r="N40" s="12">
        <v>2429.749134203</v>
      </c>
      <c r="O40" s="12">
        <v>1055.34230665077</v>
      </c>
      <c r="P40" s="12">
        <v>185.285987503514</v>
      </c>
      <c r="Q40" s="12">
        <v>214.492361035386</v>
      </c>
      <c r="R40" s="12">
        <v>2429.749134203</v>
      </c>
      <c r="S40" s="12">
        <v>252.672912184299</v>
      </c>
      <c r="T40" s="12">
        <v>1055.34230665077</v>
      </c>
      <c r="U40" s="7">
        <v>185.285987503514</v>
      </c>
      <c r="V40" s="7">
        <v>1474.96021799853</v>
      </c>
      <c r="W40" s="7">
        <v>214.492361035386</v>
      </c>
    </row>
    <row r="41">
      <c r="A41" s="8">
        <v>41365.0</v>
      </c>
      <c r="B41" s="9">
        <f>IFERROR(__xludf.DUMMYFUNCTION("""COMPUTED_VALUE"""),25.0)</f>
        <v>25</v>
      </c>
      <c r="C41" s="12" t="s">
        <v>38</v>
      </c>
      <c r="D41" s="12">
        <v>135.104629703265</v>
      </c>
      <c r="E41" s="12">
        <v>256.0</v>
      </c>
      <c r="F41" s="12">
        <v>103.166185214836</v>
      </c>
      <c r="G41" s="12">
        <v>1210.53253861851</v>
      </c>
      <c r="H41" s="12">
        <v>66.0</v>
      </c>
      <c r="I41" s="12">
        <v>-456.852534905123</v>
      </c>
      <c r="J41" s="13">
        <v>33.0</v>
      </c>
      <c r="K41" s="13">
        <v>10.6380160094625</v>
      </c>
      <c r="L41" s="12">
        <v>214.103287411846</v>
      </c>
      <c r="M41" s="12">
        <v>137.260379047132</v>
      </c>
      <c r="N41" s="12">
        <v>229.983482728659</v>
      </c>
      <c r="O41" s="12">
        <v>135.796404950867</v>
      </c>
      <c r="P41" s="12">
        <v>185.285987503514</v>
      </c>
      <c r="Q41" s="12">
        <v>119.025427911582</v>
      </c>
      <c r="R41" s="12">
        <v>229.983482728659</v>
      </c>
      <c r="S41" s="12">
        <v>286.574133616774</v>
      </c>
      <c r="T41" s="12">
        <v>135.796404950867</v>
      </c>
      <c r="U41" s="7">
        <v>185.285987503514</v>
      </c>
      <c r="V41" s="7">
        <v>1346.64605846759</v>
      </c>
      <c r="W41" s="7">
        <v>119.025427911582</v>
      </c>
    </row>
    <row r="42">
      <c r="A42" s="8">
        <v>41395.0</v>
      </c>
      <c r="B42" s="9"/>
      <c r="C42" s="12" t="s">
        <v>39</v>
      </c>
      <c r="D42" s="12">
        <v>124.504629703265</v>
      </c>
      <c r="E42" s="12">
        <v>224.0</v>
      </c>
      <c r="F42" s="12">
        <v>39.5360346356941</v>
      </c>
      <c r="G42" s="12">
        <v>252.973808125636</v>
      </c>
      <c r="H42" s="12">
        <v>74.9757387972901</v>
      </c>
      <c r="I42" s="12">
        <v>165.132576681748</v>
      </c>
      <c r="J42" s="13">
        <v>200.316086742584</v>
      </c>
      <c r="K42" s="13">
        <v>48.0086607325358</v>
      </c>
      <c r="L42" s="12">
        <v>274.932982522937</v>
      </c>
      <c r="M42" s="12">
        <v>168.916481076895</v>
      </c>
      <c r="N42" s="12">
        <v>145.872200356907</v>
      </c>
      <c r="O42" s="12">
        <v>274.399545865673</v>
      </c>
      <c r="P42" s="12">
        <v>185.285987503514</v>
      </c>
      <c r="Q42" s="12">
        <v>-175.357239724205</v>
      </c>
      <c r="R42" s="12">
        <v>145.872200356907</v>
      </c>
      <c r="S42" s="12">
        <v>331.03779570958</v>
      </c>
      <c r="T42" s="12">
        <v>274.399545865673</v>
      </c>
      <c r="U42" s="7">
        <v>185.285987503514</v>
      </c>
      <c r="V42" s="7">
        <v>207.525725068664</v>
      </c>
      <c r="W42" s="7">
        <v>-175.357239724205</v>
      </c>
    </row>
    <row r="43">
      <c r="A43" s="8">
        <v>41426.0</v>
      </c>
      <c r="B43" s="9">
        <f>IFERROR(__xludf.DUMMYFUNCTION("""COMPUTED_VALUE"""),25.0)</f>
        <v>25</v>
      </c>
      <c r="C43" s="12" t="s">
        <v>40</v>
      </c>
      <c r="D43" s="12">
        <v>111.602995289768</v>
      </c>
      <c r="E43" s="12">
        <v>224.0</v>
      </c>
      <c r="F43" s="12">
        <v>30.9360266875892</v>
      </c>
      <c r="G43" s="12">
        <v>104.365204494615</v>
      </c>
      <c r="H43" s="12">
        <v>53.5000170231822</v>
      </c>
      <c r="I43" s="12">
        <v>142.369292947968</v>
      </c>
      <c r="J43" s="13">
        <v>63.8727936670809</v>
      </c>
      <c r="K43" s="13">
        <v>21.8334465241801</v>
      </c>
      <c r="L43" s="12">
        <v>231.233271034987</v>
      </c>
      <c r="M43" s="12">
        <v>112.852767525207</v>
      </c>
      <c r="N43" s="12">
        <v>146.797118115433</v>
      </c>
      <c r="O43" s="12">
        <v>13.1808172898836</v>
      </c>
      <c r="P43" s="12">
        <v>185.285987503514</v>
      </c>
      <c r="Q43" s="12">
        <v>297.339537050015</v>
      </c>
      <c r="R43" s="12">
        <v>146.797118115433</v>
      </c>
      <c r="S43" s="12">
        <v>197.806574558578</v>
      </c>
      <c r="T43" s="12">
        <v>13.1808172898836</v>
      </c>
      <c r="U43" s="7">
        <v>185.285987503514</v>
      </c>
      <c r="V43" s="7">
        <v>35.428734003857</v>
      </c>
      <c r="W43" s="7">
        <v>297.339537050015</v>
      </c>
    </row>
    <row r="44">
      <c r="A44" s="8">
        <v>41456.0</v>
      </c>
      <c r="B44" s="9">
        <f>IFERROR(__xludf.DUMMYFUNCTION("""COMPUTED_VALUE"""),29.0)</f>
        <v>29</v>
      </c>
      <c r="C44" s="12" t="s">
        <v>27</v>
      </c>
      <c r="D44" s="12">
        <v>123.643048635241</v>
      </c>
      <c r="E44" s="12">
        <v>91.0</v>
      </c>
      <c r="F44" s="12">
        <v>110.108564811211</v>
      </c>
      <c r="G44" s="12">
        <v>96.9796259014317</v>
      </c>
      <c r="H44" s="12">
        <v>84.5429681076884</v>
      </c>
      <c r="I44" s="12">
        <v>117.553410567091</v>
      </c>
      <c r="J44" s="13">
        <v>224.617163997158</v>
      </c>
      <c r="K44" s="13">
        <v>35.1278749284126</v>
      </c>
      <c r="L44" s="12">
        <v>101.820322221695</v>
      </c>
      <c r="M44" s="12">
        <v>101.739567525207</v>
      </c>
      <c r="N44" s="12">
        <v>233.674495094614</v>
      </c>
      <c r="O44" s="12">
        <v>27.9151362679229</v>
      </c>
      <c r="P44" s="12">
        <v>185.285987503514</v>
      </c>
      <c r="Q44" s="12">
        <v>37.0748445000829</v>
      </c>
      <c r="R44" s="12">
        <v>233.674495094614</v>
      </c>
      <c r="S44" s="12">
        <v>157.350734307822</v>
      </c>
      <c r="T44" s="12">
        <v>27.9151362679229</v>
      </c>
      <c r="U44" s="7">
        <v>185.285987503514</v>
      </c>
      <c r="V44" s="7">
        <v>87.1773840560937</v>
      </c>
      <c r="W44" s="7">
        <v>37.0748445000829</v>
      </c>
    </row>
    <row r="45">
      <c r="A45" s="8">
        <v>41487.0</v>
      </c>
      <c r="B45" s="9">
        <f>IFERROR(__xludf.DUMMYFUNCTION("""COMPUTED_VALUE"""),7.0)</f>
        <v>7</v>
      </c>
      <c r="C45" s="12" t="s">
        <v>28</v>
      </c>
      <c r="D45" s="12">
        <v>118.534329493302</v>
      </c>
      <c r="E45" s="12">
        <v>29.8571428571429</v>
      </c>
      <c r="F45" s="12">
        <v>255.230138681681</v>
      </c>
      <c r="G45" s="12">
        <v>191.152228387011</v>
      </c>
      <c r="H45" s="12">
        <v>86.1426372432962</v>
      </c>
      <c r="I45" s="12">
        <v>123.80392345583</v>
      </c>
      <c r="J45" s="13">
        <v>305.85287952253</v>
      </c>
      <c r="K45" s="13">
        <v>39.7898910851523</v>
      </c>
      <c r="L45" s="12">
        <v>34.17406505728</v>
      </c>
      <c r="M45" s="12">
        <v>169.330367525207</v>
      </c>
      <c r="N45" s="12">
        <v>199.959192229198</v>
      </c>
      <c r="O45" s="12">
        <v>39.9313210497648</v>
      </c>
      <c r="P45" s="12">
        <v>185.285987503514</v>
      </c>
      <c r="Q45" s="12">
        <v>73.8880292806502</v>
      </c>
      <c r="R45" s="12">
        <v>199.959192229198</v>
      </c>
      <c r="S45" s="12">
        <v>210.091448986955</v>
      </c>
      <c r="T45" s="12">
        <v>39.9313210497648</v>
      </c>
      <c r="U45" s="7">
        <v>185.285987503514</v>
      </c>
      <c r="V45" s="7">
        <v>23.3212524926495</v>
      </c>
      <c r="W45" s="7">
        <v>73.8880292806502</v>
      </c>
    </row>
    <row r="46">
      <c r="A46" s="8">
        <v>41518.0</v>
      </c>
      <c r="B46" s="9">
        <f>IFERROR(__xludf.DUMMYFUNCTION("""COMPUTED_VALUE"""),29.0)</f>
        <v>29</v>
      </c>
      <c r="C46" s="12" t="s">
        <v>29</v>
      </c>
      <c r="D46" s="12">
        <v>131.614225703025</v>
      </c>
      <c r="E46" s="12">
        <v>36.0</v>
      </c>
      <c r="F46" s="12">
        <v>196.088669133775</v>
      </c>
      <c r="G46" s="12">
        <v>229.887386754609</v>
      </c>
      <c r="H46" s="12">
        <v>102.074170536634</v>
      </c>
      <c r="I46" s="12">
        <v>108.376219496294</v>
      </c>
      <c r="J46" s="13">
        <v>1437.92790061259</v>
      </c>
      <c r="K46" s="13">
        <v>52.7955840043707</v>
      </c>
      <c r="L46" s="12">
        <v>201.683003964218</v>
      </c>
      <c r="M46" s="12">
        <v>113.090527525207</v>
      </c>
      <c r="N46" s="12">
        <v>171.925469226349</v>
      </c>
      <c r="O46" s="12">
        <v>192.122496053406</v>
      </c>
      <c r="P46" s="12">
        <v>185.285987503514</v>
      </c>
      <c r="Q46" s="12">
        <v>397.91291194756</v>
      </c>
      <c r="R46" s="12">
        <v>171.925469226349</v>
      </c>
      <c r="S46" s="12">
        <v>143.517143103543</v>
      </c>
      <c r="T46" s="12">
        <v>192.122496053406</v>
      </c>
      <c r="U46" s="7">
        <v>185.285987503514</v>
      </c>
      <c r="V46" s="7">
        <v>143.113114315792</v>
      </c>
      <c r="W46" s="7">
        <v>397.91291194756</v>
      </c>
    </row>
    <row r="47">
      <c r="A47" s="8">
        <v>41548.0</v>
      </c>
      <c r="B47" s="9">
        <f>IFERROR(__xludf.DUMMYFUNCTION("""COMPUTED_VALUE"""),57.0)</f>
        <v>57</v>
      </c>
      <c r="C47" s="12" t="s">
        <v>30</v>
      </c>
      <c r="D47" s="12">
        <v>21.2222222222222</v>
      </c>
      <c r="E47" s="12">
        <v>32.125</v>
      </c>
      <c r="F47" s="12">
        <v>-134.221325573426</v>
      </c>
      <c r="G47" s="12">
        <v>152.441895976006</v>
      </c>
      <c r="H47" s="12">
        <v>89.9720232640521</v>
      </c>
      <c r="I47" s="12">
        <v>194.841054125741</v>
      </c>
      <c r="J47" s="13">
        <v>111.17430439442</v>
      </c>
      <c r="K47" s="13">
        <v>72.943548664187</v>
      </c>
      <c r="L47" s="12">
        <v>61.7464664278373</v>
      </c>
      <c r="M47" s="12">
        <v>532.165347525207</v>
      </c>
      <c r="N47" s="12">
        <v>233.217074847784</v>
      </c>
      <c r="O47" s="12">
        <v>60.4693626339761</v>
      </c>
      <c r="P47" s="12">
        <v>185.285987503514</v>
      </c>
      <c r="Q47" s="12">
        <v>143.650015358197</v>
      </c>
      <c r="R47" s="12">
        <v>233.217074847784</v>
      </c>
      <c r="S47" s="12">
        <v>158.650836572315</v>
      </c>
      <c r="T47" s="12">
        <v>60.4693626339761</v>
      </c>
      <c r="U47" s="7">
        <v>185.285987503514</v>
      </c>
      <c r="V47" s="7">
        <v>169.829876877067</v>
      </c>
      <c r="W47" s="7">
        <v>143.650015358197</v>
      </c>
    </row>
    <row r="48">
      <c r="A48" s="8">
        <v>41579.0</v>
      </c>
      <c r="B48" s="9">
        <f>IFERROR(__xludf.DUMMYFUNCTION("""COMPUTED_VALUE"""),35.0)</f>
        <v>35</v>
      </c>
      <c r="C48" s="12" t="s">
        <v>31</v>
      </c>
      <c r="D48" s="12">
        <v>21.4444444444444</v>
      </c>
      <c r="E48" s="12">
        <v>32.125</v>
      </c>
      <c r="F48" s="12">
        <v>-53.711606451247</v>
      </c>
      <c r="G48" s="12">
        <v>139.54692469622</v>
      </c>
      <c r="H48" s="12">
        <v>77.6021411971307</v>
      </c>
      <c r="I48" s="12">
        <v>245.941703143448</v>
      </c>
      <c r="J48" s="13">
        <v>152.845189662758</v>
      </c>
      <c r="K48" s="13">
        <v>80.7297858333761</v>
      </c>
      <c r="L48" s="12">
        <v>-49.3523778912493</v>
      </c>
      <c r="M48" s="12">
        <v>218.668639646829</v>
      </c>
      <c r="N48" s="12">
        <v>160.80246593669</v>
      </c>
      <c r="O48" s="12">
        <v>67.2391810576676</v>
      </c>
      <c r="P48" s="12">
        <v>185.285987503514</v>
      </c>
      <c r="Q48" s="12">
        <v>214.359491329343</v>
      </c>
      <c r="R48" s="12">
        <v>160.80246593669</v>
      </c>
      <c r="S48" s="12">
        <v>301.919365840127</v>
      </c>
      <c r="T48" s="12">
        <v>67.2391810576676</v>
      </c>
      <c r="U48" s="7">
        <v>185.285987503514</v>
      </c>
      <c r="V48" s="7">
        <v>42.7013366278956</v>
      </c>
      <c r="W48" s="7">
        <v>214.359491329343</v>
      </c>
    </row>
    <row r="49">
      <c r="A49" s="8">
        <v>41609.0</v>
      </c>
      <c r="B49" s="9">
        <f>IFERROR(__xludf.DUMMYFUNCTION("""COMPUTED_VALUE"""),45.0)</f>
        <v>45</v>
      </c>
      <c r="C49" s="12" t="s">
        <v>32</v>
      </c>
      <c r="D49" s="12">
        <v>29.8888888888889</v>
      </c>
      <c r="E49" s="12">
        <v>30.4444444444444</v>
      </c>
      <c r="F49" s="12">
        <v>82.3414814864298</v>
      </c>
      <c r="G49" s="12">
        <v>272.326850502652</v>
      </c>
      <c r="H49" s="12">
        <v>105.000901164705</v>
      </c>
      <c r="I49" s="12">
        <v>81.6869075784449</v>
      </c>
      <c r="J49" s="13">
        <v>76.6247707817378</v>
      </c>
      <c r="K49" s="13">
        <v>43.4765166425288</v>
      </c>
      <c r="L49" s="12">
        <v>-37.8302066277609</v>
      </c>
      <c r="M49" s="12">
        <v>139.801167525207</v>
      </c>
      <c r="N49" s="12">
        <v>373.346123561691</v>
      </c>
      <c r="O49" s="12">
        <v>20.3263472470411</v>
      </c>
      <c r="P49" s="12">
        <v>185.285987503514</v>
      </c>
      <c r="Q49" s="12">
        <v>-371.577890155158</v>
      </c>
      <c r="R49" s="12">
        <v>373.346123561691</v>
      </c>
      <c r="S49" s="12">
        <v>183.374283875916</v>
      </c>
      <c r="T49" s="12">
        <v>20.3263472470411</v>
      </c>
      <c r="U49" s="7">
        <v>185.285987503514</v>
      </c>
      <c r="V49" s="7">
        <v>59.2650984762864</v>
      </c>
      <c r="W49" s="7">
        <v>-371.577890155158</v>
      </c>
    </row>
    <row r="50">
      <c r="A50" s="8">
        <v>41640.0</v>
      </c>
      <c r="B50" s="9">
        <f>IFERROR(__xludf.DUMMYFUNCTION("""COMPUTED_VALUE"""),73.0)</f>
        <v>73</v>
      </c>
      <c r="C50" s="12" t="s">
        <v>33</v>
      </c>
      <c r="D50" s="12">
        <v>122.217859246322</v>
      </c>
      <c r="E50" s="12">
        <v>27.6</v>
      </c>
      <c r="F50" s="12">
        <v>161.884809328948</v>
      </c>
      <c r="G50" s="12">
        <v>212.307947892978</v>
      </c>
      <c r="H50" s="12">
        <v>93.3570367037925</v>
      </c>
      <c r="I50" s="12">
        <v>103.376069404442</v>
      </c>
      <c r="J50" s="13">
        <v>124.265964893198</v>
      </c>
      <c r="K50" s="13">
        <v>78.3216780754584</v>
      </c>
      <c r="L50" s="12">
        <v>31.8058255316041</v>
      </c>
      <c r="M50" s="12">
        <v>171.169767525207</v>
      </c>
      <c r="N50" s="12">
        <v>170.842787948835</v>
      </c>
      <c r="O50" s="12">
        <v>65.7619219906954</v>
      </c>
      <c r="P50" s="12">
        <v>185.285987503514</v>
      </c>
      <c r="Q50" s="12">
        <v>687.388284981841</v>
      </c>
      <c r="R50" s="12">
        <v>170.842787948835</v>
      </c>
      <c r="S50" s="12">
        <v>313.585765774739</v>
      </c>
      <c r="T50" s="12">
        <v>65.7619219906954</v>
      </c>
      <c r="U50" s="7">
        <v>185.285987503514</v>
      </c>
      <c r="V50" s="7">
        <v>90.4118749549903</v>
      </c>
      <c r="W50" s="7">
        <v>687.388284981841</v>
      </c>
    </row>
    <row r="51">
      <c r="A51" s="8">
        <v>41671.0</v>
      </c>
      <c r="B51" s="9">
        <f>IFERROR(__xludf.DUMMYFUNCTION("""COMPUTED_VALUE"""),839.0)</f>
        <v>839</v>
      </c>
      <c r="C51" s="12" t="s">
        <v>34</v>
      </c>
      <c r="D51" s="12">
        <v>116.421590999461</v>
      </c>
      <c r="E51" s="12">
        <v>120.0</v>
      </c>
      <c r="F51" s="12">
        <v>323.813331560087</v>
      </c>
      <c r="G51" s="12">
        <v>205.333333333333</v>
      </c>
      <c r="H51" s="12">
        <v>99.2316716304037</v>
      </c>
      <c r="I51" s="12">
        <v>380.928902412896</v>
      </c>
      <c r="J51" s="13">
        <v>47.2902361169666</v>
      </c>
      <c r="K51" s="13">
        <v>115.926729009059</v>
      </c>
      <c r="L51" s="12">
        <v>576.409987446062</v>
      </c>
      <c r="M51" s="12">
        <v>534.334527525207</v>
      </c>
      <c r="N51" s="12">
        <v>159.172556067997</v>
      </c>
      <c r="O51" s="12">
        <v>130.110698132542</v>
      </c>
      <c r="P51" s="12">
        <v>849.450676786648</v>
      </c>
      <c r="Q51" s="12">
        <v>576.664610717203</v>
      </c>
      <c r="R51" s="12">
        <v>159.172556067997</v>
      </c>
      <c r="S51" s="12">
        <v>290.461959966529</v>
      </c>
      <c r="T51" s="12">
        <v>130.110698132542</v>
      </c>
      <c r="U51" s="7">
        <v>849.450676786648</v>
      </c>
      <c r="V51" s="7">
        <v>657.894545322634</v>
      </c>
      <c r="W51" s="7">
        <v>576.664610717203</v>
      </c>
    </row>
    <row r="52">
      <c r="A52" s="8">
        <v>41699.0</v>
      </c>
      <c r="B52" s="9">
        <f>IFERROR(__xludf.DUMMYFUNCTION("""COMPUTED_VALUE"""),7723.0)</f>
        <v>7723</v>
      </c>
      <c r="C52" s="12" t="s">
        <v>35</v>
      </c>
      <c r="D52" s="12">
        <v>8058.03718990036</v>
      </c>
      <c r="E52" s="12">
        <v>104.0</v>
      </c>
      <c r="F52" s="12">
        <v>1844.10780070018</v>
      </c>
      <c r="G52" s="12">
        <v>155.38817426307</v>
      </c>
      <c r="H52" s="12">
        <v>7723.00180942175</v>
      </c>
      <c r="I52" s="12">
        <v>6858.34334526228</v>
      </c>
      <c r="J52" s="13">
        <v>56.2042268249223</v>
      </c>
      <c r="K52" s="13">
        <v>77.5646953715588</v>
      </c>
      <c r="L52" s="12">
        <v>7709.31097386336</v>
      </c>
      <c r="M52" s="12">
        <v>6855.93596752521</v>
      </c>
      <c r="N52" s="12">
        <v>7722.99825921177</v>
      </c>
      <c r="O52" s="12">
        <v>-26.8333333333333</v>
      </c>
      <c r="P52" s="12">
        <v>7868.74395906445</v>
      </c>
      <c r="Q52" s="12">
        <v>572.37650549409</v>
      </c>
      <c r="R52" s="12">
        <v>7722.99825921177</v>
      </c>
      <c r="S52" s="12">
        <v>170.754833743062</v>
      </c>
      <c r="T52" s="12">
        <v>-26.8333333333333</v>
      </c>
      <c r="U52" s="7">
        <v>7868.74395906445</v>
      </c>
      <c r="V52" s="7">
        <v>7718.8773657886</v>
      </c>
      <c r="W52" s="7">
        <v>572.37650549409</v>
      </c>
    </row>
    <row r="53">
      <c r="A53" s="8">
        <v>41730.0</v>
      </c>
      <c r="B53" s="9">
        <f>IFERROR(__xludf.DUMMYFUNCTION("""COMPUTED_VALUE"""),759.0)</f>
        <v>759</v>
      </c>
      <c r="C53" s="12" t="s">
        <v>36</v>
      </c>
      <c r="D53" s="12">
        <v>734.131087821602</v>
      </c>
      <c r="E53" s="12">
        <v>109.0</v>
      </c>
      <c r="F53" s="12">
        <v>199.219564351122</v>
      </c>
      <c r="G53" s="12">
        <v>337.332630655277</v>
      </c>
      <c r="H53" s="12">
        <v>752.974060268738</v>
      </c>
      <c r="I53" s="12">
        <v>-229.382781761222</v>
      </c>
      <c r="J53" s="13">
        <v>51.2308824848501</v>
      </c>
      <c r="K53" s="13">
        <v>66.7590284827416</v>
      </c>
      <c r="L53" s="12">
        <v>121.98735717958</v>
      </c>
      <c r="M53" s="12">
        <v>1314.54024436857</v>
      </c>
      <c r="N53" s="12">
        <v>514.024982091206</v>
      </c>
      <c r="O53" s="12">
        <v>-20.1666666666667</v>
      </c>
      <c r="P53" s="12">
        <v>1712.07493610104</v>
      </c>
      <c r="Q53" s="12">
        <v>2586.55888158561</v>
      </c>
      <c r="R53" s="12">
        <v>514.024982091206</v>
      </c>
      <c r="S53" s="12">
        <v>578.574973201187</v>
      </c>
      <c r="T53" s="12">
        <v>-20.1666666666667</v>
      </c>
      <c r="U53" s="7">
        <v>1712.07493610104</v>
      </c>
      <c r="V53" s="7">
        <v>97994.3683773952</v>
      </c>
      <c r="W53" s="7">
        <v>2586.55888158561</v>
      </c>
    </row>
    <row r="54">
      <c r="A54" s="8">
        <v>41760.0</v>
      </c>
      <c r="B54" s="9">
        <f>IFERROR(__xludf.DUMMYFUNCTION("""COMPUTED_VALUE"""),70.0)</f>
        <v>70</v>
      </c>
      <c r="C54" s="12" t="s">
        <v>37</v>
      </c>
      <c r="D54" s="12">
        <v>169.154140757513</v>
      </c>
      <c r="E54" s="12">
        <v>112.0</v>
      </c>
      <c r="F54" s="12">
        <v>105.985256700638</v>
      </c>
      <c r="G54" s="12">
        <v>219.298160005611</v>
      </c>
      <c r="H54" s="12">
        <v>242.692932989355</v>
      </c>
      <c r="I54" s="12">
        <v>-508.026834623544</v>
      </c>
      <c r="J54" s="13">
        <v>83.1137454367249</v>
      </c>
      <c r="K54" s="13">
        <v>32.0</v>
      </c>
      <c r="L54" s="12">
        <v>-12.5574378986344</v>
      </c>
      <c r="M54" s="12">
        <v>216.794773747548</v>
      </c>
      <c r="N54" s="12">
        <v>387.295834045235</v>
      </c>
      <c r="O54" s="12">
        <v>135.096337340788</v>
      </c>
      <c r="P54" s="12">
        <v>185.285987503514</v>
      </c>
      <c r="Q54" s="12">
        <v>125.491850113895</v>
      </c>
      <c r="R54" s="12">
        <v>387.295834045235</v>
      </c>
      <c r="S54" s="12">
        <v>67.695505764061</v>
      </c>
      <c r="T54" s="12">
        <v>135.096337340788</v>
      </c>
      <c r="U54" s="7">
        <v>185.285987503514</v>
      </c>
      <c r="V54" s="7">
        <v>416.083599013517</v>
      </c>
      <c r="W54" s="7">
        <v>125.491850113895</v>
      </c>
    </row>
    <row r="55">
      <c r="A55" s="8">
        <v>41791.0</v>
      </c>
      <c r="B55" s="9">
        <f>IFERROR(__xludf.DUMMYFUNCTION("""COMPUTED_VALUE"""),217.0)</f>
        <v>217</v>
      </c>
      <c r="C55" s="12" t="s">
        <v>38</v>
      </c>
      <c r="D55" s="12">
        <v>175.205210990277</v>
      </c>
      <c r="E55" s="12">
        <v>102.0</v>
      </c>
      <c r="F55" s="12">
        <v>-6.49445571486423</v>
      </c>
      <c r="G55" s="12">
        <v>166.524121520701</v>
      </c>
      <c r="H55" s="12">
        <v>242.892932989355</v>
      </c>
      <c r="I55" s="12">
        <v>-414.740259410447</v>
      </c>
      <c r="J55" s="13">
        <v>165.845452927761</v>
      </c>
      <c r="K55" s="13">
        <v>296.378163137891</v>
      </c>
      <c r="L55" s="12">
        <v>305.607930167135</v>
      </c>
      <c r="M55" s="12">
        <v>485.277916962063</v>
      </c>
      <c r="N55" s="12">
        <v>336.485993896149</v>
      </c>
      <c r="O55" s="12">
        <v>360.217890135517</v>
      </c>
      <c r="P55" s="12">
        <v>185.757054430095</v>
      </c>
      <c r="Q55" s="12">
        <v>219.005271940392</v>
      </c>
      <c r="R55" s="12">
        <v>336.485993896149</v>
      </c>
      <c r="S55" s="12">
        <v>433.884810512002</v>
      </c>
      <c r="T55" s="12">
        <v>360.217890135517</v>
      </c>
      <c r="U55" s="7">
        <v>185.757054430095</v>
      </c>
      <c r="V55" s="7">
        <v>104.028617934703</v>
      </c>
      <c r="W55" s="7">
        <v>219.005271940392</v>
      </c>
    </row>
    <row r="56">
      <c r="A56" s="8">
        <v>41821.0</v>
      </c>
      <c r="B56" s="9">
        <f>IFERROR(__xludf.DUMMYFUNCTION("""COMPUTED_VALUE"""),461.0)</f>
        <v>461</v>
      </c>
      <c r="C56" s="12" t="s">
        <v>39</v>
      </c>
      <c r="D56" s="12">
        <v>134.753402190676</v>
      </c>
      <c r="E56" s="12">
        <v>109.5</v>
      </c>
      <c r="F56" s="12">
        <v>146.586227382636</v>
      </c>
      <c r="G56" s="12">
        <v>320.079411764706</v>
      </c>
      <c r="H56" s="12">
        <v>236.892932989355</v>
      </c>
      <c r="I56" s="12">
        <v>-303.693309038951</v>
      </c>
      <c r="J56" s="13">
        <v>110.0</v>
      </c>
      <c r="K56" s="13">
        <v>85.6580295064</v>
      </c>
      <c r="L56" s="12">
        <v>163.607279860157</v>
      </c>
      <c r="M56" s="12">
        <v>107.493167525207</v>
      </c>
      <c r="N56" s="12">
        <v>140.077098858893</v>
      </c>
      <c r="O56" s="12">
        <v>53.64167752022</v>
      </c>
      <c r="P56" s="12">
        <v>240.331221851603</v>
      </c>
      <c r="Q56" s="12">
        <v>503.813401906076</v>
      </c>
      <c r="R56" s="12">
        <v>140.077098858893</v>
      </c>
      <c r="S56" s="12">
        <v>107.410197695356</v>
      </c>
      <c r="T56" s="12">
        <v>53.64167752022</v>
      </c>
      <c r="U56" s="7">
        <v>240.331221851603</v>
      </c>
      <c r="V56" s="7">
        <v>2658.33945095949</v>
      </c>
      <c r="W56" s="7">
        <v>503.813401906076</v>
      </c>
    </row>
    <row r="57">
      <c r="A57" s="8">
        <v>41852.0</v>
      </c>
      <c r="B57" s="9">
        <f>IFERROR(__xludf.DUMMYFUNCTION("""COMPUTED_VALUE"""),449.0)</f>
        <v>449</v>
      </c>
      <c r="C57" s="12" t="s">
        <v>40</v>
      </c>
      <c r="D57" s="12">
        <v>161.684736394211</v>
      </c>
      <c r="E57" s="12">
        <v>108.5</v>
      </c>
      <c r="F57" s="12">
        <v>188.202883309258</v>
      </c>
      <c r="G57" s="12">
        <v>269.845588235294</v>
      </c>
      <c r="H57" s="12">
        <v>130.0</v>
      </c>
      <c r="I57" s="12">
        <v>-143.269297045373</v>
      </c>
      <c r="J57" s="13">
        <v>151.2</v>
      </c>
      <c r="K57" s="13">
        <v>69.0645415602123</v>
      </c>
      <c r="L57" s="12">
        <v>127.485882115575</v>
      </c>
      <c r="M57" s="12">
        <v>165.218367525207</v>
      </c>
      <c r="N57" s="12">
        <v>139.442055130499</v>
      </c>
      <c r="O57" s="12">
        <v>16.0</v>
      </c>
      <c r="P57" s="12">
        <v>185.285987503514</v>
      </c>
      <c r="Q57" s="12">
        <v>1039.25</v>
      </c>
      <c r="R57" s="12">
        <v>139.442055130499</v>
      </c>
      <c r="S57" s="12">
        <v>270.760639552637</v>
      </c>
      <c r="T57" s="12">
        <v>16.0</v>
      </c>
      <c r="U57" s="7">
        <v>185.285987503514</v>
      </c>
      <c r="V57" s="7">
        <v>40.6666666666667</v>
      </c>
      <c r="W57" s="7">
        <v>1039.25</v>
      </c>
    </row>
    <row r="58">
      <c r="A58" s="8">
        <v>41883.0</v>
      </c>
      <c r="B58" s="9">
        <f>IFERROR(__xludf.DUMMYFUNCTION("""COMPUTED_VALUE"""),157.0)</f>
        <v>157</v>
      </c>
      <c r="C58" s="12" t="s">
        <v>27</v>
      </c>
      <c r="D58" s="12">
        <v>137.453402190676</v>
      </c>
      <c r="E58" s="12">
        <v>128.0</v>
      </c>
      <c r="F58" s="12">
        <v>108.341281954943</v>
      </c>
      <c r="G58" s="12">
        <v>110.117647058824</v>
      </c>
      <c r="H58" s="12">
        <v>108.5</v>
      </c>
      <c r="I58" s="12">
        <v>-467.202239157923</v>
      </c>
      <c r="J58" s="13">
        <v>75.6</v>
      </c>
      <c r="K58" s="13">
        <v>9.06880648777748</v>
      </c>
      <c r="L58" s="12">
        <v>143.446642375971</v>
      </c>
      <c r="M58" s="12">
        <v>194.672367525207</v>
      </c>
      <c r="N58" s="12">
        <v>145.29718497842</v>
      </c>
      <c r="O58" s="12">
        <v>15.4068817242508</v>
      </c>
      <c r="P58" s="12">
        <v>185.285987503514</v>
      </c>
      <c r="Q58" s="12">
        <v>409.0</v>
      </c>
      <c r="R58" s="12">
        <v>145.29718497842</v>
      </c>
      <c r="S58" s="12">
        <v>411.223085078598</v>
      </c>
      <c r="T58" s="12">
        <v>15.4068817242508</v>
      </c>
      <c r="U58" s="7">
        <v>185.285987503514</v>
      </c>
      <c r="V58" s="7">
        <v>276.271674405739</v>
      </c>
      <c r="W58" s="7">
        <v>409.0</v>
      </c>
    </row>
    <row r="59">
      <c r="A59" s="8">
        <v>41913.0</v>
      </c>
      <c r="B59" s="9">
        <f>IFERROR(__xludf.DUMMYFUNCTION("""COMPUTED_VALUE"""),68.0)</f>
        <v>68</v>
      </c>
      <c r="C59" s="12" t="s">
        <v>28</v>
      </c>
      <c r="D59" s="12">
        <v>160.263755746112</v>
      </c>
      <c r="E59" s="12">
        <v>68.0</v>
      </c>
      <c r="F59" s="12">
        <v>93.8177042029583</v>
      </c>
      <c r="G59" s="12">
        <v>89.9411764705882</v>
      </c>
      <c r="H59" s="12">
        <v>142.4</v>
      </c>
      <c r="I59" s="12">
        <v>-526.782820302686</v>
      </c>
      <c r="J59" s="13">
        <v>352.8</v>
      </c>
      <c r="K59" s="13">
        <v>25.0</v>
      </c>
      <c r="L59" s="12">
        <v>250.663540477403</v>
      </c>
      <c r="M59" s="12">
        <v>214.596927525207</v>
      </c>
      <c r="N59" s="12">
        <v>140.385051062784</v>
      </c>
      <c r="O59" s="12">
        <v>86.0323442816388</v>
      </c>
      <c r="P59" s="12">
        <v>185.285987503514</v>
      </c>
      <c r="Q59" s="12">
        <v>366.5625</v>
      </c>
      <c r="R59" s="12">
        <v>140.385051062784</v>
      </c>
      <c r="S59" s="12">
        <v>320.263208735657</v>
      </c>
      <c r="T59" s="12">
        <v>86.0323442816388</v>
      </c>
      <c r="U59" s="7">
        <v>185.285987503514</v>
      </c>
      <c r="V59" s="7">
        <v>14.0</v>
      </c>
      <c r="W59" s="7">
        <v>366.5625</v>
      </c>
    </row>
    <row r="60">
      <c r="A60" s="8">
        <v>41944.0</v>
      </c>
      <c r="B60" s="9">
        <f>IFERROR(__xludf.DUMMYFUNCTION("""COMPUTED_VALUE"""),242.0)</f>
        <v>242</v>
      </c>
      <c r="C60" s="12" t="s">
        <v>29</v>
      </c>
      <c r="D60" s="12">
        <v>83.8764731476494</v>
      </c>
      <c r="E60" s="12">
        <v>27.75</v>
      </c>
      <c r="F60" s="12">
        <v>238.499983461135</v>
      </c>
      <c r="G60" s="12">
        <v>154.193384760183</v>
      </c>
      <c r="H60" s="12">
        <v>75.0</v>
      </c>
      <c r="I60" s="12">
        <v>291.696171736727</v>
      </c>
      <c r="J60" s="13">
        <v>258.754165918312</v>
      </c>
      <c r="K60" s="13">
        <v>105.392901647702</v>
      </c>
      <c r="L60" s="12">
        <v>-52.3295286519101</v>
      </c>
      <c r="M60" s="12">
        <v>188.353857500426</v>
      </c>
      <c r="N60" s="12">
        <v>162.637621994901</v>
      </c>
      <c r="O60" s="12">
        <v>124.739967334728</v>
      </c>
      <c r="P60" s="12">
        <v>432.637742520099</v>
      </c>
      <c r="Q60" s="12">
        <v>206.468871731054</v>
      </c>
      <c r="R60" s="12">
        <v>162.637621994901</v>
      </c>
      <c r="S60" s="12">
        <v>5222.58230973779</v>
      </c>
      <c r="T60" s="12">
        <v>124.739967334728</v>
      </c>
      <c r="U60" s="7">
        <v>432.637742520099</v>
      </c>
      <c r="V60" s="7">
        <v>17.0</v>
      </c>
      <c r="W60" s="7">
        <v>206.468871731054</v>
      </c>
    </row>
    <row r="61">
      <c r="A61" s="8">
        <v>41974.0</v>
      </c>
      <c r="B61" s="9">
        <f>IFERROR(__xludf.DUMMYFUNCTION("""COMPUTED_VALUE"""),847.0)</f>
        <v>847</v>
      </c>
      <c r="C61" s="12" t="s">
        <v>30</v>
      </c>
      <c r="D61" s="12">
        <v>157.054763066947</v>
      </c>
      <c r="E61" s="12">
        <v>101.333333333333</v>
      </c>
      <c r="F61" s="12">
        <v>154.946204742498</v>
      </c>
      <c r="G61" s="12">
        <v>724.280773109636</v>
      </c>
      <c r="H61" s="12">
        <v>143.5</v>
      </c>
      <c r="I61" s="12">
        <v>-69.1929914367763</v>
      </c>
      <c r="J61" s="13">
        <v>418.511482340012</v>
      </c>
      <c r="K61" s="13">
        <v>57.7108355744841</v>
      </c>
      <c r="L61" s="12">
        <v>67.7723200890869</v>
      </c>
      <c r="M61" s="12">
        <v>145.427615464702</v>
      </c>
      <c r="N61" s="12">
        <v>880.616614492546</v>
      </c>
      <c r="O61" s="12">
        <v>662.665383779718</v>
      </c>
      <c r="P61" s="12">
        <v>185.285987503514</v>
      </c>
      <c r="Q61" s="12">
        <v>120.134416216863</v>
      </c>
      <c r="R61" s="12">
        <v>880.616614492546</v>
      </c>
      <c r="S61" s="12">
        <v>5185.02077127625</v>
      </c>
      <c r="T61" s="12">
        <v>662.665383779718</v>
      </c>
      <c r="U61" s="7">
        <v>185.285987503514</v>
      </c>
      <c r="V61" s="7">
        <v>9.0</v>
      </c>
      <c r="W61" s="7">
        <v>120.134416216863</v>
      </c>
    </row>
    <row r="62">
      <c r="A62" s="8">
        <v>42005.0</v>
      </c>
      <c r="B62" s="9">
        <f>IFERROR(__xludf.DUMMYFUNCTION("""COMPUTED_VALUE"""),102.0)</f>
        <v>102</v>
      </c>
      <c r="C62" s="12" t="s">
        <v>31</v>
      </c>
      <c r="D62" s="12">
        <v>5.5</v>
      </c>
      <c r="E62" s="12">
        <v>43.5</v>
      </c>
      <c r="F62" s="12">
        <v>119.268187153284</v>
      </c>
      <c r="G62" s="12">
        <v>203.216491475639</v>
      </c>
      <c r="H62" s="12">
        <v>118.7</v>
      </c>
      <c r="I62" s="12">
        <v>-236.772261239657</v>
      </c>
      <c r="J62" s="13">
        <v>334.396557609878</v>
      </c>
      <c r="K62" s="13">
        <v>32.0392120627675</v>
      </c>
      <c r="L62" s="12">
        <v>70.8091790764082</v>
      </c>
      <c r="M62" s="12">
        <v>96.136767525207</v>
      </c>
      <c r="N62" s="12">
        <v>165.637276896545</v>
      </c>
      <c r="O62" s="12">
        <v>49.3631761112856</v>
      </c>
      <c r="P62" s="12">
        <v>185.285987503514</v>
      </c>
      <c r="Q62" s="12">
        <v>504.79147440023</v>
      </c>
      <c r="R62" s="12">
        <v>165.637276896545</v>
      </c>
      <c r="S62" s="12">
        <v>789.575978309555</v>
      </c>
      <c r="T62" s="12">
        <v>49.3631761112856</v>
      </c>
      <c r="U62" s="7">
        <v>185.285987503514</v>
      </c>
      <c r="V62" s="7">
        <v>23.0</v>
      </c>
      <c r="W62" s="7">
        <v>504.79147440023</v>
      </c>
    </row>
    <row r="63">
      <c r="A63" s="8">
        <v>42036.0</v>
      </c>
      <c r="B63" s="9">
        <f>IFERROR(__xludf.DUMMYFUNCTION("""COMPUTED_VALUE"""),60.0)</f>
        <v>60</v>
      </c>
      <c r="C63" s="12" t="s">
        <v>32</v>
      </c>
      <c r="D63" s="12">
        <v>142.062121332615</v>
      </c>
      <c r="E63" s="12">
        <v>45.5</v>
      </c>
      <c r="F63" s="12">
        <v>87.1197010197957</v>
      </c>
      <c r="G63" s="12">
        <v>251.354777199553</v>
      </c>
      <c r="H63" s="12">
        <v>108.000156400486</v>
      </c>
      <c r="I63" s="12">
        <v>78.1193597603249</v>
      </c>
      <c r="J63" s="13">
        <v>119.387167010593</v>
      </c>
      <c r="K63" s="13">
        <v>57.0948347966866</v>
      </c>
      <c r="L63" s="12">
        <v>325.803811264021</v>
      </c>
      <c r="M63" s="12">
        <v>96.136767525207</v>
      </c>
      <c r="N63" s="12">
        <v>190.482026248141</v>
      </c>
      <c r="O63" s="12">
        <v>49.2986442608457</v>
      </c>
      <c r="P63" s="12">
        <v>185.285987503514</v>
      </c>
      <c r="Q63" s="12">
        <v>405.0625</v>
      </c>
      <c r="R63" s="12">
        <v>190.482026248141</v>
      </c>
      <c r="S63" s="12">
        <v>5160.7746174301</v>
      </c>
      <c r="T63" s="12">
        <v>49.2986442608457</v>
      </c>
      <c r="U63" s="7">
        <v>185.285987503514</v>
      </c>
      <c r="V63" s="7">
        <v>52.448924049049</v>
      </c>
      <c r="W63" s="7">
        <v>405.0625</v>
      </c>
    </row>
    <row r="64">
      <c r="A64" s="8">
        <v>42064.0</v>
      </c>
      <c r="B64" s="9">
        <f>IFERROR(__xludf.DUMMYFUNCTION("""COMPUTED_VALUE"""),145.0)</f>
        <v>145</v>
      </c>
      <c r="C64" s="12" t="s">
        <v>33</v>
      </c>
      <c r="D64" s="12">
        <v>149.623428863413</v>
      </c>
      <c r="E64" s="12">
        <v>69.0</v>
      </c>
      <c r="F64" s="12">
        <v>98.8415799415693</v>
      </c>
      <c r="G64" s="12">
        <v>134.870123367075</v>
      </c>
      <c r="H64" s="12">
        <v>181.088414206564</v>
      </c>
      <c r="I64" s="12">
        <v>140.950429526686</v>
      </c>
      <c r="J64" s="13">
        <v>881.065810617794</v>
      </c>
      <c r="K64" s="13">
        <v>55.129087437114</v>
      </c>
      <c r="L64" s="12">
        <v>14.0111118662539</v>
      </c>
      <c r="M64" s="12">
        <v>96.136767525207</v>
      </c>
      <c r="N64" s="12">
        <v>151.984291479552</v>
      </c>
      <c r="O64" s="12">
        <v>76.9690249180919</v>
      </c>
      <c r="P64" s="12">
        <v>185.285987503514</v>
      </c>
      <c r="Q64" s="12">
        <v>137.987378765766</v>
      </c>
      <c r="R64" s="12">
        <v>151.984291479552</v>
      </c>
      <c r="S64" s="12">
        <v>5208.31307896856</v>
      </c>
      <c r="T64" s="12">
        <v>76.9690249180919</v>
      </c>
      <c r="U64" s="7">
        <v>185.285987503514</v>
      </c>
      <c r="V64" s="7">
        <v>87.6508127922783</v>
      </c>
      <c r="W64" s="7">
        <v>137.987378765766</v>
      </c>
    </row>
    <row r="65">
      <c r="A65" s="8">
        <v>42095.0</v>
      </c>
      <c r="B65" s="9">
        <f>IFERROR(__xludf.DUMMYFUNCTION("""COMPUTED_VALUE"""),470.0)</f>
        <v>470</v>
      </c>
      <c r="C65" s="12" t="s">
        <v>34</v>
      </c>
      <c r="D65" s="12">
        <v>167.688187579356</v>
      </c>
      <c r="E65" s="12">
        <v>111.0</v>
      </c>
      <c r="F65" s="12">
        <v>255.950843297098</v>
      </c>
      <c r="G65" s="12">
        <v>223.808927966432</v>
      </c>
      <c r="H65" s="12">
        <v>171.3</v>
      </c>
      <c r="I65" s="12">
        <v>304.326209097918</v>
      </c>
      <c r="J65" s="13">
        <v>515.313846760974</v>
      </c>
      <c r="K65" s="13">
        <v>49.1053307160014</v>
      </c>
      <c r="L65" s="12">
        <v>24.2447125992915</v>
      </c>
      <c r="M65" s="12">
        <v>96.136767525207</v>
      </c>
      <c r="N65" s="12">
        <v>154.420321994052</v>
      </c>
      <c r="O65" s="12">
        <v>159.294832675456</v>
      </c>
      <c r="P65" s="12">
        <v>185.285987503514</v>
      </c>
      <c r="Q65" s="12">
        <v>1769.25</v>
      </c>
      <c r="R65" s="12">
        <v>154.420321994052</v>
      </c>
      <c r="S65" s="12">
        <v>913.829824463402</v>
      </c>
      <c r="T65" s="12">
        <v>159.294832675456</v>
      </c>
      <c r="U65" s="7">
        <v>185.285987503514</v>
      </c>
      <c r="V65" s="7">
        <v>441.5</v>
      </c>
      <c r="W65" s="7">
        <v>1769.25</v>
      </c>
    </row>
    <row r="66">
      <c r="A66" s="8">
        <v>42125.0</v>
      </c>
      <c r="B66" s="9">
        <f>IFERROR(__xludf.DUMMYFUNCTION("""COMPUTED_VALUE"""),135.0)</f>
        <v>135</v>
      </c>
      <c r="C66" s="12" t="s">
        <v>35</v>
      </c>
      <c r="D66" s="12">
        <v>194.161847795389</v>
      </c>
      <c r="E66" s="12">
        <v>134.0</v>
      </c>
      <c r="F66" s="12">
        <v>161.696234042635</v>
      </c>
      <c r="G66" s="12">
        <v>133.656848099474</v>
      </c>
      <c r="H66" s="12">
        <v>137.2</v>
      </c>
      <c r="I66" s="12">
        <v>-566.323491269192</v>
      </c>
      <c r="J66" s="13">
        <v>132.645082656737</v>
      </c>
      <c r="K66" s="13">
        <v>78.7878308722969</v>
      </c>
      <c r="L66" s="12">
        <v>130.646782454699</v>
      </c>
      <c r="M66" s="12">
        <v>136.273375611309</v>
      </c>
      <c r="N66" s="12">
        <v>152.797393865789</v>
      </c>
      <c r="O66" s="12">
        <v>154.670387203018</v>
      </c>
      <c r="P66" s="12">
        <v>185.285987503514</v>
      </c>
      <c r="Q66" s="12">
        <v>95.8529463515465</v>
      </c>
      <c r="R66" s="12">
        <v>152.797393865789</v>
      </c>
      <c r="S66" s="12">
        <v>912.152901386479</v>
      </c>
      <c r="T66" s="12">
        <v>154.670387203018</v>
      </c>
      <c r="U66" s="7">
        <v>185.285987503514</v>
      </c>
      <c r="V66" s="7">
        <v>98.4</v>
      </c>
      <c r="W66" s="7">
        <v>95.8529463515465</v>
      </c>
    </row>
    <row r="67">
      <c r="A67" s="8">
        <v>42156.0</v>
      </c>
      <c r="B67" s="9">
        <f>IFERROR(__xludf.DUMMYFUNCTION("""COMPUTED_VALUE"""),98.0)</f>
        <v>98</v>
      </c>
      <c r="C67" s="12" t="s">
        <v>36</v>
      </c>
      <c r="D67" s="12">
        <v>218.644135974285</v>
      </c>
      <c r="E67" s="12">
        <v>254.0</v>
      </c>
      <c r="F67" s="12">
        <v>300.979360588202</v>
      </c>
      <c r="G67" s="12">
        <v>182.31805016637</v>
      </c>
      <c r="H67" s="12">
        <v>154.0</v>
      </c>
      <c r="I67" s="12">
        <v>-649.823491269192</v>
      </c>
      <c r="J67" s="13">
        <v>292.504403800815</v>
      </c>
      <c r="K67" s="13">
        <v>126.565706919245</v>
      </c>
      <c r="L67" s="12">
        <v>246.682661904303</v>
      </c>
      <c r="M67" s="12">
        <v>143.747487525207</v>
      </c>
      <c r="N67" s="12">
        <v>136.944068556587</v>
      </c>
      <c r="O67" s="12">
        <v>10.9644040455654</v>
      </c>
      <c r="P67" s="12">
        <v>185.285987503514</v>
      </c>
      <c r="Q67" s="12">
        <v>78.4160728106239</v>
      </c>
      <c r="R67" s="12">
        <v>136.944068556587</v>
      </c>
      <c r="S67" s="12">
        <v>5241.26692512241</v>
      </c>
      <c r="T67" s="12">
        <v>10.9644040455654</v>
      </c>
      <c r="U67" s="7">
        <v>185.285987503514</v>
      </c>
      <c r="V67" s="7">
        <v>203.236267412913</v>
      </c>
      <c r="W67" s="7">
        <v>78.4160728106239</v>
      </c>
    </row>
    <row r="68">
      <c r="A68" s="8">
        <v>42186.0</v>
      </c>
      <c r="B68" s="9">
        <f>IFERROR(__xludf.DUMMYFUNCTION("""COMPUTED_VALUE"""),209.0)</f>
        <v>209</v>
      </c>
      <c r="C68" s="12" t="s">
        <v>37</v>
      </c>
      <c r="D68" s="12">
        <v>157.181467567216</v>
      </c>
      <c r="E68" s="12">
        <v>740.1</v>
      </c>
      <c r="F68" s="12">
        <v>169.752276997851</v>
      </c>
      <c r="G68" s="12">
        <v>55.2907268101119</v>
      </c>
      <c r="H68" s="12">
        <v>103.0</v>
      </c>
      <c r="I68" s="12">
        <v>-633.170805088919</v>
      </c>
      <c r="J68" s="13">
        <v>157.648111835355</v>
      </c>
      <c r="K68" s="13">
        <v>85.0850447297873</v>
      </c>
      <c r="L68" s="12">
        <v>66.6878636158629</v>
      </c>
      <c r="M68" s="12">
        <v>107.478927525207</v>
      </c>
      <c r="N68" s="12">
        <v>152.672382224231</v>
      </c>
      <c r="O68" s="12">
        <v>56.4173574166058</v>
      </c>
      <c r="P68" s="12">
        <v>185.285987503514</v>
      </c>
      <c r="Q68" s="12">
        <v>200.457688820198</v>
      </c>
      <c r="R68" s="12">
        <v>152.672382224231</v>
      </c>
      <c r="S68" s="12">
        <v>355.14013181258</v>
      </c>
      <c r="T68" s="12">
        <v>56.4173574166058</v>
      </c>
      <c r="U68" s="7">
        <v>185.285987503514</v>
      </c>
      <c r="V68" s="7">
        <v>25.0</v>
      </c>
      <c r="W68" s="7">
        <v>200.457688820198</v>
      </c>
    </row>
    <row r="69">
      <c r="A69" s="8">
        <v>42217.0</v>
      </c>
      <c r="B69" s="9">
        <f>IFERROR(__xludf.DUMMYFUNCTION("""COMPUTED_VALUE"""),769.0)</f>
        <v>769</v>
      </c>
      <c r="C69" s="12" t="s">
        <v>38</v>
      </c>
      <c r="D69" s="12">
        <v>143.278016382071</v>
      </c>
      <c r="E69" s="12">
        <v>154.0</v>
      </c>
      <c r="F69" s="12">
        <v>142.620537697226</v>
      </c>
      <c r="G69" s="12">
        <v>101.779636130093</v>
      </c>
      <c r="H69" s="12">
        <v>103.3</v>
      </c>
      <c r="I69" s="12">
        <v>-660.823491269192</v>
      </c>
      <c r="J69" s="13">
        <v>543.053728295902</v>
      </c>
      <c r="K69" s="13">
        <v>201.340848753608</v>
      </c>
      <c r="L69" s="12">
        <v>161.914736923114</v>
      </c>
      <c r="M69" s="12">
        <v>112.136767525207</v>
      </c>
      <c r="N69" s="12">
        <v>294.362144898695</v>
      </c>
      <c r="O69" s="12">
        <v>72.5125120960829</v>
      </c>
      <c r="P69" s="12">
        <v>185.285987503514</v>
      </c>
      <c r="Q69" s="12">
        <v>764.117692178859</v>
      </c>
      <c r="R69" s="12">
        <v>294.362144898695</v>
      </c>
      <c r="S69" s="12">
        <v>298.176696045369</v>
      </c>
      <c r="T69" s="12">
        <v>72.5125120960829</v>
      </c>
      <c r="U69" s="7">
        <v>185.285987503514</v>
      </c>
      <c r="V69" s="7">
        <v>192.0</v>
      </c>
      <c r="W69" s="7">
        <v>764.117692178859</v>
      </c>
    </row>
    <row r="70">
      <c r="A70" s="8">
        <v>42248.0</v>
      </c>
      <c r="B70" s="9">
        <f>IFERROR(__xludf.DUMMYFUNCTION("""COMPUTED_VALUE"""),251.0)</f>
        <v>251</v>
      </c>
      <c r="C70" s="12" t="s">
        <v>39</v>
      </c>
      <c r="D70" s="12">
        <v>163.860719433923</v>
      </c>
      <c r="E70" s="12">
        <v>311.0</v>
      </c>
      <c r="F70" s="12">
        <v>328.407180307463</v>
      </c>
      <c r="G70" s="12">
        <v>777.205800059663</v>
      </c>
      <c r="H70" s="12">
        <v>124.4</v>
      </c>
      <c r="I70" s="12">
        <v>-542.405395239053</v>
      </c>
      <c r="J70" s="13">
        <v>338.014412009722</v>
      </c>
      <c r="K70" s="13">
        <v>87.8455092754926</v>
      </c>
      <c r="L70" s="12">
        <v>441.49376716186</v>
      </c>
      <c r="M70" s="12">
        <v>114.99850171071</v>
      </c>
      <c r="N70" s="12">
        <v>143.366160078643</v>
      </c>
      <c r="O70" s="12">
        <v>42.6717711884283</v>
      </c>
      <c r="P70" s="12">
        <v>185.285987503514</v>
      </c>
      <c r="Q70" s="12">
        <v>427.092733144518</v>
      </c>
      <c r="R70" s="12">
        <v>143.366160078643</v>
      </c>
      <c r="S70" s="12">
        <v>290.65608165749</v>
      </c>
      <c r="T70" s="12">
        <v>42.6717711884283</v>
      </c>
      <c r="U70" s="7">
        <v>185.285987503514</v>
      </c>
      <c r="V70" s="7">
        <v>267.2</v>
      </c>
      <c r="W70" s="7">
        <v>427.092733144518</v>
      </c>
    </row>
    <row r="71">
      <c r="A71" s="8">
        <v>42278.0</v>
      </c>
      <c r="B71" s="9">
        <f>IFERROR(__xludf.DUMMYFUNCTION("""COMPUTED_VALUE"""),260.0)</f>
        <v>260</v>
      </c>
      <c r="C71" s="12" t="s">
        <v>40</v>
      </c>
      <c r="D71" s="12">
        <v>400.107005051824</v>
      </c>
      <c r="E71" s="12">
        <v>263.0</v>
      </c>
      <c r="F71" s="12">
        <v>336.945447484668</v>
      </c>
      <c r="G71" s="12">
        <v>120.419762534079</v>
      </c>
      <c r="H71" s="12">
        <v>147.1</v>
      </c>
      <c r="I71" s="12">
        <v>-582.867840106746</v>
      </c>
      <c r="J71" s="13">
        <v>464.458848634833</v>
      </c>
      <c r="K71" s="13">
        <v>210.617667057966</v>
      </c>
      <c r="L71" s="12">
        <v>293.447995847724</v>
      </c>
      <c r="M71" s="12">
        <v>96.136767525207</v>
      </c>
      <c r="N71" s="12">
        <v>140.652140982574</v>
      </c>
      <c r="O71" s="12">
        <v>39.9607085659373</v>
      </c>
      <c r="P71" s="12">
        <v>185.285987503514</v>
      </c>
      <c r="Q71" s="12">
        <v>146.733107643358</v>
      </c>
      <c r="R71" s="12">
        <v>140.652140982574</v>
      </c>
      <c r="S71" s="12">
        <v>288.648328579119</v>
      </c>
      <c r="T71" s="12">
        <v>39.9607085659373</v>
      </c>
      <c r="U71" s="7">
        <v>185.285987503514</v>
      </c>
      <c r="V71" s="7">
        <v>171.0</v>
      </c>
      <c r="W71" s="7">
        <v>146.733107643358</v>
      </c>
    </row>
    <row r="72">
      <c r="A72" s="8">
        <v>42309.0</v>
      </c>
      <c r="B72" s="9">
        <f>IFERROR(__xludf.DUMMYFUNCTION("""COMPUTED_VALUE"""),2646.0)</f>
        <v>2646</v>
      </c>
      <c r="C72" s="12" t="s">
        <v>27</v>
      </c>
      <c r="D72" s="12">
        <v>2426.37203983644</v>
      </c>
      <c r="E72" s="12">
        <v>1082.8</v>
      </c>
      <c r="F72" s="12">
        <v>359.008700920618</v>
      </c>
      <c r="G72" s="12">
        <v>1406.76411147291</v>
      </c>
      <c r="H72" s="12">
        <v>2432.33181267918</v>
      </c>
      <c r="I72" s="12">
        <v>116.414338908722</v>
      </c>
      <c r="J72" s="13">
        <v>1156.76693067468</v>
      </c>
      <c r="K72" s="13">
        <v>2085.87650092149</v>
      </c>
      <c r="L72" s="12">
        <v>2571.67225041229</v>
      </c>
      <c r="M72" s="12">
        <v>2653.72512792731</v>
      </c>
      <c r="N72" s="12">
        <v>2646.00194646323</v>
      </c>
      <c r="O72" s="12">
        <v>2494.20578591249</v>
      </c>
      <c r="P72" s="12">
        <v>2725.16470230037</v>
      </c>
      <c r="Q72" s="12">
        <v>3237.02974640939</v>
      </c>
      <c r="R72" s="12">
        <v>2646.00194646323</v>
      </c>
      <c r="S72" s="12">
        <v>2790.37446047483</v>
      </c>
      <c r="T72" s="12">
        <v>2494.20578591249</v>
      </c>
      <c r="U72" s="7">
        <v>2725.16470230037</v>
      </c>
      <c r="V72" s="7">
        <v>98.6666666666667</v>
      </c>
      <c r="W72" s="7">
        <v>3237.02974640939</v>
      </c>
    </row>
    <row r="73">
      <c r="A73" s="8">
        <v>42339.0</v>
      </c>
      <c r="B73" s="9">
        <f>IFERROR(__xludf.DUMMYFUNCTION("""COMPUTED_VALUE"""),72.0)</f>
        <v>72</v>
      </c>
      <c r="C73" s="12" t="s">
        <v>28</v>
      </c>
      <c r="D73" s="12">
        <v>37.6</v>
      </c>
      <c r="E73" s="12">
        <v>254.0</v>
      </c>
      <c r="F73" s="12">
        <v>238.422061762527</v>
      </c>
      <c r="G73" s="12">
        <v>147.945332642911</v>
      </c>
      <c r="H73" s="12">
        <v>176.5</v>
      </c>
      <c r="I73" s="12">
        <v>602.063651521063</v>
      </c>
      <c r="J73" s="13">
        <v>280.694841245236</v>
      </c>
      <c r="K73" s="13">
        <v>293.902194040155</v>
      </c>
      <c r="L73" s="12">
        <v>101.230147376287</v>
      </c>
      <c r="M73" s="12">
        <v>96.136767525207</v>
      </c>
      <c r="N73" s="12">
        <v>287.386075759536</v>
      </c>
      <c r="O73" s="12">
        <v>139.796159072126</v>
      </c>
      <c r="P73" s="12">
        <v>185.285987503514</v>
      </c>
      <c r="Q73" s="12">
        <v>111.414291242496</v>
      </c>
      <c r="R73" s="12">
        <v>287.386075759536</v>
      </c>
      <c r="S73" s="12">
        <v>291.793002075363</v>
      </c>
      <c r="T73" s="12">
        <v>139.796159072126</v>
      </c>
      <c r="U73" s="7">
        <v>185.285987503514</v>
      </c>
      <c r="V73" s="7">
        <v>322.0</v>
      </c>
      <c r="W73" s="7">
        <v>111.414291242496</v>
      </c>
    </row>
    <row r="74">
      <c r="A74" s="8">
        <v>42370.0</v>
      </c>
      <c r="B74" s="9">
        <f>IFERROR(__xludf.DUMMYFUNCTION("""COMPUTED_VALUE"""),156.0)</f>
        <v>156</v>
      </c>
      <c r="C74" s="12" t="s">
        <v>29</v>
      </c>
      <c r="D74" s="12">
        <v>291.188819023022</v>
      </c>
      <c r="E74" s="12">
        <v>211.0</v>
      </c>
      <c r="F74" s="12">
        <v>158.800696276689</v>
      </c>
      <c r="G74" s="12">
        <v>177.778835824882</v>
      </c>
      <c r="H74" s="12">
        <v>251.345043339988</v>
      </c>
      <c r="I74" s="12">
        <v>229.996165050714</v>
      </c>
      <c r="J74" s="13">
        <v>202.471945701268</v>
      </c>
      <c r="K74" s="13">
        <v>186.843124687758</v>
      </c>
      <c r="L74" s="12">
        <v>256.350577248176</v>
      </c>
      <c r="M74" s="12">
        <v>96.136767525207</v>
      </c>
      <c r="N74" s="12">
        <v>159.284922572781</v>
      </c>
      <c r="O74" s="12">
        <v>57.6159152187574</v>
      </c>
      <c r="P74" s="12">
        <v>185.285987503514</v>
      </c>
      <c r="Q74" s="12">
        <v>90.7337303122915</v>
      </c>
      <c r="R74" s="12">
        <v>159.284922572781</v>
      </c>
      <c r="S74" s="12">
        <v>293.59038621549</v>
      </c>
      <c r="T74" s="12">
        <v>57.6159152187574</v>
      </c>
      <c r="U74" s="7">
        <v>185.285987503514</v>
      </c>
      <c r="V74" s="7">
        <v>126.0</v>
      </c>
      <c r="W74" s="7">
        <v>90.7337303122915</v>
      </c>
    </row>
    <row r="75">
      <c r="A75" s="8">
        <v>42401.0</v>
      </c>
      <c r="B75" s="9">
        <f>IFERROR(__xludf.DUMMYFUNCTION("""COMPUTED_VALUE"""),146.0)</f>
        <v>146</v>
      </c>
      <c r="C75" s="12" t="s">
        <v>30</v>
      </c>
      <c r="D75" s="12">
        <v>315.24071299254</v>
      </c>
      <c r="E75" s="12">
        <v>284.828675271099</v>
      </c>
      <c r="F75" s="12">
        <v>179.040402293198</v>
      </c>
      <c r="G75" s="12">
        <v>757.115676516036</v>
      </c>
      <c r="H75" s="12">
        <v>285.480182006519</v>
      </c>
      <c r="I75" s="12">
        <v>495.050524375891</v>
      </c>
      <c r="J75" s="13">
        <v>526.746584934751</v>
      </c>
      <c r="K75" s="13">
        <v>713.356876464119</v>
      </c>
      <c r="L75" s="12">
        <v>298.189687377118</v>
      </c>
      <c r="M75" s="12">
        <v>96.136767525207</v>
      </c>
      <c r="N75" s="12">
        <v>148.754357672142</v>
      </c>
      <c r="O75" s="12">
        <v>32.0964912935264</v>
      </c>
      <c r="P75" s="12">
        <v>185.285987503514</v>
      </c>
      <c r="Q75" s="12">
        <v>21.8408159240543</v>
      </c>
      <c r="R75" s="12">
        <v>148.754357672142</v>
      </c>
      <c r="S75" s="12">
        <v>339.744232369336</v>
      </c>
      <c r="T75" s="12">
        <v>32.0964912935264</v>
      </c>
      <c r="U75" s="7">
        <v>185.285987503514</v>
      </c>
      <c r="V75" s="7">
        <v>80.0</v>
      </c>
      <c r="W75" s="7">
        <v>21.8408159240543</v>
      </c>
    </row>
    <row r="76">
      <c r="A76" s="8">
        <v>42430.0</v>
      </c>
      <c r="B76" s="9">
        <f>IFERROR(__xludf.DUMMYFUNCTION("""COMPUTED_VALUE"""),2050.0)</f>
        <v>2050</v>
      </c>
      <c r="C76" s="12" t="s">
        <v>31</v>
      </c>
      <c r="D76" s="12">
        <v>1506.63526759328</v>
      </c>
      <c r="E76" s="12">
        <v>585.280635324519</v>
      </c>
      <c r="F76" s="12">
        <v>117.131412726262</v>
      </c>
      <c r="G76" s="12">
        <v>1609.629304499</v>
      </c>
      <c r="H76" s="12">
        <v>943.759700311218</v>
      </c>
      <c r="I76" s="12">
        <v>1590.74766122198</v>
      </c>
      <c r="J76" s="13">
        <v>1527.79021976235</v>
      </c>
      <c r="K76" s="13">
        <v>1951.6249105034</v>
      </c>
      <c r="L76" s="12">
        <v>1843.35659646656</v>
      </c>
      <c r="M76" s="12">
        <v>661.603434191873</v>
      </c>
      <c r="N76" s="12">
        <v>2018.01029277336</v>
      </c>
      <c r="O76" s="12">
        <v>1097.88324799604</v>
      </c>
      <c r="P76" s="12">
        <v>185.285987503514</v>
      </c>
      <c r="Q76" s="12">
        <v>1091.86734194748</v>
      </c>
      <c r="R76" s="12">
        <v>2018.01029277336</v>
      </c>
      <c r="S76" s="12">
        <v>1602.14995517754</v>
      </c>
      <c r="T76" s="12">
        <v>1097.88324799604</v>
      </c>
      <c r="U76" s="7">
        <v>185.285987503514</v>
      </c>
      <c r="V76" s="7">
        <v>1813.5</v>
      </c>
      <c r="W76" s="7">
        <v>1091.86734194748</v>
      </c>
    </row>
    <row r="77">
      <c r="A77" s="8">
        <v>42461.0</v>
      </c>
      <c r="B77" s="9">
        <f>IFERROR(__xludf.DUMMYFUNCTION("""COMPUTED_VALUE"""),1077.0)</f>
        <v>1077</v>
      </c>
      <c r="C77" s="12" t="s">
        <v>32</v>
      </c>
      <c r="D77" s="12">
        <v>925.628403094381</v>
      </c>
      <c r="E77" s="12">
        <v>1365.07971577326</v>
      </c>
      <c r="F77" s="12">
        <v>437.075102833691</v>
      </c>
      <c r="G77" s="12">
        <v>166.938716126734</v>
      </c>
      <c r="H77" s="12">
        <v>915.481745320719</v>
      </c>
      <c r="I77" s="12">
        <v>318.590695679735</v>
      </c>
      <c r="J77" s="13">
        <v>1239.53709517952</v>
      </c>
      <c r="K77" s="13">
        <v>1431.6769527</v>
      </c>
      <c r="L77" s="12">
        <v>847.113158373067</v>
      </c>
      <c r="M77" s="12">
        <v>726.588116361997</v>
      </c>
      <c r="N77" s="12">
        <v>1053.49782086413</v>
      </c>
      <c r="O77" s="12">
        <v>830.656404467603</v>
      </c>
      <c r="P77" s="12">
        <v>457.600594238245</v>
      </c>
      <c r="Q77" s="12">
        <v>2542.85876159874</v>
      </c>
      <c r="R77" s="12">
        <v>1053.49782086413</v>
      </c>
      <c r="S77" s="12">
        <v>5790.31270633197</v>
      </c>
      <c r="T77" s="12">
        <v>830.656404467603</v>
      </c>
      <c r="U77" s="7">
        <v>457.600594238245</v>
      </c>
      <c r="V77" s="7">
        <v>1053.37291876511</v>
      </c>
      <c r="W77" s="7">
        <v>2542.85876159874</v>
      </c>
    </row>
    <row r="78">
      <c r="A78" s="8">
        <v>42491.0</v>
      </c>
      <c r="B78" s="9">
        <f>IFERROR(__xludf.DUMMYFUNCTION("""COMPUTED_VALUE"""),1907.0)</f>
        <v>1907</v>
      </c>
      <c r="C78" s="12" t="s">
        <v>33</v>
      </c>
      <c r="D78" s="12">
        <v>919.901130367108</v>
      </c>
      <c r="E78" s="12">
        <v>1228.1534198787</v>
      </c>
      <c r="F78" s="12">
        <v>612.041109439792</v>
      </c>
      <c r="G78" s="12">
        <v>362.693879933614</v>
      </c>
      <c r="H78" s="12">
        <v>912.5</v>
      </c>
      <c r="I78" s="12">
        <v>426.554633695656</v>
      </c>
      <c r="J78" s="13">
        <v>1629.71455199849</v>
      </c>
      <c r="K78" s="13">
        <v>1906.99840145735</v>
      </c>
      <c r="L78" s="12">
        <v>1146.94050320352</v>
      </c>
      <c r="M78" s="12">
        <v>1528.50335086991</v>
      </c>
      <c r="N78" s="12">
        <v>1635.73802833624</v>
      </c>
      <c r="O78" s="12">
        <v>1756.06431360559</v>
      </c>
      <c r="P78" s="12">
        <v>1737.10389133406</v>
      </c>
      <c r="Q78" s="12">
        <v>986.273571673659</v>
      </c>
      <c r="R78" s="12">
        <v>1635.73802833624</v>
      </c>
      <c r="S78" s="12">
        <v>964.817932912663</v>
      </c>
      <c r="T78" s="12">
        <v>1756.06431360559</v>
      </c>
      <c r="U78" s="7">
        <v>1737.10389133406</v>
      </c>
      <c r="V78" s="7">
        <v>2086.07941818653</v>
      </c>
      <c r="W78" s="7">
        <v>986.273571673659</v>
      </c>
    </row>
    <row r="79">
      <c r="A79" s="8">
        <v>42522.0</v>
      </c>
      <c r="B79" s="9">
        <f>IFERROR(__xludf.DUMMYFUNCTION("""COMPUTED_VALUE"""),849.0)</f>
        <v>849</v>
      </c>
      <c r="C79" s="12" t="s">
        <v>34</v>
      </c>
      <c r="D79" s="12">
        <v>1129.63374836954</v>
      </c>
      <c r="E79" s="12">
        <v>550.899077051591</v>
      </c>
      <c r="F79" s="12">
        <v>454.765331870112</v>
      </c>
      <c r="G79" s="12">
        <v>355.929388756293</v>
      </c>
      <c r="H79" s="12">
        <v>1053.5</v>
      </c>
      <c r="I79" s="12">
        <v>384.596092031333</v>
      </c>
      <c r="J79" s="13">
        <v>573.134459563217</v>
      </c>
      <c r="K79" s="13">
        <v>266.579923572573</v>
      </c>
      <c r="L79" s="12">
        <v>535.111896446177</v>
      </c>
      <c r="M79" s="12">
        <v>660.334145990257</v>
      </c>
      <c r="N79" s="12">
        <v>625.438529992137</v>
      </c>
      <c r="O79" s="12">
        <v>389.545478343389</v>
      </c>
      <c r="P79" s="12">
        <v>185.285987503514</v>
      </c>
      <c r="Q79" s="12">
        <v>351.155453414151</v>
      </c>
      <c r="R79" s="12">
        <v>625.438529992137</v>
      </c>
      <c r="S79" s="12">
        <v>876.956394451125</v>
      </c>
      <c r="T79" s="12">
        <v>389.545478343389</v>
      </c>
      <c r="U79" s="7">
        <v>185.285987503514</v>
      </c>
      <c r="V79" s="7">
        <v>972.492462406395</v>
      </c>
      <c r="W79" s="7">
        <v>351.155453414151</v>
      </c>
    </row>
    <row r="80">
      <c r="A80" s="8">
        <v>42552.0</v>
      </c>
      <c r="B80" s="9">
        <f>IFERROR(__xludf.DUMMYFUNCTION("""COMPUTED_VALUE"""),980.0)</f>
        <v>980</v>
      </c>
      <c r="C80" s="12" t="s">
        <v>35</v>
      </c>
      <c r="D80" s="12">
        <v>619.715411673641</v>
      </c>
      <c r="E80" s="12">
        <v>566.410211865566</v>
      </c>
      <c r="F80" s="12">
        <v>986.102149830832</v>
      </c>
      <c r="G80" s="12">
        <v>239.443869957986</v>
      </c>
      <c r="H80" s="12">
        <v>587.479023560755</v>
      </c>
      <c r="I80" s="12">
        <v>766.007596807173</v>
      </c>
      <c r="J80" s="13">
        <v>899.196033790681</v>
      </c>
      <c r="K80" s="13">
        <v>319.399757784686</v>
      </c>
      <c r="L80" s="12">
        <v>511.853070742083</v>
      </c>
      <c r="M80" s="12">
        <v>1255.84076752521</v>
      </c>
      <c r="N80" s="12">
        <v>968.288777246</v>
      </c>
      <c r="O80" s="12">
        <v>687.322910519282</v>
      </c>
      <c r="P80" s="12">
        <v>185.285987503514</v>
      </c>
      <c r="Q80" s="12">
        <v>404.986403267372</v>
      </c>
      <c r="R80" s="12">
        <v>968.288777246</v>
      </c>
      <c r="S80" s="12">
        <v>1078.61024060497</v>
      </c>
      <c r="T80" s="12">
        <v>687.322910519282</v>
      </c>
      <c r="U80" s="7">
        <v>185.285987503514</v>
      </c>
      <c r="V80" s="7">
        <v>109.427483788667</v>
      </c>
      <c r="W80" s="7">
        <v>404.986403267372</v>
      </c>
    </row>
    <row r="81">
      <c r="A81" s="8">
        <v>42583.0</v>
      </c>
      <c r="B81" s="9">
        <f>IFERROR(__xludf.DUMMYFUNCTION("""COMPUTED_VALUE"""),383.0)</f>
        <v>383</v>
      </c>
      <c r="C81" s="12" t="s">
        <v>36</v>
      </c>
      <c r="D81" s="12">
        <v>519.31100639264</v>
      </c>
      <c r="E81" s="12">
        <v>516.949291497103</v>
      </c>
      <c r="F81" s="12">
        <v>376.67165958518</v>
      </c>
      <c r="G81" s="12">
        <v>238.578013235962</v>
      </c>
      <c r="H81" s="12">
        <v>448.500417067963</v>
      </c>
      <c r="I81" s="12">
        <v>251.827906834267</v>
      </c>
      <c r="J81" s="13">
        <v>271.757597524307</v>
      </c>
      <c r="K81" s="13">
        <v>197.098558848577</v>
      </c>
      <c r="L81" s="12">
        <v>294.774520293274</v>
      </c>
      <c r="M81" s="12">
        <v>272.936767525207</v>
      </c>
      <c r="N81" s="12">
        <v>554.389320629002</v>
      </c>
      <c r="O81" s="12">
        <v>217.277609900792</v>
      </c>
      <c r="P81" s="12">
        <v>185.285987503514</v>
      </c>
      <c r="Q81" s="12">
        <v>449.518709084243</v>
      </c>
      <c r="R81" s="12">
        <v>554.389320629002</v>
      </c>
      <c r="S81" s="12">
        <v>544.917932912663</v>
      </c>
      <c r="T81" s="12">
        <v>217.277609900792</v>
      </c>
      <c r="U81" s="7">
        <v>185.285987503514</v>
      </c>
      <c r="V81" s="7">
        <v>125.406043528284</v>
      </c>
      <c r="W81" s="7">
        <v>449.518709084243</v>
      </c>
    </row>
    <row r="82">
      <c r="A82" s="8">
        <v>42614.0</v>
      </c>
      <c r="B82" s="9">
        <f>IFERROR(__xludf.DUMMYFUNCTION("""COMPUTED_VALUE"""),99.0)</f>
        <v>99</v>
      </c>
      <c r="C82" s="12" t="s">
        <v>37</v>
      </c>
      <c r="D82" s="12">
        <v>555.402425420007</v>
      </c>
      <c r="E82" s="12">
        <v>253.014618925377</v>
      </c>
      <c r="F82" s="12">
        <v>333.387541163589</v>
      </c>
      <c r="G82" s="12">
        <v>174.333084252253</v>
      </c>
      <c r="H82" s="12">
        <v>421.5</v>
      </c>
      <c r="I82" s="12">
        <v>-431.299258192886</v>
      </c>
      <c r="J82" s="13">
        <v>143.172955756122</v>
      </c>
      <c r="K82" s="13">
        <v>107.62313404335</v>
      </c>
      <c r="L82" s="12">
        <v>273.150640269995</v>
      </c>
      <c r="M82" s="12">
        <v>96.136767525207</v>
      </c>
      <c r="N82" s="12">
        <v>547.424433482834</v>
      </c>
      <c r="O82" s="12">
        <v>57.2952834729591</v>
      </c>
      <c r="P82" s="12">
        <v>185.285987503514</v>
      </c>
      <c r="Q82" s="12">
        <v>43.1821673227079</v>
      </c>
      <c r="R82" s="12">
        <v>547.424433482834</v>
      </c>
      <c r="S82" s="12">
        <v>560.148702143433</v>
      </c>
      <c r="T82" s="12">
        <v>57.2952834729591</v>
      </c>
      <c r="U82" s="7">
        <v>185.285987503514</v>
      </c>
      <c r="V82" s="7">
        <v>68.019542516166</v>
      </c>
      <c r="W82" s="7">
        <v>43.1821673227079</v>
      </c>
    </row>
    <row r="83">
      <c r="A83" s="8">
        <v>42644.0</v>
      </c>
      <c r="B83" s="9">
        <f>IFERROR(__xludf.DUMMYFUNCTION("""COMPUTED_VALUE"""),342.0)</f>
        <v>342</v>
      </c>
      <c r="C83" s="12" t="s">
        <v>38</v>
      </c>
      <c r="D83" s="12">
        <v>237.347874798357</v>
      </c>
      <c r="E83" s="12">
        <v>233.0</v>
      </c>
      <c r="F83" s="12">
        <v>586.594551286887</v>
      </c>
      <c r="G83" s="12">
        <v>360.981731992835</v>
      </c>
      <c r="H83" s="12">
        <v>196.603853646572</v>
      </c>
      <c r="I83" s="12">
        <v>244.84440045876</v>
      </c>
      <c r="J83" s="13">
        <v>395.590705410904</v>
      </c>
      <c r="K83" s="13">
        <v>364.019282604365</v>
      </c>
      <c r="L83" s="12">
        <v>316.896399416324</v>
      </c>
      <c r="M83" s="12">
        <v>122.886459495025</v>
      </c>
      <c r="N83" s="12">
        <v>341.999909009667</v>
      </c>
      <c r="O83" s="12">
        <v>204.740227461477</v>
      </c>
      <c r="P83" s="12">
        <v>274.529282691328</v>
      </c>
      <c r="Q83" s="12">
        <v>142.308945922849</v>
      </c>
      <c r="R83" s="12">
        <v>341.999909009667</v>
      </c>
      <c r="S83" s="12">
        <v>465.379471374202</v>
      </c>
      <c r="T83" s="12">
        <v>204.740227461477</v>
      </c>
      <c r="U83" s="7">
        <v>274.529282691328</v>
      </c>
      <c r="V83" s="7">
        <v>292.283083947405</v>
      </c>
      <c r="W83" s="7">
        <v>142.308945922849</v>
      </c>
    </row>
    <row r="84">
      <c r="A84" s="8">
        <v>42675.0</v>
      </c>
      <c r="B84" s="9">
        <f>IFERROR(__xludf.DUMMYFUNCTION("""COMPUTED_VALUE"""),755.0)</f>
        <v>755</v>
      </c>
      <c r="C84" s="12" t="s">
        <v>39</v>
      </c>
      <c r="D84" s="12">
        <v>828.607361075387</v>
      </c>
      <c r="E84" s="12">
        <v>1847.0</v>
      </c>
      <c r="F84" s="12">
        <v>665.180521850458</v>
      </c>
      <c r="G84" s="12">
        <v>498.027510529631</v>
      </c>
      <c r="H84" s="12">
        <v>213.5</v>
      </c>
      <c r="I84" s="12">
        <v>-406.10930796859</v>
      </c>
      <c r="J84" s="13">
        <v>622.699495148921</v>
      </c>
      <c r="K84" s="13">
        <v>128.589022467316</v>
      </c>
      <c r="L84" s="12">
        <v>734.482446852269</v>
      </c>
      <c r="M84" s="12">
        <v>96.136767525207</v>
      </c>
      <c r="N84" s="12">
        <v>565.231944968604</v>
      </c>
      <c r="O84" s="12">
        <v>513.624322472342</v>
      </c>
      <c r="P84" s="12">
        <v>724.139481150859</v>
      </c>
      <c r="Q84" s="12">
        <v>1631.19222670887</v>
      </c>
      <c r="R84" s="12">
        <v>565.231944968604</v>
      </c>
      <c r="S84" s="12">
        <v>815.603801331389</v>
      </c>
      <c r="T84" s="12">
        <v>513.624322472342</v>
      </c>
      <c r="U84" s="7">
        <v>724.139481150859</v>
      </c>
      <c r="V84" s="7">
        <v>1281.0</v>
      </c>
      <c r="W84" s="7">
        <v>1631.19222670887</v>
      </c>
    </row>
    <row r="85">
      <c r="A85" s="8">
        <v>42705.0</v>
      </c>
      <c r="B85" s="9">
        <f>IFERROR(__xludf.DUMMYFUNCTION("""COMPUTED_VALUE"""),1514.0)</f>
        <v>1514</v>
      </c>
      <c r="C85" s="12" t="s">
        <v>40</v>
      </c>
      <c r="D85" s="12">
        <v>1474.15625158148</v>
      </c>
      <c r="E85" s="12">
        <v>1551.5</v>
      </c>
      <c r="F85" s="12">
        <v>1598.500772947</v>
      </c>
      <c r="G85" s="12">
        <v>1501.20651906266</v>
      </c>
      <c r="H85" s="12">
        <v>1458.36147772496</v>
      </c>
      <c r="I85" s="12">
        <v>1096.14706640677</v>
      </c>
      <c r="J85" s="13">
        <v>2792.78054019949</v>
      </c>
      <c r="K85" s="13">
        <v>1482.95696521208</v>
      </c>
      <c r="L85" s="12">
        <v>1547.01100526356</v>
      </c>
      <c r="M85" s="12">
        <v>675.967866142491</v>
      </c>
      <c r="N85" s="12">
        <v>1449.52337509078</v>
      </c>
      <c r="O85" s="12">
        <v>1343.00461542971</v>
      </c>
      <c r="P85" s="12">
        <v>1295.13005824251</v>
      </c>
      <c r="Q85" s="12">
        <v>995.859964999629</v>
      </c>
      <c r="R85" s="12">
        <v>1449.52337509078</v>
      </c>
      <c r="S85" s="12">
        <v>1769.31477241326</v>
      </c>
      <c r="T85" s="12">
        <v>1343.00461542971</v>
      </c>
      <c r="U85" s="7">
        <v>1295.13005824251</v>
      </c>
      <c r="V85" s="7">
        <v>1447.0</v>
      </c>
      <c r="W85" s="7">
        <v>995.859964999629</v>
      </c>
    </row>
    <row r="86">
      <c r="A86" s="8">
        <v>42736.0</v>
      </c>
      <c r="B86" s="9">
        <f>IFERROR(__xludf.DUMMYFUNCTION("""COMPUTED_VALUE"""),581.0)</f>
        <v>581</v>
      </c>
      <c r="C86" s="12" t="s">
        <v>27</v>
      </c>
      <c r="D86" s="12">
        <v>492.345209821241</v>
      </c>
      <c r="E86" s="12">
        <v>1551.5</v>
      </c>
      <c r="F86" s="12">
        <v>496.917102674823</v>
      </c>
      <c r="G86" s="12">
        <v>297.611990001254</v>
      </c>
      <c r="H86" s="12">
        <v>307.951250512626</v>
      </c>
      <c r="I86" s="12">
        <v>589.125609983167</v>
      </c>
      <c r="J86" s="13">
        <v>539.107678918701</v>
      </c>
      <c r="K86" s="13">
        <v>508.690554191452</v>
      </c>
      <c r="L86" s="12">
        <v>608.344076162531</v>
      </c>
      <c r="M86" s="12">
        <v>96.3367675252071</v>
      </c>
      <c r="N86" s="12">
        <v>732.481701711296</v>
      </c>
      <c r="O86" s="12">
        <v>300.769970063038</v>
      </c>
      <c r="P86" s="12">
        <v>185.285987503514</v>
      </c>
      <c r="Q86" s="12">
        <v>374.546540401137</v>
      </c>
      <c r="R86" s="12">
        <v>732.481701711296</v>
      </c>
      <c r="S86" s="12">
        <v>701.07303210062</v>
      </c>
      <c r="T86" s="12">
        <v>300.769970063038</v>
      </c>
      <c r="U86" s="7">
        <v>185.285987503514</v>
      </c>
      <c r="V86" s="7">
        <v>1000.91755363695</v>
      </c>
      <c r="W86" s="7">
        <v>374.546540401137</v>
      </c>
    </row>
    <row r="87">
      <c r="A87" s="8">
        <v>42767.0</v>
      </c>
      <c r="B87" s="9">
        <f>IFERROR(__xludf.DUMMYFUNCTION("""COMPUTED_VALUE"""),583.0)</f>
        <v>583</v>
      </c>
      <c r="C87" s="12" t="s">
        <v>28</v>
      </c>
      <c r="D87" s="12">
        <v>544.850561778623</v>
      </c>
      <c r="E87" s="12">
        <v>1551.5</v>
      </c>
      <c r="F87" s="12">
        <v>361.738663303259</v>
      </c>
      <c r="G87" s="12">
        <v>492.562977653168</v>
      </c>
      <c r="H87" s="12">
        <v>628.38363872725</v>
      </c>
      <c r="I87" s="12">
        <v>258.845960498524</v>
      </c>
      <c r="J87" s="13">
        <v>193.011989293725</v>
      </c>
      <c r="K87" s="13">
        <v>517.202085271455</v>
      </c>
      <c r="L87" s="12">
        <v>907.384670773661</v>
      </c>
      <c r="M87" s="12">
        <v>100.936767525207</v>
      </c>
      <c r="N87" s="12">
        <v>287.751101812187</v>
      </c>
      <c r="O87" s="12">
        <v>414.494397679644</v>
      </c>
      <c r="P87" s="12">
        <v>185.285987503514</v>
      </c>
      <c r="Q87" s="12">
        <v>81.2634369531192</v>
      </c>
      <c r="R87" s="12">
        <v>287.751101812187</v>
      </c>
      <c r="S87" s="12">
        <v>1298.91918594677</v>
      </c>
      <c r="T87" s="12">
        <v>414.494397679644</v>
      </c>
      <c r="U87" s="7">
        <v>185.285987503514</v>
      </c>
      <c r="V87" s="7">
        <v>847.0</v>
      </c>
      <c r="W87" s="7">
        <v>81.2634369531192</v>
      </c>
    </row>
    <row r="88">
      <c r="A88" s="8">
        <v>42795.0</v>
      </c>
      <c r="B88" s="9">
        <f>IFERROR(__xludf.DUMMYFUNCTION("""COMPUTED_VALUE"""),8235.0)</f>
        <v>8235</v>
      </c>
      <c r="C88" s="12" t="s">
        <v>29</v>
      </c>
      <c r="D88" s="12">
        <v>7975.19355461987</v>
      </c>
      <c r="E88" s="12">
        <v>8048.08761738815</v>
      </c>
      <c r="F88" s="12">
        <v>1782.96754238124</v>
      </c>
      <c r="G88" s="12">
        <v>7365.72010471279</v>
      </c>
      <c r="H88" s="12">
        <v>8230.97944059512</v>
      </c>
      <c r="I88" s="12">
        <v>8281.64737132313</v>
      </c>
      <c r="J88" s="13">
        <v>7670.34017564185</v>
      </c>
      <c r="K88" s="13">
        <v>8293.6871198731</v>
      </c>
      <c r="L88" s="12">
        <v>6987.67148655772</v>
      </c>
      <c r="M88" s="12">
        <v>8084.14257033517</v>
      </c>
      <c r="N88" s="12">
        <v>8234.96813758549</v>
      </c>
      <c r="O88" s="12">
        <v>8499.65430322492</v>
      </c>
      <c r="P88" s="12">
        <v>7534.11005860169</v>
      </c>
      <c r="Q88" s="12">
        <v>8129.38091666398</v>
      </c>
      <c r="R88" s="12">
        <v>8234.96813758549</v>
      </c>
      <c r="S88" s="12">
        <v>8502.30872307024</v>
      </c>
      <c r="T88" s="12">
        <v>8499.65430322492</v>
      </c>
      <c r="U88" s="7">
        <v>7534.11005860169</v>
      </c>
      <c r="V88" s="7">
        <v>8245.96683274419</v>
      </c>
      <c r="W88" s="7">
        <v>8129.38091666398</v>
      </c>
    </row>
    <row r="89">
      <c r="A89" s="8">
        <v>42826.0</v>
      </c>
      <c r="B89" s="9">
        <f>IFERROR(__xludf.DUMMYFUNCTION("""COMPUTED_VALUE"""),4047.0)</f>
        <v>4047</v>
      </c>
      <c r="C89" s="12" t="s">
        <v>30</v>
      </c>
      <c r="D89" s="12">
        <v>4590.29759959711</v>
      </c>
      <c r="E89" s="12">
        <v>3958.34492824813</v>
      </c>
      <c r="F89" s="12">
        <v>-438.159004579763</v>
      </c>
      <c r="G89" s="12">
        <v>2260.30188924341</v>
      </c>
      <c r="H89" s="12">
        <v>3588.61073645228</v>
      </c>
      <c r="I89" s="12">
        <v>4518.72228623897</v>
      </c>
      <c r="J89" s="13">
        <v>5386.24637753329</v>
      </c>
      <c r="K89" s="13">
        <v>4047.01330862454</v>
      </c>
      <c r="L89" s="12">
        <v>4026.97404485727</v>
      </c>
      <c r="M89" s="12">
        <v>4122.76628915917</v>
      </c>
      <c r="N89" s="12">
        <v>4273.53259248538</v>
      </c>
      <c r="O89" s="12">
        <v>4342.42711443036</v>
      </c>
      <c r="P89" s="12">
        <v>4056.83036489308</v>
      </c>
      <c r="Q89" s="12">
        <v>3783.73876752723</v>
      </c>
      <c r="R89" s="12">
        <v>4273.53259248538</v>
      </c>
      <c r="S89" s="12">
        <v>4300.30034954082</v>
      </c>
      <c r="T89" s="12">
        <v>4342.42711443036</v>
      </c>
      <c r="U89" s="7">
        <v>4056.83036489308</v>
      </c>
      <c r="V89" s="7">
        <v>3599.31217529053</v>
      </c>
      <c r="W89" s="7">
        <v>3783.73876752723</v>
      </c>
    </row>
    <row r="90">
      <c r="A90" s="8">
        <v>42856.0</v>
      </c>
      <c r="B90" s="9">
        <f>IFERROR(__xludf.DUMMYFUNCTION("""COMPUTED_VALUE"""),5557.0)</f>
        <v>5557</v>
      </c>
      <c r="C90" s="12" t="s">
        <v>31</v>
      </c>
      <c r="D90" s="12">
        <v>5383.70414529038</v>
      </c>
      <c r="E90" s="12">
        <v>4925.30531352423</v>
      </c>
      <c r="F90" s="12">
        <v>2682.71723393746</v>
      </c>
      <c r="G90" s="12">
        <v>2724.02402676745</v>
      </c>
      <c r="H90" s="12">
        <v>4664.48966782079</v>
      </c>
      <c r="I90" s="12">
        <v>4360.51122861095</v>
      </c>
      <c r="J90" s="13">
        <v>5457.13021781163</v>
      </c>
      <c r="K90" s="13">
        <v>5518.50160677655</v>
      </c>
      <c r="L90" s="12">
        <v>4686.63728061351</v>
      </c>
      <c r="M90" s="12">
        <v>5551.10865032769</v>
      </c>
      <c r="N90" s="12">
        <v>5556.99995585581</v>
      </c>
      <c r="O90" s="12">
        <v>5751.47993897263</v>
      </c>
      <c r="P90" s="12">
        <v>5990.57326720174</v>
      </c>
      <c r="Q90" s="12">
        <v>5735.68861975084</v>
      </c>
      <c r="R90" s="12">
        <v>5556.99995585581</v>
      </c>
      <c r="S90" s="12">
        <v>5531.00798976666</v>
      </c>
      <c r="T90" s="12">
        <v>5751.47993897263</v>
      </c>
      <c r="U90" s="7">
        <v>5990.57326720174</v>
      </c>
      <c r="V90" s="7">
        <v>4315.62888284388</v>
      </c>
      <c r="W90" s="7">
        <v>5735.68861975084</v>
      </c>
    </row>
    <row r="91">
      <c r="A91" s="8">
        <v>42887.0</v>
      </c>
      <c r="B91" s="9">
        <f>IFERROR(__xludf.DUMMYFUNCTION("""COMPUTED_VALUE"""),2907.0)</f>
        <v>2907</v>
      </c>
      <c r="C91" s="12" t="s">
        <v>32</v>
      </c>
      <c r="D91" s="12">
        <v>2824.83383442567</v>
      </c>
      <c r="E91" s="12">
        <v>2297.5</v>
      </c>
      <c r="F91" s="12">
        <v>2492.91811505831</v>
      </c>
      <c r="G91" s="12">
        <v>2831.77647327431</v>
      </c>
      <c r="H91" s="12">
        <v>2803.3562395064</v>
      </c>
      <c r="I91" s="12">
        <v>2727.24085048644</v>
      </c>
      <c r="J91" s="13">
        <v>1563.70907024255</v>
      </c>
      <c r="K91" s="13">
        <v>2913.57540532945</v>
      </c>
      <c r="L91" s="12">
        <v>2781.87952057105</v>
      </c>
      <c r="M91" s="12">
        <v>2877.68325085575</v>
      </c>
      <c r="N91" s="12">
        <v>3184.61936688698</v>
      </c>
      <c r="O91" s="12">
        <v>3338.84580550779</v>
      </c>
      <c r="P91" s="12">
        <v>3488.60360224752</v>
      </c>
      <c r="Q91" s="12">
        <v>3252.54331061968</v>
      </c>
      <c r="R91" s="12">
        <v>3184.61936688698</v>
      </c>
      <c r="S91" s="12">
        <v>2799.56268878387</v>
      </c>
      <c r="T91" s="12">
        <v>3338.84580550779</v>
      </c>
      <c r="U91" s="7">
        <v>3488.60360224752</v>
      </c>
      <c r="V91" s="7">
        <v>2961.06437613439</v>
      </c>
      <c r="W91" s="7">
        <v>3252.54331061968</v>
      </c>
    </row>
    <row r="92">
      <c r="A92" s="8">
        <v>42917.0</v>
      </c>
      <c r="B92" s="9">
        <f>IFERROR(__xludf.DUMMYFUNCTION("""COMPUTED_VALUE"""),11200.0)</f>
        <v>11200</v>
      </c>
      <c r="C92" s="12" t="s">
        <v>33</v>
      </c>
      <c r="D92" s="12">
        <v>11164.6400806666</v>
      </c>
      <c r="E92" s="12">
        <v>2297.0</v>
      </c>
      <c r="F92" s="12">
        <v>10227.7208497864</v>
      </c>
      <c r="G92" s="12">
        <v>10771.1275959501</v>
      </c>
      <c r="H92" s="12">
        <v>11142.6480361036</v>
      </c>
      <c r="I92" s="12">
        <v>10970.5019581928</v>
      </c>
      <c r="J92" s="13">
        <v>9764.31668637544</v>
      </c>
      <c r="K92" s="13">
        <v>1857.10412890006</v>
      </c>
      <c r="L92" s="12">
        <v>3597.74771265544</v>
      </c>
      <c r="M92" s="12">
        <v>7207.94584540278</v>
      </c>
      <c r="N92" s="12">
        <v>11952.0936574146</v>
      </c>
      <c r="O92" s="12">
        <v>1464.34269253918</v>
      </c>
      <c r="P92" s="12">
        <v>5669.99966850658</v>
      </c>
      <c r="Q92" s="12">
        <v>11092.934116244</v>
      </c>
      <c r="R92" s="12">
        <v>11952.0936574146</v>
      </c>
      <c r="S92" s="12">
        <v>7197.00123941021</v>
      </c>
      <c r="T92" s="12">
        <v>1464.34269253918</v>
      </c>
      <c r="U92" s="7">
        <v>5669.99966850658</v>
      </c>
      <c r="V92" s="7">
        <v>11239.2760270767</v>
      </c>
      <c r="W92" s="7">
        <v>11092.934116244</v>
      </c>
    </row>
    <row r="93">
      <c r="A93" s="8">
        <v>42948.0</v>
      </c>
      <c r="B93" s="9">
        <f>IFERROR(__xludf.DUMMYFUNCTION("""COMPUTED_VALUE"""),5117.0)</f>
        <v>5117</v>
      </c>
      <c r="C93" s="12" t="s">
        <v>34</v>
      </c>
      <c r="D93" s="12">
        <v>4980.53523905296</v>
      </c>
      <c r="E93" s="12">
        <v>2676.0</v>
      </c>
      <c r="F93" s="12">
        <v>3516.67235418917</v>
      </c>
      <c r="G93" s="12">
        <v>4874.30118623815</v>
      </c>
      <c r="H93" s="12">
        <v>5064.16951537423</v>
      </c>
      <c r="I93" s="12">
        <v>4328.97782657281</v>
      </c>
      <c r="J93" s="13">
        <v>4380.4843746646</v>
      </c>
      <c r="K93" s="13">
        <v>3981.33946338938</v>
      </c>
      <c r="L93" s="12">
        <v>2570.74897944023</v>
      </c>
      <c r="M93" s="12">
        <v>4322.22608464802</v>
      </c>
      <c r="N93" s="12">
        <v>12851.0650209227</v>
      </c>
      <c r="O93" s="12">
        <v>1359.58585500031</v>
      </c>
      <c r="P93" s="12">
        <v>3684.74587776632</v>
      </c>
      <c r="Q93" s="12">
        <v>5011.24514778078</v>
      </c>
      <c r="R93" s="12">
        <v>12851.0650209227</v>
      </c>
      <c r="S93" s="12">
        <v>4853.01015796704</v>
      </c>
      <c r="T93" s="12">
        <v>1359.58585500031</v>
      </c>
      <c r="U93" s="7">
        <v>3684.74587776632</v>
      </c>
      <c r="V93" s="7">
        <v>4724.64502579612</v>
      </c>
      <c r="W93" s="7">
        <v>5011.24514778078</v>
      </c>
    </row>
    <row r="94">
      <c r="A94" s="14">
        <v>42979.0</v>
      </c>
      <c r="B94" s="9">
        <f>IFERROR(__xludf.DUMMYFUNCTION("""COMPUTED_VALUE"""),2444.0)</f>
        <v>2444</v>
      </c>
      <c r="C94" s="12" t="s">
        <v>35</v>
      </c>
      <c r="D94" s="12">
        <v>2529.86109471749</v>
      </c>
      <c r="E94" s="12">
        <v>2356.0</v>
      </c>
      <c r="F94" s="12">
        <v>4278.13328945234</v>
      </c>
      <c r="G94" s="12">
        <v>3927.91587834492</v>
      </c>
      <c r="H94" s="12">
        <v>2666.3910221995</v>
      </c>
      <c r="I94" s="12">
        <v>3251.99512009973</v>
      </c>
      <c r="J94" s="13">
        <v>2559.48297429146</v>
      </c>
      <c r="K94" s="13">
        <v>4969.74993526988</v>
      </c>
      <c r="L94" s="12">
        <v>3264.06554924363</v>
      </c>
      <c r="M94" s="12">
        <v>7217.09342844449</v>
      </c>
      <c r="N94" s="12">
        <v>8286.48938203613</v>
      </c>
      <c r="O94" s="12">
        <v>6478.76158961503</v>
      </c>
      <c r="P94" s="12">
        <v>5594.06759937383</v>
      </c>
      <c r="Q94" s="12">
        <v>2399.13568027267</v>
      </c>
      <c r="R94" s="12">
        <v>8286.48938203613</v>
      </c>
      <c r="S94" s="12">
        <v>7935.93813905966</v>
      </c>
      <c r="T94" s="12">
        <v>6478.76158961503</v>
      </c>
      <c r="U94" s="7">
        <v>5594.06759937383</v>
      </c>
      <c r="V94" s="7">
        <v>4332.12231502412</v>
      </c>
      <c r="W94" s="7">
        <v>2399.13568027267</v>
      </c>
    </row>
    <row r="95">
      <c r="A95" s="14">
        <v>43009.0</v>
      </c>
      <c r="B95" s="9">
        <f>IFERROR(__xludf.DUMMYFUNCTION("""COMPUTED_VALUE"""),2951.0)</f>
        <v>2951</v>
      </c>
      <c r="C95" s="12" t="s">
        <v>36</v>
      </c>
      <c r="D95" s="12">
        <v>6126.73174504929</v>
      </c>
      <c r="E95" s="12">
        <v>2362.0</v>
      </c>
      <c r="F95" s="12">
        <v>3954.93208893304</v>
      </c>
      <c r="G95" s="12">
        <v>2854.59982213554</v>
      </c>
      <c r="H95" s="12">
        <v>2563.23557271287</v>
      </c>
      <c r="I95" s="12">
        <v>5271.7996396555</v>
      </c>
      <c r="J95" s="13">
        <v>2202.39846979303</v>
      </c>
      <c r="K95" s="13">
        <v>1853.72658531777</v>
      </c>
      <c r="L95" s="12">
        <v>10747.1262628675</v>
      </c>
      <c r="M95" s="12">
        <v>2569.20174084781</v>
      </c>
      <c r="N95" s="12">
        <v>3500.09113064597</v>
      </c>
      <c r="O95" s="12">
        <v>2698.39823091585</v>
      </c>
      <c r="P95" s="12">
        <v>2093.63076082804</v>
      </c>
      <c r="Q95" s="12">
        <v>577.231612644911</v>
      </c>
      <c r="R95" s="12">
        <v>3500.09113064597</v>
      </c>
      <c r="S95" s="12">
        <v>2683.48251064486</v>
      </c>
      <c r="T95" s="12">
        <v>2698.39823091585</v>
      </c>
      <c r="U95" s="7">
        <v>2093.63076082804</v>
      </c>
      <c r="V95" s="7">
        <v>3823.0017362954</v>
      </c>
      <c r="W95" s="7">
        <v>577.231612644911</v>
      </c>
    </row>
    <row r="96">
      <c r="A96" s="14">
        <v>43040.0</v>
      </c>
      <c r="B96" s="9">
        <f>IFERROR(__xludf.DUMMYFUNCTION("""COMPUTED_VALUE"""),1089.0)</f>
        <v>1089</v>
      </c>
      <c r="C96" s="12" t="s">
        <v>37</v>
      </c>
      <c r="D96" s="12">
        <v>1844.01712487094</v>
      </c>
      <c r="E96" s="12">
        <v>3709.0</v>
      </c>
      <c r="F96" s="12">
        <v>5685.7179441207</v>
      </c>
      <c r="G96" s="12">
        <v>4046.3931258899</v>
      </c>
      <c r="H96" s="12">
        <v>9876.12668421967</v>
      </c>
      <c r="I96" s="12">
        <v>10032.9080617926</v>
      </c>
      <c r="J96" s="13">
        <v>34319.4316072774</v>
      </c>
      <c r="K96" s="13">
        <v>5521.36539784359</v>
      </c>
      <c r="L96" s="12">
        <v>6759.84512654534</v>
      </c>
      <c r="M96" s="12">
        <v>2389.62612809788</v>
      </c>
      <c r="N96" s="12">
        <v>1946.15627976426</v>
      </c>
      <c r="O96" s="12">
        <v>3813.73941134973</v>
      </c>
      <c r="P96" s="12">
        <v>28630.8369821753</v>
      </c>
      <c r="Q96" s="12">
        <v>289513.208240699</v>
      </c>
      <c r="R96" s="12">
        <v>1946.15627976426</v>
      </c>
      <c r="S96" s="12">
        <v>2347.43132009982</v>
      </c>
      <c r="T96" s="12">
        <v>3813.73941134973</v>
      </c>
      <c r="U96" s="7">
        <v>28630.8369821753</v>
      </c>
      <c r="V96" s="7">
        <v>28728.6150303082</v>
      </c>
      <c r="W96" s="7">
        <v>289513.208240699</v>
      </c>
    </row>
    <row r="97">
      <c r="A97" s="14">
        <v>43070.0</v>
      </c>
      <c r="B97" s="9">
        <f>IFERROR(__xludf.DUMMYFUNCTION("""COMPUTED_VALUE"""),8693.0)</f>
        <v>8693</v>
      </c>
      <c r="C97" s="12" t="s">
        <v>38</v>
      </c>
      <c r="D97" s="12">
        <v>5566.45495777768</v>
      </c>
      <c r="E97" s="12">
        <v>24541.8</v>
      </c>
      <c r="F97" s="12">
        <v>4569.96569341769</v>
      </c>
      <c r="G97" s="12">
        <v>3225.31602855534</v>
      </c>
      <c r="H97" s="12">
        <v>5891.63160404855</v>
      </c>
      <c r="I97" s="12">
        <v>5152.73083636205</v>
      </c>
      <c r="J97" s="12">
        <v>14047.5307465576</v>
      </c>
      <c r="K97" s="12">
        <v>5133.64116734769</v>
      </c>
      <c r="L97" s="12">
        <v>4287.58220468072</v>
      </c>
      <c r="M97" s="12">
        <v>15624.5232641444</v>
      </c>
      <c r="N97" s="12">
        <v>2211.54122700485</v>
      </c>
      <c r="O97" s="12">
        <v>1385.55987446415</v>
      </c>
      <c r="P97" s="12">
        <v>2337.80865570426</v>
      </c>
      <c r="Q97" s="12">
        <v>793.390064963006</v>
      </c>
      <c r="R97" s="12">
        <v>2211.54122700485</v>
      </c>
      <c r="S97" s="12">
        <v>448.36290888188</v>
      </c>
      <c r="T97" s="12">
        <v>1385.55987446415</v>
      </c>
      <c r="U97" s="7">
        <v>2337.80865570426</v>
      </c>
      <c r="V97" s="7">
        <v>9210.88035567824</v>
      </c>
      <c r="W97" s="7">
        <v>793.390064963006</v>
      </c>
    </row>
    <row r="98">
      <c r="A98" s="19">
        <v>43101.0</v>
      </c>
      <c r="B98" s="9">
        <f>IFERROR(__xludf.DUMMYFUNCTION("""COMPUTED_VALUE"""),3283.0)</f>
        <v>3283</v>
      </c>
      <c r="C98" s="12" t="s">
        <v>39</v>
      </c>
      <c r="D98" s="12">
        <v>2576.13448581694</v>
      </c>
      <c r="E98" s="12">
        <v>17230.0871808047</v>
      </c>
      <c r="F98" s="12">
        <v>7255.09259324898</v>
      </c>
      <c r="G98" s="12">
        <v>3309.68794919148</v>
      </c>
      <c r="H98" s="12">
        <v>16721.2817461886</v>
      </c>
      <c r="I98" s="12">
        <v>13144.2165390363</v>
      </c>
      <c r="J98" s="12">
        <v>73123.9468348208</v>
      </c>
      <c r="K98" s="12">
        <v>6490.6170537624</v>
      </c>
      <c r="L98" s="12">
        <v>7623.69532271478</v>
      </c>
      <c r="M98" s="12">
        <v>24859.6984149326</v>
      </c>
      <c r="N98" s="12">
        <v>1455.5962257741</v>
      </c>
      <c r="O98" s="12">
        <v>2347.87248737116</v>
      </c>
      <c r="P98" s="12">
        <v>1331.19715180636</v>
      </c>
      <c r="Q98" s="12">
        <v>3988.28640295508</v>
      </c>
      <c r="R98" s="12">
        <v>1455.5962257741</v>
      </c>
      <c r="S98" s="12">
        <v>764.233459977477</v>
      </c>
      <c r="T98" s="12">
        <v>2347.87248737116</v>
      </c>
      <c r="U98" s="7">
        <v>1331.19715180636</v>
      </c>
      <c r="V98" s="7">
        <v>1097.48729345935</v>
      </c>
      <c r="W98" s="7">
        <v>3988.28640295508</v>
      </c>
    </row>
    <row r="99">
      <c r="A99" s="19">
        <v>43132.0</v>
      </c>
      <c r="B99" s="9">
        <f>IFERROR(__xludf.DUMMYFUNCTION("""COMPUTED_VALUE"""),5000.0)</f>
        <v>5000</v>
      </c>
      <c r="C99" s="12" t="s">
        <v>40</v>
      </c>
      <c r="D99" s="12">
        <v>2887.62377411408</v>
      </c>
      <c r="E99" s="12">
        <v>9920.45268206987</v>
      </c>
      <c r="F99" s="12">
        <v>2991.76449440041</v>
      </c>
      <c r="G99" s="12">
        <v>2099.09105216062</v>
      </c>
      <c r="H99" s="12">
        <v>4158.27241501136</v>
      </c>
      <c r="I99" s="12">
        <v>4564.99263294343</v>
      </c>
      <c r="J99" s="12">
        <v>29974.909842839</v>
      </c>
      <c r="K99" s="12">
        <v>5787.51516375217</v>
      </c>
      <c r="L99" s="12">
        <v>4322.22501698161</v>
      </c>
      <c r="M99" s="12">
        <v>17582.6568741919</v>
      </c>
      <c r="N99" s="12">
        <v>2082.86973743366</v>
      </c>
      <c r="O99" s="12">
        <v>834.195495164022</v>
      </c>
      <c r="P99" s="12">
        <v>624.094792734066</v>
      </c>
      <c r="Q99" s="12">
        <v>18657.9087515325</v>
      </c>
      <c r="R99" s="12">
        <v>2082.86973743366</v>
      </c>
      <c r="S99" s="12">
        <v>344.072880819786</v>
      </c>
      <c r="T99" s="12">
        <v>834.195495164022</v>
      </c>
      <c r="U99" s="7">
        <v>624.094792734066</v>
      </c>
      <c r="V99" s="7">
        <v>8814.14753799673</v>
      </c>
      <c r="W99" s="7">
        <v>18657.9087515325</v>
      </c>
    </row>
    <row r="100">
      <c r="A100" s="17">
        <v>43160.0</v>
      </c>
      <c r="B100" s="9">
        <f>IFERROR(__xludf.DUMMYFUNCTION("""COMPUTED_VALUE"""),10700.0)</f>
        <v>10700</v>
      </c>
      <c r="C100" s="12" t="s">
        <v>27</v>
      </c>
      <c r="D100" s="12">
        <v>3206.26765164809</v>
      </c>
      <c r="E100" s="12">
        <v>18254.0370240504</v>
      </c>
      <c r="F100" s="12">
        <v>1743.25846614757</v>
      </c>
      <c r="G100" s="12">
        <v>2611.32185629215</v>
      </c>
      <c r="H100" s="12">
        <v>2832.38581072495</v>
      </c>
      <c r="I100" s="12">
        <v>2965.6331300714</v>
      </c>
      <c r="J100" s="12">
        <v>8987.77928185162</v>
      </c>
      <c r="K100" s="12">
        <v>4720.5466718406</v>
      </c>
      <c r="L100" s="12">
        <v>21035.1357737753</v>
      </c>
      <c r="M100" s="12">
        <v>40929.4138756734</v>
      </c>
      <c r="N100" s="12">
        <v>16443.0306182534</v>
      </c>
      <c r="O100" s="12">
        <v>1492.52925128117</v>
      </c>
      <c r="P100" s="12">
        <v>866.83341662201</v>
      </c>
      <c r="Q100" s="12">
        <v>16730.01249827</v>
      </c>
      <c r="R100" s="12">
        <v>16443.0306182534</v>
      </c>
      <c r="S100" s="12">
        <v>361.399547355587</v>
      </c>
      <c r="T100" s="12">
        <v>1492.52925128117</v>
      </c>
      <c r="U100" s="7">
        <v>866.83341662201</v>
      </c>
      <c r="V100" s="7">
        <v>3144.64497612921</v>
      </c>
      <c r="W100" s="7">
        <v>16730.01249827</v>
      </c>
    </row>
    <row r="101">
      <c r="A101" s="15">
        <v>43191.0</v>
      </c>
      <c r="B101" s="9">
        <f>IFERROR(__xludf.DUMMYFUNCTION("""COMPUTED_VALUE"""),6201.0)</f>
        <v>6201</v>
      </c>
      <c r="C101" s="12" t="s">
        <v>28</v>
      </c>
      <c r="D101" s="12">
        <v>2441.43536916331</v>
      </c>
      <c r="E101" s="12">
        <v>9074.4265139373</v>
      </c>
      <c r="F101" s="12">
        <v>2052.67141973231</v>
      </c>
      <c r="G101" s="12">
        <v>1155.8216344597</v>
      </c>
      <c r="H101" s="12">
        <v>1638.44987289657</v>
      </c>
      <c r="I101" s="12">
        <v>2904.93182833005</v>
      </c>
      <c r="J101" s="12">
        <v>29765.1513074093</v>
      </c>
      <c r="K101" s="12">
        <v>8027.84421798186</v>
      </c>
      <c r="L101" s="12">
        <v>5146.29424991221</v>
      </c>
      <c r="M101" s="12">
        <v>4320.31898974743</v>
      </c>
      <c r="N101" s="12">
        <v>13293.3732663237</v>
      </c>
      <c r="O101" s="12">
        <v>1049.14098984504</v>
      </c>
      <c r="P101" s="12">
        <v>794.5743898165</v>
      </c>
      <c r="Q101" s="12">
        <v>3597564.14473395</v>
      </c>
      <c r="R101" s="12">
        <v>13293.3732663237</v>
      </c>
      <c r="S101" s="12">
        <v>338.253523592248</v>
      </c>
      <c r="T101" s="12">
        <v>1049.14098984504</v>
      </c>
      <c r="U101" s="7">
        <v>794.5743898165</v>
      </c>
      <c r="V101" s="7">
        <v>568.039810334339</v>
      </c>
      <c r="W101" s="7">
        <v>3597564.14473395</v>
      </c>
    </row>
    <row r="102">
      <c r="A102" s="15">
        <v>43221.0</v>
      </c>
      <c r="B102" s="9">
        <f>IFERROR(__xludf.DUMMYFUNCTION("""COMPUTED_VALUE"""),7027.0)</f>
        <v>7027</v>
      </c>
      <c r="C102" s="12" t="s">
        <v>29</v>
      </c>
      <c r="D102" s="12">
        <v>35204.610876867</v>
      </c>
      <c r="E102" s="12">
        <v>42637.3763099659</v>
      </c>
      <c r="F102" s="12">
        <v>137990.091338593</v>
      </c>
      <c r="G102" s="12">
        <v>165016.758025047</v>
      </c>
      <c r="H102" s="12">
        <v>1991.21152819306</v>
      </c>
      <c r="I102" s="12">
        <v>3675.7295298535</v>
      </c>
      <c r="J102" s="12">
        <v>64459.8876647627</v>
      </c>
      <c r="K102" s="12">
        <v>21280.9560053712</v>
      </c>
      <c r="L102" s="12">
        <v>15357.6774429383</v>
      </c>
      <c r="M102" s="12">
        <v>41188.3126070405</v>
      </c>
      <c r="N102" s="12">
        <v>12690.9274973745</v>
      </c>
      <c r="O102" s="12">
        <v>41510.9228804572</v>
      </c>
      <c r="P102" s="12">
        <v>109509.538633902</v>
      </c>
      <c r="Q102" s="12">
        <v>12624.4120400737</v>
      </c>
      <c r="R102" s="12">
        <v>12690.9274973745</v>
      </c>
      <c r="S102" s="12">
        <v>41439.3862084948</v>
      </c>
      <c r="T102" s="12">
        <v>41510.9228804572</v>
      </c>
      <c r="U102" s="7">
        <v>109509.538633902</v>
      </c>
      <c r="V102" s="7">
        <v>19741.2379528755</v>
      </c>
      <c r="W102" s="7">
        <v>12624.4120400737</v>
      </c>
    </row>
    <row r="103">
      <c r="A103" s="15">
        <v>43252.0</v>
      </c>
      <c r="B103" s="9">
        <f>IFERROR(__xludf.DUMMYFUNCTION("""COMPUTED_VALUE"""),7205.0)</f>
        <v>7205</v>
      </c>
      <c r="C103" s="7" t="s">
        <v>30</v>
      </c>
      <c r="D103" s="7">
        <v>4850.87369884411</v>
      </c>
      <c r="E103" s="7">
        <v>105350.287119259</v>
      </c>
      <c r="F103" s="7">
        <v>4161.87645832251</v>
      </c>
      <c r="G103" s="7">
        <v>1210.18804890329</v>
      </c>
      <c r="H103" s="7">
        <v>8253.10239502837</v>
      </c>
      <c r="I103" s="7">
        <v>8516.44923298976</v>
      </c>
      <c r="J103" s="7">
        <v>75877.9824606987</v>
      </c>
      <c r="K103" s="7">
        <v>9719.82169329278</v>
      </c>
      <c r="L103" s="7">
        <v>8272.12665065895</v>
      </c>
      <c r="M103" s="7">
        <v>17780.8901934534</v>
      </c>
      <c r="N103" s="7">
        <v>27913.6712688503</v>
      </c>
      <c r="O103" s="7">
        <v>9782.91104014454</v>
      </c>
      <c r="P103" s="7">
        <v>188075.039426374</v>
      </c>
      <c r="Q103" s="7">
        <v>21785.6113508797</v>
      </c>
      <c r="R103" s="7">
        <v>27913.6712688503</v>
      </c>
      <c r="S103" s="7">
        <v>12745.064829326</v>
      </c>
      <c r="T103" s="7">
        <v>9782.91104014454</v>
      </c>
      <c r="U103" s="7">
        <v>188075.039426374</v>
      </c>
      <c r="V103" s="7">
        <v>32147.5720283782</v>
      </c>
      <c r="W103" s="7">
        <v>21785.6113508797</v>
      </c>
    </row>
    <row r="104">
      <c r="A104" s="15">
        <v>43282.0</v>
      </c>
      <c r="B104" s="18">
        <f>IFERROR(__xludf.DUMMYFUNCTION("""COMPUTED_VALUE"""),6519.0)</f>
        <v>6519</v>
      </c>
      <c r="C104" s="7" t="s">
        <v>31</v>
      </c>
      <c r="D104" s="7">
        <v>5704.34535384345</v>
      </c>
      <c r="E104" s="7">
        <v>51948.8386507747</v>
      </c>
      <c r="F104" s="7">
        <v>2923.06805069444</v>
      </c>
      <c r="G104" s="7">
        <v>1394.4</v>
      </c>
      <c r="H104" s="7">
        <v>5193.77201956789</v>
      </c>
      <c r="I104" s="7">
        <v>4582.65843227736</v>
      </c>
      <c r="J104" s="7">
        <v>65925.3750747853</v>
      </c>
      <c r="K104" s="7">
        <v>12033.7477183306</v>
      </c>
      <c r="L104" s="7">
        <v>18584.2069041127</v>
      </c>
      <c r="M104" s="7">
        <v>6469.99120308076</v>
      </c>
      <c r="N104" s="7">
        <v>4865.39069941066</v>
      </c>
      <c r="O104" s="7">
        <v>-537.21421914801</v>
      </c>
      <c r="P104" s="7">
        <v>223.476216184013</v>
      </c>
      <c r="Q104" s="7">
        <v>11197.8565325065</v>
      </c>
      <c r="R104" s="7">
        <v>4865.39069941066</v>
      </c>
      <c r="S104" s="7">
        <v>288.648328579119</v>
      </c>
      <c r="T104" s="7">
        <v>-537.21421914801</v>
      </c>
      <c r="U104" s="7">
        <v>223.476216184013</v>
      </c>
      <c r="V104" s="7">
        <v>4858.80052112071</v>
      </c>
      <c r="W104" s="7">
        <v>11197.8565325065</v>
      </c>
    </row>
    <row r="105">
      <c r="A105" s="17">
        <v>43313.0</v>
      </c>
      <c r="B105" s="18"/>
      <c r="C105" s="7" t="s">
        <v>32</v>
      </c>
      <c r="D105" s="7">
        <v>5111.38248825357</v>
      </c>
      <c r="E105" s="7">
        <v>20420.0133238869</v>
      </c>
      <c r="F105" s="7">
        <v>2487.40596599627</v>
      </c>
      <c r="G105" s="7">
        <v>902.932569411206</v>
      </c>
      <c r="H105" s="7">
        <v>3898.7559229036</v>
      </c>
      <c r="I105" s="7">
        <v>4118.74791809168</v>
      </c>
      <c r="J105" s="7">
        <v>50367.181438002</v>
      </c>
      <c r="K105" s="7">
        <v>8228.02440748233</v>
      </c>
      <c r="L105" s="7">
        <v>19260.5288893398</v>
      </c>
      <c r="M105" s="7">
        <v>6348.88994530299</v>
      </c>
      <c r="N105" s="7">
        <v>26136.3963191482</v>
      </c>
      <c r="O105" s="7">
        <v>3444.44981248073</v>
      </c>
      <c r="P105" s="7">
        <v>3405.35714897197</v>
      </c>
      <c r="Q105" s="7">
        <v>9811.93757890614</v>
      </c>
      <c r="R105" s="7">
        <v>26136.3963191482</v>
      </c>
      <c r="S105" s="7">
        <v>3054.25145329148</v>
      </c>
      <c r="T105" s="7">
        <v>3444.44981248073</v>
      </c>
      <c r="U105" s="7">
        <v>3405.35714897197</v>
      </c>
      <c r="V105" s="7">
        <v>6395.21733843183</v>
      </c>
      <c r="W105" s="7">
        <v>9811.93757890614</v>
      </c>
    </row>
    <row r="106">
      <c r="A106" s="15">
        <v>43344.0</v>
      </c>
      <c r="B106" s="18"/>
    </row>
    <row r="107">
      <c r="A107" s="15">
        <v>43374.0</v>
      </c>
      <c r="B107" s="18"/>
    </row>
    <row r="108">
      <c r="A108" s="15">
        <v>43405.0</v>
      </c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6" max="16" width="28.86"/>
  </cols>
  <sheetData>
    <row r="1">
      <c r="A1" s="20" t="s">
        <v>0</v>
      </c>
      <c r="B1" s="21" t="s">
        <v>1</v>
      </c>
      <c r="C1" s="3" t="s">
        <v>2</v>
      </c>
      <c r="D1" s="3" t="s">
        <v>43</v>
      </c>
      <c r="E1" s="3" t="s">
        <v>44</v>
      </c>
      <c r="F1" s="3" t="s">
        <v>45</v>
      </c>
      <c r="G1" s="3" t="s">
        <v>46</v>
      </c>
      <c r="H1" s="6" t="s">
        <v>47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57</v>
      </c>
      <c r="S1" s="6" t="s">
        <v>58</v>
      </c>
      <c r="T1" s="6" t="s">
        <v>59</v>
      </c>
      <c r="U1" s="6" t="s">
        <v>60</v>
      </c>
      <c r="V1" s="6" t="s">
        <v>61</v>
      </c>
      <c r="W1" s="6" t="s">
        <v>62</v>
      </c>
      <c r="X1" s="6" t="s">
        <v>63</v>
      </c>
    </row>
    <row r="2">
      <c r="A2" s="8">
        <v>40179.0</v>
      </c>
      <c r="B2" s="9">
        <f>IFERROR(__xludf.DUMMYFUNCTION("IMPORTRANGE(""https://docs.google.com/spreadsheets/d/1oPTPmoJ9phtMOkp-nMB7WHnPESomLzqUj9t0gcE9bYA/edit#gid=772694153"",""Current Region!D2:D130"")"),7061.0)</f>
        <v>7061</v>
      </c>
      <c r="C2" s="10" t="s">
        <v>43</v>
      </c>
      <c r="D2" s="10" t="s">
        <v>26</v>
      </c>
      <c r="E2" s="10" t="s">
        <v>26</v>
      </c>
      <c r="F2" s="10" t="s">
        <v>26</v>
      </c>
      <c r="G2" s="10" t="s">
        <v>26</v>
      </c>
      <c r="H2" s="10" t="s">
        <v>26</v>
      </c>
      <c r="I2" s="11" t="s">
        <v>26</v>
      </c>
      <c r="J2" s="11" t="s">
        <v>26</v>
      </c>
      <c r="K2" s="10" t="s">
        <v>26</v>
      </c>
      <c r="L2" s="10" t="s">
        <v>26</v>
      </c>
      <c r="M2" s="10" t="s">
        <v>26</v>
      </c>
      <c r="N2" s="10" t="s">
        <v>26</v>
      </c>
      <c r="O2" s="10" t="s">
        <v>26</v>
      </c>
      <c r="P2" s="10" t="s">
        <v>26</v>
      </c>
      <c r="Q2" s="10" t="s">
        <v>26</v>
      </c>
      <c r="R2" s="10" t="s">
        <v>26</v>
      </c>
      <c r="S2" s="10" t="s">
        <v>26</v>
      </c>
      <c r="T2" s="10" t="s">
        <v>26</v>
      </c>
      <c r="U2" s="10" t="s">
        <v>26</v>
      </c>
      <c r="V2" s="10" t="s">
        <v>26</v>
      </c>
      <c r="W2" s="10" t="s">
        <v>26</v>
      </c>
      <c r="X2" s="10" t="s">
        <v>26</v>
      </c>
    </row>
    <row r="3">
      <c r="A3" s="8">
        <v>40210.0</v>
      </c>
      <c r="B3" s="9">
        <f>IFERROR(__xludf.DUMMYFUNCTION("""COMPUTED_VALUE"""),7958.0)</f>
        <v>7958</v>
      </c>
      <c r="C3" s="10" t="s">
        <v>44</v>
      </c>
      <c r="D3" s="10" t="s">
        <v>26</v>
      </c>
      <c r="E3" s="10" t="s">
        <v>26</v>
      </c>
      <c r="F3" s="10" t="s">
        <v>26</v>
      </c>
      <c r="G3" s="10" t="s">
        <v>26</v>
      </c>
      <c r="H3" s="10" t="s">
        <v>26</v>
      </c>
      <c r="I3" s="11" t="s">
        <v>26</v>
      </c>
      <c r="J3" s="11" t="s">
        <v>26</v>
      </c>
      <c r="K3" s="10" t="s">
        <v>26</v>
      </c>
      <c r="L3" s="10" t="s">
        <v>26</v>
      </c>
      <c r="M3" s="10" t="s">
        <v>26</v>
      </c>
      <c r="N3" s="10" t="s">
        <v>26</v>
      </c>
      <c r="O3" s="10" t="s">
        <v>26</v>
      </c>
      <c r="P3" s="10" t="s">
        <v>26</v>
      </c>
      <c r="Q3" s="10" t="s">
        <v>26</v>
      </c>
      <c r="R3" s="10" t="s">
        <v>26</v>
      </c>
      <c r="S3" s="10" t="s">
        <v>26</v>
      </c>
      <c r="T3" s="10" t="s">
        <v>26</v>
      </c>
      <c r="U3" s="10" t="s">
        <v>26</v>
      </c>
      <c r="V3" s="10" t="s">
        <v>26</v>
      </c>
      <c r="W3" s="10" t="s">
        <v>26</v>
      </c>
      <c r="X3" s="10" t="s">
        <v>26</v>
      </c>
    </row>
    <row r="4">
      <c r="A4" s="8">
        <v>40238.0</v>
      </c>
      <c r="B4" s="9">
        <f>IFERROR(__xludf.DUMMYFUNCTION("""COMPUTED_VALUE"""),25943.0)</f>
        <v>25943</v>
      </c>
      <c r="C4" s="10" t="s">
        <v>45</v>
      </c>
      <c r="D4" s="10" t="s">
        <v>26</v>
      </c>
      <c r="E4" s="10" t="s">
        <v>26</v>
      </c>
      <c r="F4" s="10" t="s">
        <v>26</v>
      </c>
      <c r="G4" s="10" t="s">
        <v>26</v>
      </c>
      <c r="H4" s="10" t="s">
        <v>26</v>
      </c>
      <c r="I4" s="11" t="s">
        <v>26</v>
      </c>
      <c r="J4" s="11" t="s">
        <v>26</v>
      </c>
      <c r="K4" s="10" t="s">
        <v>26</v>
      </c>
      <c r="L4" s="10" t="s">
        <v>26</v>
      </c>
      <c r="M4" s="10" t="s">
        <v>26</v>
      </c>
      <c r="N4" s="10" t="s">
        <v>26</v>
      </c>
      <c r="O4" s="10" t="s">
        <v>26</v>
      </c>
      <c r="P4" s="10" t="s">
        <v>26</v>
      </c>
      <c r="Q4" s="10" t="s">
        <v>26</v>
      </c>
      <c r="R4" s="10" t="s">
        <v>26</v>
      </c>
      <c r="S4" s="10" t="s">
        <v>26</v>
      </c>
      <c r="T4" s="10" t="s">
        <v>26</v>
      </c>
      <c r="U4" s="10" t="s">
        <v>26</v>
      </c>
      <c r="V4" s="10" t="s">
        <v>26</v>
      </c>
      <c r="W4" s="10" t="s">
        <v>26</v>
      </c>
      <c r="X4" s="10" t="s">
        <v>26</v>
      </c>
    </row>
    <row r="5">
      <c r="A5" s="8">
        <v>40269.0</v>
      </c>
      <c r="B5" s="9">
        <f>IFERROR(__xludf.DUMMYFUNCTION("""COMPUTED_VALUE"""),6970.0)</f>
        <v>6970</v>
      </c>
      <c r="C5" s="10" t="s">
        <v>46</v>
      </c>
      <c r="D5" s="10" t="s">
        <v>26</v>
      </c>
      <c r="E5" s="10" t="s">
        <v>26</v>
      </c>
      <c r="F5" s="10" t="s">
        <v>26</v>
      </c>
      <c r="G5" s="10" t="s">
        <v>26</v>
      </c>
      <c r="H5" s="10" t="s">
        <v>26</v>
      </c>
      <c r="I5" s="11" t="s">
        <v>26</v>
      </c>
      <c r="J5" s="11" t="s">
        <v>26</v>
      </c>
      <c r="K5" s="10" t="s">
        <v>26</v>
      </c>
      <c r="L5" s="10" t="s">
        <v>26</v>
      </c>
      <c r="M5" s="10" t="s">
        <v>26</v>
      </c>
      <c r="N5" s="10" t="s">
        <v>26</v>
      </c>
      <c r="O5" s="10" t="s">
        <v>26</v>
      </c>
      <c r="P5" s="10" t="s">
        <v>26</v>
      </c>
      <c r="Q5" s="10" t="s">
        <v>26</v>
      </c>
      <c r="R5" s="10" t="s">
        <v>26</v>
      </c>
      <c r="S5" s="10" t="s">
        <v>26</v>
      </c>
      <c r="T5" s="10" t="s">
        <v>26</v>
      </c>
      <c r="U5" s="10" t="s">
        <v>26</v>
      </c>
      <c r="V5" s="10" t="s">
        <v>26</v>
      </c>
      <c r="W5" s="10" t="s">
        <v>26</v>
      </c>
      <c r="X5" s="10" t="s">
        <v>26</v>
      </c>
    </row>
    <row r="6">
      <c r="A6" s="8">
        <v>40299.0</v>
      </c>
      <c r="B6" s="9">
        <f>IFERROR(__xludf.DUMMYFUNCTION("""COMPUTED_VALUE"""),13996.0)</f>
        <v>13996</v>
      </c>
      <c r="C6" s="10" t="s">
        <v>47</v>
      </c>
      <c r="D6" s="10" t="s">
        <v>26</v>
      </c>
      <c r="E6" s="10" t="s">
        <v>26</v>
      </c>
      <c r="F6" s="10" t="s">
        <v>26</v>
      </c>
      <c r="G6" s="10" t="s">
        <v>26</v>
      </c>
      <c r="H6" s="10" t="s">
        <v>26</v>
      </c>
      <c r="I6" s="11" t="s">
        <v>26</v>
      </c>
      <c r="J6" s="11" t="s">
        <v>26</v>
      </c>
      <c r="K6" s="10" t="s">
        <v>26</v>
      </c>
      <c r="L6" s="10" t="s">
        <v>26</v>
      </c>
      <c r="M6" s="10" t="s">
        <v>26</v>
      </c>
      <c r="N6" s="10" t="s">
        <v>26</v>
      </c>
      <c r="O6" s="10" t="s">
        <v>26</v>
      </c>
      <c r="P6" s="10" t="s">
        <v>26</v>
      </c>
      <c r="Q6" s="10" t="s">
        <v>26</v>
      </c>
      <c r="R6" s="10" t="s">
        <v>26</v>
      </c>
      <c r="S6" s="10" t="s">
        <v>26</v>
      </c>
      <c r="T6" s="10" t="s">
        <v>26</v>
      </c>
      <c r="U6" s="10" t="s">
        <v>26</v>
      </c>
      <c r="V6" s="10" t="s">
        <v>26</v>
      </c>
      <c r="W6" s="10" t="s">
        <v>26</v>
      </c>
      <c r="X6" s="10" t="s">
        <v>26</v>
      </c>
    </row>
    <row r="7">
      <c r="A7" s="8">
        <v>40330.0</v>
      </c>
      <c r="B7" s="9">
        <f>IFERROR(__xludf.DUMMYFUNCTION("""COMPUTED_VALUE"""),5495.0)</f>
        <v>5495</v>
      </c>
      <c r="C7" s="10" t="s">
        <v>48</v>
      </c>
      <c r="D7" s="10" t="s">
        <v>26</v>
      </c>
      <c r="E7" s="10" t="s">
        <v>26</v>
      </c>
      <c r="F7" s="10" t="s">
        <v>26</v>
      </c>
      <c r="G7" s="10" t="s">
        <v>26</v>
      </c>
      <c r="H7" s="10" t="s">
        <v>26</v>
      </c>
      <c r="I7" s="11" t="s">
        <v>26</v>
      </c>
      <c r="J7" s="11" t="s">
        <v>26</v>
      </c>
      <c r="K7" s="10" t="s">
        <v>26</v>
      </c>
      <c r="L7" s="10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  <c r="R7" s="10" t="s">
        <v>26</v>
      </c>
      <c r="S7" s="10" t="s">
        <v>26</v>
      </c>
      <c r="T7" s="10" t="s">
        <v>26</v>
      </c>
      <c r="U7" s="10" t="s">
        <v>26</v>
      </c>
      <c r="V7" s="10" t="s">
        <v>26</v>
      </c>
      <c r="W7" s="10" t="s">
        <v>26</v>
      </c>
      <c r="X7" s="10" t="s">
        <v>26</v>
      </c>
    </row>
    <row r="8">
      <c r="A8" s="8">
        <v>40360.0</v>
      </c>
      <c r="B8" s="9">
        <f>IFERROR(__xludf.DUMMYFUNCTION("""COMPUTED_VALUE"""),15856.0)</f>
        <v>15856</v>
      </c>
      <c r="C8" s="10" t="s">
        <v>49</v>
      </c>
      <c r="D8" s="10" t="s">
        <v>26</v>
      </c>
      <c r="E8" s="10" t="s">
        <v>26</v>
      </c>
      <c r="F8" s="10" t="s">
        <v>26</v>
      </c>
      <c r="G8" s="10" t="s">
        <v>26</v>
      </c>
      <c r="H8" s="10" t="s">
        <v>26</v>
      </c>
      <c r="I8" s="11" t="s">
        <v>26</v>
      </c>
      <c r="J8" s="11" t="s">
        <v>26</v>
      </c>
      <c r="K8" s="10" t="s">
        <v>26</v>
      </c>
      <c r="L8" s="10" t="s">
        <v>26</v>
      </c>
      <c r="M8" s="10" t="s">
        <v>26</v>
      </c>
      <c r="N8" s="10" t="s">
        <v>26</v>
      </c>
      <c r="O8" s="10" t="s">
        <v>26</v>
      </c>
      <c r="P8" s="10" t="s">
        <v>26</v>
      </c>
      <c r="Q8" s="10" t="s">
        <v>26</v>
      </c>
      <c r="R8" s="10" t="s">
        <v>26</v>
      </c>
      <c r="S8" s="10" t="s">
        <v>26</v>
      </c>
      <c r="T8" s="10" t="s">
        <v>26</v>
      </c>
      <c r="U8" s="10" t="s">
        <v>26</v>
      </c>
      <c r="V8" s="10" t="s">
        <v>26</v>
      </c>
      <c r="W8" s="10" t="s">
        <v>26</v>
      </c>
      <c r="X8" s="10" t="s">
        <v>26</v>
      </c>
    </row>
    <row r="9">
      <c r="A9" s="8">
        <v>40391.0</v>
      </c>
      <c r="B9" s="9">
        <f>IFERROR(__xludf.DUMMYFUNCTION("""COMPUTED_VALUE"""),13141.0)</f>
        <v>13141</v>
      </c>
      <c r="C9" s="10" t="s">
        <v>50</v>
      </c>
      <c r="D9" s="10" t="s">
        <v>26</v>
      </c>
      <c r="E9" s="10" t="s">
        <v>26</v>
      </c>
      <c r="F9" s="10" t="s">
        <v>26</v>
      </c>
      <c r="G9" s="10" t="s">
        <v>26</v>
      </c>
      <c r="H9" s="10" t="s">
        <v>26</v>
      </c>
      <c r="I9" s="11" t="s">
        <v>26</v>
      </c>
      <c r="J9" s="11" t="s">
        <v>26</v>
      </c>
      <c r="K9" s="10" t="s">
        <v>26</v>
      </c>
      <c r="L9" s="10" t="s">
        <v>26</v>
      </c>
      <c r="M9" s="10" t="s">
        <v>26</v>
      </c>
      <c r="N9" s="10" t="s">
        <v>26</v>
      </c>
      <c r="O9" s="10" t="s">
        <v>26</v>
      </c>
      <c r="P9" s="10" t="s">
        <v>26</v>
      </c>
      <c r="Q9" s="10" t="s">
        <v>26</v>
      </c>
      <c r="R9" s="10" t="s">
        <v>26</v>
      </c>
      <c r="S9" s="10" t="s">
        <v>26</v>
      </c>
      <c r="T9" s="10" t="s">
        <v>26</v>
      </c>
      <c r="U9" s="10" t="s">
        <v>26</v>
      </c>
      <c r="V9" s="10" t="s">
        <v>26</v>
      </c>
      <c r="W9" s="10" t="s">
        <v>26</v>
      </c>
      <c r="X9" s="10" t="s">
        <v>26</v>
      </c>
    </row>
    <row r="10">
      <c r="A10" s="8">
        <v>40422.0</v>
      </c>
      <c r="B10" s="9">
        <f>IFERROR(__xludf.DUMMYFUNCTION("""COMPUTED_VALUE"""),7631.0)</f>
        <v>7631</v>
      </c>
      <c r="C10" s="10" t="s">
        <v>51</v>
      </c>
      <c r="D10" s="10" t="s">
        <v>26</v>
      </c>
      <c r="E10" s="10" t="s">
        <v>26</v>
      </c>
      <c r="F10" s="10" t="s">
        <v>26</v>
      </c>
      <c r="G10" s="10" t="s">
        <v>26</v>
      </c>
      <c r="H10" s="10" t="s">
        <v>26</v>
      </c>
      <c r="I10" s="11" t="s">
        <v>26</v>
      </c>
      <c r="J10" s="11" t="s">
        <v>26</v>
      </c>
      <c r="K10" s="10" t="s">
        <v>26</v>
      </c>
      <c r="L10" s="10" t="s">
        <v>26</v>
      </c>
      <c r="M10" s="10" t="s">
        <v>26</v>
      </c>
      <c r="N10" s="10" t="s">
        <v>26</v>
      </c>
      <c r="O10" s="10" t="s">
        <v>26</v>
      </c>
      <c r="P10" s="10" t="s">
        <v>26</v>
      </c>
      <c r="Q10" s="10" t="s">
        <v>26</v>
      </c>
      <c r="R10" s="10" t="s">
        <v>26</v>
      </c>
      <c r="S10" s="10" t="s">
        <v>26</v>
      </c>
      <c r="T10" s="10" t="s">
        <v>26</v>
      </c>
      <c r="U10" s="10" t="s">
        <v>26</v>
      </c>
      <c r="V10" s="10" t="s">
        <v>26</v>
      </c>
      <c r="W10" s="10" t="s">
        <v>26</v>
      </c>
      <c r="X10" s="10" t="s">
        <v>26</v>
      </c>
    </row>
    <row r="11">
      <c r="A11" s="8">
        <v>40452.0</v>
      </c>
      <c r="B11" s="9">
        <f>IFERROR(__xludf.DUMMYFUNCTION("""COMPUTED_VALUE"""),6056.0)</f>
        <v>6056</v>
      </c>
      <c r="C11" s="10" t="s">
        <v>52</v>
      </c>
      <c r="D11" s="10" t="s">
        <v>26</v>
      </c>
      <c r="E11" s="10" t="s">
        <v>26</v>
      </c>
      <c r="F11" s="10" t="s">
        <v>26</v>
      </c>
      <c r="G11" s="10" t="s">
        <v>26</v>
      </c>
      <c r="H11" s="10" t="s">
        <v>26</v>
      </c>
      <c r="I11" s="11" t="s">
        <v>26</v>
      </c>
      <c r="J11" s="11" t="s">
        <v>26</v>
      </c>
      <c r="K11" s="10" t="s">
        <v>26</v>
      </c>
      <c r="L11" s="10" t="s">
        <v>26</v>
      </c>
      <c r="M11" s="10" t="s">
        <v>26</v>
      </c>
      <c r="N11" s="10" t="s">
        <v>26</v>
      </c>
      <c r="O11" s="10" t="s">
        <v>26</v>
      </c>
      <c r="P11" s="10" t="s">
        <v>26</v>
      </c>
      <c r="Q11" s="10" t="s">
        <v>26</v>
      </c>
      <c r="R11" s="10" t="s">
        <v>26</v>
      </c>
      <c r="S11" s="10" t="s">
        <v>26</v>
      </c>
      <c r="T11" s="10" t="s">
        <v>26</v>
      </c>
      <c r="U11" s="10" t="s">
        <v>26</v>
      </c>
      <c r="V11" s="10" t="s">
        <v>26</v>
      </c>
      <c r="W11" s="10" t="s">
        <v>26</v>
      </c>
      <c r="X11" s="10" t="s">
        <v>26</v>
      </c>
    </row>
    <row r="12">
      <c r="A12" s="8">
        <v>40483.0</v>
      </c>
      <c r="B12" s="9">
        <f>IFERROR(__xludf.DUMMYFUNCTION("""COMPUTED_VALUE"""),5531.0)</f>
        <v>5531</v>
      </c>
      <c r="C12" s="10" t="s">
        <v>53</v>
      </c>
      <c r="D12" s="10" t="s">
        <v>26</v>
      </c>
      <c r="E12" s="10" t="s">
        <v>26</v>
      </c>
      <c r="F12" s="10" t="s">
        <v>26</v>
      </c>
      <c r="G12" s="10" t="s">
        <v>26</v>
      </c>
      <c r="H12" s="10" t="s">
        <v>26</v>
      </c>
      <c r="I12" s="11" t="s">
        <v>26</v>
      </c>
      <c r="J12" s="11" t="s">
        <v>26</v>
      </c>
      <c r="K12" s="10" t="s">
        <v>26</v>
      </c>
      <c r="L12" s="10" t="s">
        <v>26</v>
      </c>
      <c r="M12" s="10" t="s">
        <v>26</v>
      </c>
      <c r="N12" s="10" t="s">
        <v>26</v>
      </c>
      <c r="O12" s="10" t="s">
        <v>26</v>
      </c>
      <c r="P12" s="10" t="s">
        <v>26</v>
      </c>
      <c r="Q12" s="10" t="s">
        <v>26</v>
      </c>
      <c r="R12" s="10" t="s">
        <v>26</v>
      </c>
      <c r="S12" s="10" t="s">
        <v>26</v>
      </c>
      <c r="T12" s="10" t="s">
        <v>26</v>
      </c>
      <c r="U12" s="10" t="s">
        <v>26</v>
      </c>
      <c r="V12" s="10" t="s">
        <v>26</v>
      </c>
      <c r="W12" s="10" t="s">
        <v>26</v>
      </c>
      <c r="X12" s="10" t="s">
        <v>26</v>
      </c>
    </row>
    <row r="13">
      <c r="A13" s="8">
        <v>40513.0</v>
      </c>
      <c r="B13" s="9">
        <f>IFERROR(__xludf.DUMMYFUNCTION("""COMPUTED_VALUE"""),5667.0)</f>
        <v>5667</v>
      </c>
      <c r="C13" s="10" t="s">
        <v>54</v>
      </c>
      <c r="D13" s="10" t="s">
        <v>26</v>
      </c>
      <c r="E13" s="10" t="s">
        <v>26</v>
      </c>
      <c r="F13" s="10" t="s">
        <v>26</v>
      </c>
      <c r="G13" s="10" t="s">
        <v>26</v>
      </c>
      <c r="H13" s="10" t="s">
        <v>26</v>
      </c>
      <c r="I13" s="11" t="s">
        <v>26</v>
      </c>
      <c r="J13" s="11" t="s">
        <v>26</v>
      </c>
      <c r="K13" s="10" t="s">
        <v>26</v>
      </c>
      <c r="L13" s="10" t="s">
        <v>26</v>
      </c>
      <c r="M13" s="10" t="s">
        <v>26</v>
      </c>
      <c r="N13" s="10" t="s">
        <v>26</v>
      </c>
      <c r="O13" s="10" t="s">
        <v>26</v>
      </c>
      <c r="P13" s="10" t="s">
        <v>26</v>
      </c>
      <c r="Q13" s="10" t="s">
        <v>26</v>
      </c>
      <c r="R13" s="10" t="s">
        <v>26</v>
      </c>
      <c r="S13" s="10" t="s">
        <v>26</v>
      </c>
      <c r="T13" s="10" t="s">
        <v>26</v>
      </c>
      <c r="U13" s="10" t="s">
        <v>26</v>
      </c>
      <c r="V13" s="10" t="s">
        <v>26</v>
      </c>
      <c r="W13" s="10" t="s">
        <v>26</v>
      </c>
      <c r="X13" s="10" t="s">
        <v>26</v>
      </c>
    </row>
    <row r="14">
      <c r="A14" s="8">
        <v>40544.0</v>
      </c>
      <c r="B14" s="9">
        <f>IFERROR(__xludf.DUMMYFUNCTION("""COMPUTED_VALUE"""),26884.0)</f>
        <v>26884</v>
      </c>
      <c r="C14" s="10" t="s">
        <v>55</v>
      </c>
      <c r="D14" s="10" t="s">
        <v>26</v>
      </c>
      <c r="E14" s="10" t="s">
        <v>26</v>
      </c>
      <c r="F14" s="10" t="s">
        <v>26</v>
      </c>
      <c r="G14" s="10" t="s">
        <v>26</v>
      </c>
      <c r="H14" s="10" t="s">
        <v>26</v>
      </c>
      <c r="I14" s="11" t="s">
        <v>26</v>
      </c>
      <c r="J14" s="11" t="s">
        <v>26</v>
      </c>
      <c r="K14" s="10" t="s">
        <v>26</v>
      </c>
      <c r="L14" s="10" t="s">
        <v>26</v>
      </c>
      <c r="M14" s="10" t="s">
        <v>26</v>
      </c>
      <c r="N14" s="10" t="s">
        <v>26</v>
      </c>
      <c r="O14" s="10" t="s">
        <v>26</v>
      </c>
      <c r="P14" s="10" t="s">
        <v>26</v>
      </c>
      <c r="Q14" s="10" t="s">
        <v>26</v>
      </c>
      <c r="R14" s="10" t="s">
        <v>26</v>
      </c>
      <c r="S14" s="10" t="s">
        <v>26</v>
      </c>
      <c r="T14" s="10" t="s">
        <v>26</v>
      </c>
      <c r="U14" s="10" t="s">
        <v>26</v>
      </c>
      <c r="V14" s="10" t="s">
        <v>26</v>
      </c>
      <c r="W14" s="10" t="s">
        <v>26</v>
      </c>
      <c r="X14" s="10" t="s">
        <v>26</v>
      </c>
    </row>
    <row r="15">
      <c r="A15" s="8">
        <v>40575.0</v>
      </c>
      <c r="B15" s="9">
        <f>IFERROR(__xludf.DUMMYFUNCTION("""COMPUTED_VALUE"""),10651.0)</f>
        <v>10651</v>
      </c>
      <c r="C15" s="10" t="s">
        <v>56</v>
      </c>
      <c r="D15" s="10" t="s">
        <v>26</v>
      </c>
      <c r="E15" s="10" t="s">
        <v>26</v>
      </c>
      <c r="F15" s="10" t="s">
        <v>26</v>
      </c>
      <c r="G15" s="10" t="s">
        <v>26</v>
      </c>
      <c r="H15" s="10" t="s">
        <v>26</v>
      </c>
      <c r="I15" s="11" t="s">
        <v>26</v>
      </c>
      <c r="J15" s="11" t="s">
        <v>26</v>
      </c>
      <c r="K15" s="10" t="s">
        <v>26</v>
      </c>
      <c r="L15" s="10" t="s">
        <v>26</v>
      </c>
      <c r="M15" s="10" t="s">
        <v>26</v>
      </c>
      <c r="N15" s="10" t="s">
        <v>26</v>
      </c>
      <c r="O15" s="10" t="s">
        <v>26</v>
      </c>
      <c r="P15" s="10" t="s">
        <v>26</v>
      </c>
      <c r="Q15" s="10" t="s">
        <v>26</v>
      </c>
      <c r="R15" s="10" t="s">
        <v>26</v>
      </c>
      <c r="S15" s="10" t="s">
        <v>26</v>
      </c>
      <c r="T15" s="10" t="s">
        <v>26</v>
      </c>
      <c r="U15" s="10" t="s">
        <v>26</v>
      </c>
      <c r="V15" s="10" t="s">
        <v>26</v>
      </c>
      <c r="W15" s="10" t="s">
        <v>26</v>
      </c>
      <c r="X15" s="10" t="s">
        <v>26</v>
      </c>
    </row>
    <row r="16">
      <c r="A16" s="8">
        <v>40603.0</v>
      </c>
      <c r="B16" s="9">
        <f>IFERROR(__xludf.DUMMYFUNCTION("""COMPUTED_VALUE"""),7316.0)</f>
        <v>7316</v>
      </c>
      <c r="C16" s="10" t="s">
        <v>57</v>
      </c>
      <c r="D16" s="10" t="s">
        <v>26</v>
      </c>
      <c r="E16" s="10" t="s">
        <v>26</v>
      </c>
      <c r="F16" s="10" t="s">
        <v>26</v>
      </c>
      <c r="G16" s="10" t="s">
        <v>26</v>
      </c>
      <c r="H16" s="10" t="s">
        <v>26</v>
      </c>
      <c r="I16" s="11" t="s">
        <v>26</v>
      </c>
      <c r="J16" s="11" t="s">
        <v>26</v>
      </c>
      <c r="K16" s="10" t="s">
        <v>26</v>
      </c>
      <c r="L16" s="10" t="s">
        <v>26</v>
      </c>
      <c r="M16" s="10" t="s">
        <v>26</v>
      </c>
      <c r="N16" s="10" t="s">
        <v>26</v>
      </c>
      <c r="O16" s="10" t="s">
        <v>26</v>
      </c>
      <c r="P16" s="10" t="s">
        <v>26</v>
      </c>
      <c r="Q16" s="10" t="s">
        <v>26</v>
      </c>
      <c r="R16" s="10" t="s">
        <v>26</v>
      </c>
      <c r="S16" s="10" t="s">
        <v>26</v>
      </c>
      <c r="T16" s="10" t="s">
        <v>26</v>
      </c>
      <c r="U16" s="10" t="s">
        <v>26</v>
      </c>
      <c r="V16" s="10" t="s">
        <v>26</v>
      </c>
      <c r="W16" s="10" t="s">
        <v>26</v>
      </c>
      <c r="X16" s="10" t="s">
        <v>26</v>
      </c>
    </row>
    <row r="17">
      <c r="A17" s="8">
        <v>40634.0</v>
      </c>
      <c r="B17" s="9">
        <f>IFERROR(__xludf.DUMMYFUNCTION("""COMPUTED_VALUE"""),3928.0)</f>
        <v>3928</v>
      </c>
      <c r="C17" s="10" t="s">
        <v>58</v>
      </c>
      <c r="D17" s="10" t="s">
        <v>26</v>
      </c>
      <c r="E17" s="10" t="s">
        <v>26</v>
      </c>
      <c r="F17" s="10" t="s">
        <v>26</v>
      </c>
      <c r="G17" s="10" t="s">
        <v>26</v>
      </c>
      <c r="H17" s="10" t="s">
        <v>26</v>
      </c>
      <c r="I17" s="11" t="s">
        <v>26</v>
      </c>
      <c r="J17" s="11" t="s">
        <v>26</v>
      </c>
      <c r="K17" s="10" t="s">
        <v>26</v>
      </c>
      <c r="L17" s="10" t="s">
        <v>26</v>
      </c>
      <c r="M17" s="10" t="s">
        <v>26</v>
      </c>
      <c r="N17" s="10" t="s">
        <v>26</v>
      </c>
      <c r="O17" s="10" t="s">
        <v>26</v>
      </c>
      <c r="P17" s="10" t="s">
        <v>26</v>
      </c>
      <c r="Q17" s="10" t="s">
        <v>26</v>
      </c>
      <c r="R17" s="10" t="s">
        <v>26</v>
      </c>
      <c r="S17" s="10" t="s">
        <v>26</v>
      </c>
      <c r="T17" s="10" t="s">
        <v>26</v>
      </c>
      <c r="U17" s="10" t="s">
        <v>26</v>
      </c>
      <c r="V17" s="10" t="s">
        <v>26</v>
      </c>
      <c r="W17" s="10" t="s">
        <v>26</v>
      </c>
      <c r="X17" s="10" t="s">
        <v>26</v>
      </c>
    </row>
    <row r="18">
      <c r="A18" s="8">
        <v>40664.0</v>
      </c>
      <c r="B18" s="9">
        <f>IFERROR(__xludf.DUMMYFUNCTION("""COMPUTED_VALUE"""),6285.0)</f>
        <v>6285</v>
      </c>
      <c r="C18" s="10" t="s">
        <v>59</v>
      </c>
      <c r="D18" s="10" t="s">
        <v>26</v>
      </c>
      <c r="E18" s="10" t="s">
        <v>26</v>
      </c>
      <c r="F18" s="10" t="s">
        <v>26</v>
      </c>
      <c r="G18" s="10" t="s">
        <v>26</v>
      </c>
      <c r="H18" s="10" t="s">
        <v>26</v>
      </c>
      <c r="I18" s="11" t="s">
        <v>26</v>
      </c>
      <c r="J18" s="11" t="s">
        <v>26</v>
      </c>
      <c r="K18" s="10" t="s">
        <v>26</v>
      </c>
      <c r="L18" s="10" t="s">
        <v>26</v>
      </c>
      <c r="M18" s="10" t="s">
        <v>26</v>
      </c>
      <c r="N18" s="10" t="s">
        <v>26</v>
      </c>
      <c r="O18" s="10" t="s">
        <v>26</v>
      </c>
      <c r="P18" s="10" t="s">
        <v>26</v>
      </c>
      <c r="Q18" s="10" t="s">
        <v>26</v>
      </c>
      <c r="R18" s="10" t="s">
        <v>26</v>
      </c>
      <c r="S18" s="10" t="s">
        <v>26</v>
      </c>
      <c r="T18" s="10" t="s">
        <v>26</v>
      </c>
      <c r="U18" s="10" t="s">
        <v>26</v>
      </c>
      <c r="V18" s="10" t="s">
        <v>26</v>
      </c>
      <c r="W18" s="10" t="s">
        <v>26</v>
      </c>
      <c r="X18" s="10" t="s">
        <v>26</v>
      </c>
    </row>
    <row r="19">
      <c r="A19" s="8">
        <v>40695.0</v>
      </c>
      <c r="B19" s="9">
        <f>IFERROR(__xludf.DUMMYFUNCTION("""COMPUTED_VALUE"""),10381.0)</f>
        <v>10381</v>
      </c>
      <c r="C19" s="10" t="s">
        <v>60</v>
      </c>
      <c r="D19" s="10" t="s">
        <v>26</v>
      </c>
      <c r="E19" s="10" t="s">
        <v>26</v>
      </c>
      <c r="F19" s="10" t="s">
        <v>26</v>
      </c>
      <c r="G19" s="10" t="s">
        <v>26</v>
      </c>
      <c r="H19" s="10" t="s">
        <v>26</v>
      </c>
      <c r="I19" s="11" t="s">
        <v>26</v>
      </c>
      <c r="J19" s="11" t="s">
        <v>26</v>
      </c>
      <c r="K19" s="10" t="s">
        <v>26</v>
      </c>
      <c r="L19" s="10" t="s">
        <v>26</v>
      </c>
      <c r="M19" s="10" t="s">
        <v>26</v>
      </c>
      <c r="N19" s="10" t="s">
        <v>26</v>
      </c>
      <c r="O19" s="10" t="s">
        <v>26</v>
      </c>
      <c r="P19" s="10" t="s">
        <v>26</v>
      </c>
      <c r="Q19" s="10" t="s">
        <v>26</v>
      </c>
      <c r="R19" s="10" t="s">
        <v>26</v>
      </c>
      <c r="S19" s="10" t="s">
        <v>26</v>
      </c>
      <c r="T19" s="10" t="s">
        <v>26</v>
      </c>
      <c r="U19" s="10" t="s">
        <v>26</v>
      </c>
      <c r="V19" s="10" t="s">
        <v>26</v>
      </c>
      <c r="W19" s="10" t="s">
        <v>26</v>
      </c>
      <c r="X19" s="10" t="s">
        <v>26</v>
      </c>
    </row>
    <row r="20">
      <c r="A20" s="8">
        <v>40725.0</v>
      </c>
      <c r="B20" s="9">
        <f>IFERROR(__xludf.DUMMYFUNCTION("""COMPUTED_VALUE"""),34203.0)</f>
        <v>34203</v>
      </c>
      <c r="C20" s="10" t="s">
        <v>61</v>
      </c>
      <c r="D20" s="10" t="s">
        <v>26</v>
      </c>
      <c r="E20" s="10" t="s">
        <v>26</v>
      </c>
      <c r="F20" s="10" t="s">
        <v>26</v>
      </c>
      <c r="G20" s="10" t="s">
        <v>26</v>
      </c>
      <c r="H20" s="10" t="s">
        <v>26</v>
      </c>
      <c r="I20" s="11" t="s">
        <v>26</v>
      </c>
      <c r="J20" s="11" t="s">
        <v>26</v>
      </c>
      <c r="K20" s="10" t="s">
        <v>26</v>
      </c>
      <c r="L20" s="10" t="s">
        <v>26</v>
      </c>
      <c r="M20" s="10" t="s">
        <v>26</v>
      </c>
      <c r="N20" s="10" t="s">
        <v>26</v>
      </c>
      <c r="O20" s="10" t="s">
        <v>26</v>
      </c>
      <c r="P20" s="10" t="s">
        <v>26</v>
      </c>
      <c r="Q20" s="10" t="s">
        <v>26</v>
      </c>
      <c r="R20" s="10" t="s">
        <v>26</v>
      </c>
      <c r="S20" s="10" t="s">
        <v>26</v>
      </c>
      <c r="T20" s="10" t="s">
        <v>26</v>
      </c>
      <c r="U20" s="10" t="s">
        <v>26</v>
      </c>
      <c r="V20" s="10" t="s">
        <v>26</v>
      </c>
      <c r="W20" s="10" t="s">
        <v>26</v>
      </c>
      <c r="X20" s="10" t="s">
        <v>26</v>
      </c>
    </row>
    <row r="21">
      <c r="A21" s="8">
        <v>40756.0</v>
      </c>
      <c r="B21" s="9">
        <f>IFERROR(__xludf.DUMMYFUNCTION("""COMPUTED_VALUE"""),16798.0)</f>
        <v>16798</v>
      </c>
      <c r="C21" s="12" t="s">
        <v>62</v>
      </c>
      <c r="D21" s="12">
        <v>11612.7167909859</v>
      </c>
      <c r="E21" s="12">
        <v>16683.360432103</v>
      </c>
      <c r="F21" s="12">
        <v>17627.47857591</v>
      </c>
      <c r="G21" s="12">
        <v>19378.2208149207</v>
      </c>
      <c r="H21" s="12">
        <v>15457.4877951785</v>
      </c>
      <c r="I21" s="13">
        <v>13148.4639477656</v>
      </c>
      <c r="J21" s="13">
        <v>16312.147381235</v>
      </c>
      <c r="K21" s="12">
        <v>19078.4403555035</v>
      </c>
      <c r="L21" s="12">
        <v>16915.3865826625</v>
      </c>
      <c r="M21" s="12">
        <v>15906.8116358518</v>
      </c>
      <c r="N21" s="12">
        <v>12727.5779998343</v>
      </c>
      <c r="O21" s="12">
        <v>12072.3364214181</v>
      </c>
      <c r="P21" s="12">
        <v>12606.9437253974</v>
      </c>
      <c r="Q21" s="12">
        <v>12606.9432649052</v>
      </c>
      <c r="R21" s="12">
        <v>15153.5653898902</v>
      </c>
      <c r="S21" s="12">
        <v>14679.5904922427</v>
      </c>
      <c r="T21" s="12">
        <v>15971.5868111436</v>
      </c>
      <c r="U21" s="12">
        <v>14520.8313430682</v>
      </c>
      <c r="V21" s="12">
        <v>15709.7427027225</v>
      </c>
      <c r="W21" s="12">
        <v>13531.131138381</v>
      </c>
      <c r="X21" s="12">
        <v>9836.05539866593</v>
      </c>
    </row>
    <row r="22">
      <c r="A22" s="8">
        <v>40787.0</v>
      </c>
      <c r="B22" s="9">
        <f>IFERROR(__xludf.DUMMYFUNCTION("""COMPUTED_VALUE"""),12011.0)</f>
        <v>12011</v>
      </c>
      <c r="C22" s="12" t="s">
        <v>63</v>
      </c>
      <c r="D22" s="12">
        <v>12061.6672347822</v>
      </c>
      <c r="E22" s="12">
        <v>10576.7854808354</v>
      </c>
      <c r="F22" s="12">
        <v>12328.1744535726</v>
      </c>
      <c r="G22" s="12">
        <v>9915.26999970626</v>
      </c>
      <c r="H22" s="12">
        <v>11731.1394213269</v>
      </c>
      <c r="I22" s="13">
        <v>16292.308478558</v>
      </c>
      <c r="J22" s="13">
        <v>13588.2834734519</v>
      </c>
      <c r="K22" s="12">
        <v>17606.0969371772</v>
      </c>
      <c r="L22" s="12">
        <v>17525.8965402243</v>
      </c>
      <c r="M22" s="12">
        <v>19633.4612597115</v>
      </c>
      <c r="N22" s="12">
        <v>19657.8841518205</v>
      </c>
      <c r="O22" s="12">
        <v>15692.3869606038</v>
      </c>
      <c r="P22" s="12">
        <v>7564.70521301107</v>
      </c>
      <c r="Q22" s="12">
        <v>7564.70501094505</v>
      </c>
      <c r="R22" s="12">
        <v>19208.8896943148</v>
      </c>
      <c r="S22" s="12">
        <v>13468.2462991891</v>
      </c>
      <c r="T22" s="12">
        <v>12579.6360590908</v>
      </c>
      <c r="U22" s="12">
        <v>17900.1156047566</v>
      </c>
      <c r="V22" s="12">
        <v>18175.9261977031</v>
      </c>
      <c r="W22" s="12">
        <v>15232.350040041</v>
      </c>
      <c r="X22" s="12">
        <v>11692.299311233</v>
      </c>
    </row>
    <row r="23">
      <c r="A23" s="8">
        <v>40817.0</v>
      </c>
      <c r="B23" s="9">
        <f>IFERROR(__xludf.DUMMYFUNCTION("""COMPUTED_VALUE"""),45938.0)</f>
        <v>45938</v>
      </c>
      <c r="C23" s="12" t="s">
        <v>43</v>
      </c>
      <c r="D23" s="12">
        <v>46979.2603715256</v>
      </c>
      <c r="E23" s="12">
        <v>35655.4803465057</v>
      </c>
      <c r="F23" s="12">
        <v>46944.6207984886</v>
      </c>
      <c r="G23" s="12">
        <v>40041.1141683508</v>
      </c>
      <c r="H23" s="12">
        <v>46390.1059013667</v>
      </c>
      <c r="I23" s="13">
        <v>43828.8072102494</v>
      </c>
      <c r="J23" s="13">
        <v>43315.3160383094</v>
      </c>
      <c r="K23" s="12">
        <v>20930.9784215769</v>
      </c>
      <c r="L23" s="12">
        <v>25062.1673943265</v>
      </c>
      <c r="M23" s="12">
        <v>45978.9902127243</v>
      </c>
      <c r="N23" s="12">
        <v>45456.7109483792</v>
      </c>
      <c r="O23" s="12">
        <v>42660.7797080252</v>
      </c>
      <c r="P23" s="12">
        <v>42837.9878143253</v>
      </c>
      <c r="Q23" s="12">
        <v>42837.9856751595</v>
      </c>
      <c r="R23" s="12">
        <v>49728.338744789</v>
      </c>
      <c r="S23" s="12">
        <v>18755.1642531427</v>
      </c>
      <c r="T23" s="12">
        <v>47995.8145561777</v>
      </c>
      <c r="U23" s="12">
        <v>28746.2574572146</v>
      </c>
      <c r="V23" s="12">
        <v>35025.2503376637</v>
      </c>
      <c r="W23" s="12">
        <v>32680.2222552221</v>
      </c>
      <c r="X23" s="12">
        <v>45239.7396358009</v>
      </c>
    </row>
    <row r="24">
      <c r="A24" s="8">
        <v>40848.0</v>
      </c>
      <c r="B24" s="9">
        <f>IFERROR(__xludf.DUMMYFUNCTION("""COMPUTED_VALUE"""),4573.0)</f>
        <v>4573</v>
      </c>
      <c r="C24" s="12" t="s">
        <v>44</v>
      </c>
      <c r="D24" s="12">
        <v>6323.70196978133</v>
      </c>
      <c r="E24" s="12">
        <v>2505.45260214742</v>
      </c>
      <c r="F24" s="12">
        <v>7236.53740066638</v>
      </c>
      <c r="G24" s="12">
        <v>7656.05063944025</v>
      </c>
      <c r="H24" s="12">
        <v>2917.57422247725</v>
      </c>
      <c r="I24" s="13">
        <v>5755.61046896072</v>
      </c>
      <c r="J24" s="13">
        <v>7511.22516733333</v>
      </c>
      <c r="K24" s="12">
        <v>6098.40877372702</v>
      </c>
      <c r="L24" s="12">
        <v>12610.517697896</v>
      </c>
      <c r="M24" s="12">
        <v>9195.06589165908</v>
      </c>
      <c r="N24" s="12">
        <v>5362.09188375893</v>
      </c>
      <c r="O24" s="12">
        <v>3498.46528787894</v>
      </c>
      <c r="P24" s="12">
        <v>6878.79416180007</v>
      </c>
      <c r="Q24" s="12">
        <v>6878.7902921727</v>
      </c>
      <c r="R24" s="12">
        <v>4507.25182901849</v>
      </c>
      <c r="S24" s="12">
        <v>5154.23963112237</v>
      </c>
      <c r="T24" s="12">
        <v>11802.2843882475</v>
      </c>
      <c r="U24" s="12">
        <v>5969.0</v>
      </c>
      <c r="V24" s="12">
        <v>12892.7234525691</v>
      </c>
      <c r="W24" s="12">
        <v>10358.7114885913</v>
      </c>
      <c r="X24" s="12">
        <v>15252.56776111</v>
      </c>
    </row>
    <row r="25">
      <c r="A25" s="8">
        <v>40878.0</v>
      </c>
      <c r="B25" s="9">
        <f>IFERROR(__xludf.DUMMYFUNCTION("""COMPUTED_VALUE"""),7753.0)</f>
        <v>7753</v>
      </c>
      <c r="C25" s="12" t="s">
        <v>45</v>
      </c>
      <c r="D25" s="12">
        <v>8199.31602638143</v>
      </c>
      <c r="E25" s="12">
        <v>5756.72050546131</v>
      </c>
      <c r="F25" s="12">
        <v>7406.72773733055</v>
      </c>
      <c r="G25" s="12">
        <v>6421.2319806359</v>
      </c>
      <c r="H25" s="12">
        <v>6367.13871575481</v>
      </c>
      <c r="I25" s="13">
        <v>7912.63583355413</v>
      </c>
      <c r="J25" s="13">
        <v>10620.4999601652</v>
      </c>
      <c r="K25" s="12">
        <v>6857.33250501909</v>
      </c>
      <c r="L25" s="12">
        <v>8297.86364617562</v>
      </c>
      <c r="M25" s="12">
        <v>5990.17382764337</v>
      </c>
      <c r="N25" s="12">
        <v>4069.30688168692</v>
      </c>
      <c r="O25" s="12">
        <v>4294.64410955921</v>
      </c>
      <c r="P25" s="12">
        <v>6669.21465381943</v>
      </c>
      <c r="Q25" s="12">
        <v>6669.20870073317</v>
      </c>
      <c r="R25" s="12">
        <v>6976.78115364982</v>
      </c>
      <c r="S25" s="12">
        <v>9509.2186873698</v>
      </c>
      <c r="T25" s="12">
        <v>10297.858454652</v>
      </c>
      <c r="U25" s="12">
        <v>5786.34311583112</v>
      </c>
      <c r="V25" s="12">
        <v>9465.57787446953</v>
      </c>
      <c r="W25" s="12">
        <v>8347.02078626816</v>
      </c>
      <c r="X25" s="12">
        <v>7064.2772571052</v>
      </c>
    </row>
    <row r="26">
      <c r="A26" s="8">
        <v>40909.0</v>
      </c>
      <c r="B26" s="9">
        <f>IFERROR(__xludf.DUMMYFUNCTION("""COMPUTED_VALUE"""),10780.0)</f>
        <v>10780</v>
      </c>
      <c r="C26" s="12" t="s">
        <v>46</v>
      </c>
      <c r="D26" s="12">
        <v>7840.3389674737</v>
      </c>
      <c r="E26" s="12">
        <v>6711.06562631469</v>
      </c>
      <c r="F26" s="12">
        <v>8809.8004482636</v>
      </c>
      <c r="G26" s="12">
        <v>10551.1546819697</v>
      </c>
      <c r="H26" s="12">
        <v>5898.76472267229</v>
      </c>
      <c r="I26" s="13">
        <v>6287.14636452628</v>
      </c>
      <c r="J26" s="13">
        <v>9827.37254161811</v>
      </c>
      <c r="K26" s="12">
        <v>9787.09494777744</v>
      </c>
      <c r="L26" s="12">
        <v>8954.7137791302</v>
      </c>
      <c r="M26" s="12">
        <v>4316.93478844702</v>
      </c>
      <c r="N26" s="12">
        <v>6849.40222529972</v>
      </c>
      <c r="O26" s="12">
        <v>11558.7746982162</v>
      </c>
      <c r="P26" s="12">
        <v>11944.1841166944</v>
      </c>
      <c r="Q26" s="12">
        <v>11944.1670644089</v>
      </c>
      <c r="R26" s="12">
        <v>12117.2279498869</v>
      </c>
      <c r="S26" s="12">
        <v>11532.4341790139</v>
      </c>
      <c r="T26" s="12">
        <v>8763.11269044191</v>
      </c>
      <c r="U26" s="12">
        <v>11036.6793540676</v>
      </c>
      <c r="V26" s="12">
        <v>10998.6749282164</v>
      </c>
      <c r="W26" s="12">
        <v>5903.49342017921</v>
      </c>
      <c r="X26" s="12">
        <v>5226.63240700252</v>
      </c>
    </row>
    <row r="27">
      <c r="A27" s="8">
        <v>40940.0</v>
      </c>
      <c r="B27" s="9">
        <f>IFERROR(__xludf.DUMMYFUNCTION("""COMPUTED_VALUE"""),37053.0)</f>
        <v>37053</v>
      </c>
      <c r="C27" s="12" t="s">
        <v>47</v>
      </c>
      <c r="D27" s="12">
        <v>37771.6079962973</v>
      </c>
      <c r="E27" s="12">
        <v>13898.6144412777</v>
      </c>
      <c r="F27" s="12">
        <v>33615.0953353636</v>
      </c>
      <c r="G27" s="12">
        <v>36898.7391424791</v>
      </c>
      <c r="H27" s="12">
        <v>36737.9065906674</v>
      </c>
      <c r="I27" s="13">
        <v>37530.3189268162</v>
      </c>
      <c r="J27" s="13">
        <v>11565.5871283607</v>
      </c>
      <c r="K27" s="12">
        <v>32826.3564686389</v>
      </c>
      <c r="L27" s="12">
        <v>34498.9176885575</v>
      </c>
      <c r="M27" s="12">
        <v>33921.3492538528</v>
      </c>
      <c r="N27" s="12">
        <v>71868.3722937514</v>
      </c>
      <c r="O27" s="12">
        <v>18608.6348326208</v>
      </c>
      <c r="P27" s="12">
        <v>37055.5368213933</v>
      </c>
      <c r="Q27" s="12">
        <v>37055.4543181757</v>
      </c>
      <c r="R27" s="12">
        <v>19789.5398238311</v>
      </c>
      <c r="S27" s="12">
        <v>36565.6320007502</v>
      </c>
      <c r="T27" s="12">
        <v>8938.8072896414</v>
      </c>
      <c r="U27" s="12">
        <v>19757.5012084938</v>
      </c>
      <c r="V27" s="12">
        <v>32459.1455283477</v>
      </c>
      <c r="W27" s="12">
        <v>36931.0963276989</v>
      </c>
      <c r="X27" s="12">
        <v>2053.88320601244</v>
      </c>
    </row>
    <row r="28">
      <c r="A28" s="8">
        <v>40969.0</v>
      </c>
      <c r="B28" s="9">
        <f>IFERROR(__xludf.DUMMYFUNCTION("""COMPUTED_VALUE"""),21354.0)</f>
        <v>21354</v>
      </c>
      <c r="C28" s="12" t="s">
        <v>48</v>
      </c>
      <c r="D28" s="12">
        <v>24715.2219557662</v>
      </c>
      <c r="E28" s="12">
        <v>17532.3282955216</v>
      </c>
      <c r="F28" s="12">
        <v>14198.0595639504</v>
      </c>
      <c r="G28" s="12">
        <v>16001.9552553659</v>
      </c>
      <c r="H28" s="12">
        <v>15056.7537708837</v>
      </c>
      <c r="I28" s="13">
        <v>24825.980929962</v>
      </c>
      <c r="J28" s="13">
        <v>22062.7729423123</v>
      </c>
      <c r="K28" s="12">
        <v>10150.0695798892</v>
      </c>
      <c r="L28" s="12">
        <v>20570.3215402933</v>
      </c>
      <c r="M28" s="12">
        <v>19797.9271274458</v>
      </c>
      <c r="N28" s="12">
        <v>11714.382023284</v>
      </c>
      <c r="O28" s="12">
        <v>16512.5311532836</v>
      </c>
      <c r="P28" s="12">
        <v>20224.2321903777</v>
      </c>
      <c r="Q28" s="12">
        <v>20224.2032705662</v>
      </c>
      <c r="R28" s="12">
        <v>17764.6564920387</v>
      </c>
      <c r="S28" s="12">
        <v>14717.1657131856</v>
      </c>
      <c r="T28" s="12">
        <v>19155.3933704773</v>
      </c>
      <c r="U28" s="12">
        <v>19938.4839605785</v>
      </c>
      <c r="V28" s="12">
        <v>24764.4486852848</v>
      </c>
      <c r="W28" s="12">
        <v>14864.8737528402</v>
      </c>
      <c r="X28" s="12">
        <v>17008.1529414414</v>
      </c>
    </row>
    <row r="29">
      <c r="A29" s="8">
        <v>41000.0</v>
      </c>
      <c r="B29" s="9">
        <f>IFERROR(__xludf.DUMMYFUNCTION("""COMPUTED_VALUE"""),19843.0)</f>
        <v>19843</v>
      </c>
      <c r="C29" s="12" t="s">
        <v>49</v>
      </c>
      <c r="D29" s="12">
        <v>8758.8348472402</v>
      </c>
      <c r="E29" s="12">
        <v>14834.1457523233</v>
      </c>
      <c r="F29" s="12">
        <v>14606.3742002666</v>
      </c>
      <c r="G29" s="12">
        <v>14091.6106449121</v>
      </c>
      <c r="H29" s="12">
        <v>12780.0116835906</v>
      </c>
      <c r="I29" s="13">
        <v>10671.4353127083</v>
      </c>
      <c r="J29" s="13">
        <v>15579.7454113914</v>
      </c>
      <c r="K29" s="12">
        <v>13545.1663620911</v>
      </c>
      <c r="L29" s="12">
        <v>12046.713133685</v>
      </c>
      <c r="M29" s="12">
        <v>18032.1789723705</v>
      </c>
      <c r="N29" s="12">
        <v>4148.97735750131</v>
      </c>
      <c r="O29" s="12">
        <v>6927.84181016258</v>
      </c>
      <c r="P29" s="12">
        <v>12932.995020138</v>
      </c>
      <c r="Q29" s="12">
        <v>12932.9927872563</v>
      </c>
      <c r="R29" s="12">
        <v>5626.83828353767</v>
      </c>
      <c r="S29" s="12">
        <v>6947.94835979533</v>
      </c>
      <c r="T29" s="12">
        <v>18101.7133373662</v>
      </c>
      <c r="U29" s="12">
        <v>16464.0</v>
      </c>
      <c r="V29" s="12">
        <v>8386.05569504786</v>
      </c>
      <c r="W29" s="12">
        <v>7796.83503402443</v>
      </c>
      <c r="X29" s="12">
        <v>4525.96518546273</v>
      </c>
    </row>
    <row r="30">
      <c r="A30" s="8">
        <v>41030.0</v>
      </c>
      <c r="B30" s="9">
        <f>IFERROR(__xludf.DUMMYFUNCTION("""COMPUTED_VALUE"""),24240.0)</f>
        <v>24240</v>
      </c>
      <c r="C30" s="12" t="s">
        <v>50</v>
      </c>
      <c r="D30" s="12">
        <v>24558.9637643056</v>
      </c>
      <c r="E30" s="12">
        <v>16136.6217005092</v>
      </c>
      <c r="F30" s="12">
        <v>23830.7677874365</v>
      </c>
      <c r="G30" s="12">
        <v>6996.80277372793</v>
      </c>
      <c r="H30" s="12">
        <v>2287.45761546186</v>
      </c>
      <c r="I30" s="13">
        <v>2741.42358824431</v>
      </c>
      <c r="J30" s="13">
        <v>24856.3068775479</v>
      </c>
      <c r="K30" s="12">
        <v>17976.1821629629</v>
      </c>
      <c r="L30" s="12">
        <v>8667.93911590836</v>
      </c>
      <c r="M30" s="12">
        <v>37402.1773661754</v>
      </c>
      <c r="N30" s="12">
        <v>4545.71535704403</v>
      </c>
      <c r="O30" s="12">
        <v>3867.24156673957</v>
      </c>
      <c r="P30" s="12">
        <v>19269.756344286</v>
      </c>
      <c r="Q30" s="12">
        <v>19269.7528674844</v>
      </c>
      <c r="R30" s="12">
        <v>3966.81774108803</v>
      </c>
      <c r="S30" s="12">
        <v>23595.9864774314</v>
      </c>
      <c r="T30" s="12">
        <v>7425.36465352426</v>
      </c>
      <c r="U30" s="12">
        <v>15937.0</v>
      </c>
      <c r="V30" s="12">
        <v>7618.44379345783</v>
      </c>
      <c r="W30" s="12">
        <v>5815.50749874558</v>
      </c>
      <c r="X30" s="12">
        <v>4289.59237876426</v>
      </c>
    </row>
    <row r="31">
      <c r="A31" s="8">
        <v>41061.0</v>
      </c>
      <c r="B31" s="9">
        <f>IFERROR(__xludf.DUMMYFUNCTION("""COMPUTED_VALUE"""),5609.0)</f>
        <v>5609</v>
      </c>
      <c r="C31" s="12" t="s">
        <v>51</v>
      </c>
      <c r="D31" s="12">
        <v>3482.74493796876</v>
      </c>
      <c r="E31" s="12">
        <v>9722.79895663831</v>
      </c>
      <c r="F31" s="12">
        <v>4196.41751493546</v>
      </c>
      <c r="G31" s="12">
        <v>4008.96257055532</v>
      </c>
      <c r="H31" s="12">
        <v>4118.49231944897</v>
      </c>
      <c r="I31" s="13">
        <v>5623.22322011879</v>
      </c>
      <c r="J31" s="13">
        <v>5699.31795068809</v>
      </c>
      <c r="K31" s="12">
        <v>3904.02601769001</v>
      </c>
      <c r="L31" s="12">
        <v>7421.03529513836</v>
      </c>
      <c r="M31" s="12">
        <v>16103.59250909</v>
      </c>
      <c r="N31" s="12">
        <v>17142.8517875688</v>
      </c>
      <c r="O31" s="12">
        <v>7732.4780890789</v>
      </c>
      <c r="P31" s="12">
        <v>8806.24131849414</v>
      </c>
      <c r="Q31" s="12">
        <v>8806.24131060932</v>
      </c>
      <c r="R31" s="12">
        <v>8494.91694593609</v>
      </c>
      <c r="S31" s="12">
        <v>7195.41654665997</v>
      </c>
      <c r="T31" s="12">
        <v>4089.87970001144</v>
      </c>
      <c r="U31" s="12">
        <v>7940.63096298338</v>
      </c>
      <c r="V31" s="12">
        <v>9798.91022606834</v>
      </c>
      <c r="W31" s="12">
        <v>7862.63749696363</v>
      </c>
      <c r="X31" s="12">
        <v>186.960871267542</v>
      </c>
    </row>
    <row r="32">
      <c r="A32" s="8">
        <v>41091.0</v>
      </c>
      <c r="B32" s="9">
        <f>IFERROR(__xludf.DUMMYFUNCTION("""COMPUTED_VALUE"""),2607.0)</f>
        <v>2607</v>
      </c>
      <c r="C32" s="12" t="s">
        <v>52</v>
      </c>
      <c r="D32" s="12">
        <v>2307.03482510237</v>
      </c>
      <c r="E32" s="12">
        <v>978.045223603844</v>
      </c>
      <c r="F32" s="12">
        <v>815.387394556401</v>
      </c>
      <c r="G32" s="12">
        <v>2988.81551010578</v>
      </c>
      <c r="H32" s="12">
        <v>241.910619666298</v>
      </c>
      <c r="I32" s="13">
        <v>1840.77177530638</v>
      </c>
      <c r="J32" s="13">
        <v>3173.00194890969</v>
      </c>
      <c r="K32" s="12">
        <v>2138.45589882827</v>
      </c>
      <c r="L32" s="12">
        <v>4680.23521099996</v>
      </c>
      <c r="M32" s="12">
        <v>5268.43618040744</v>
      </c>
      <c r="N32" s="12">
        <v>4941.2239521051</v>
      </c>
      <c r="O32" s="12">
        <v>2376.00469634629</v>
      </c>
      <c r="P32" s="12">
        <v>3322.3734644678</v>
      </c>
      <c r="Q32" s="12">
        <v>3322.37215844913</v>
      </c>
      <c r="R32" s="12">
        <v>2528.2605789515</v>
      </c>
      <c r="S32" s="12">
        <v>4282.19240452739</v>
      </c>
      <c r="T32" s="12">
        <v>6951.47537675154</v>
      </c>
      <c r="U32" s="12">
        <v>2943.20128656856</v>
      </c>
      <c r="V32" s="12">
        <v>5223.69418638689</v>
      </c>
      <c r="W32" s="12">
        <v>4576.16673927042</v>
      </c>
      <c r="X32" s="12">
        <v>1979.52288700859</v>
      </c>
    </row>
    <row r="33">
      <c r="A33" s="8">
        <v>41122.0</v>
      </c>
      <c r="B33" s="9">
        <f>IFERROR(__xludf.DUMMYFUNCTION("""COMPUTED_VALUE"""),2891.0)</f>
        <v>2891</v>
      </c>
      <c r="C33" s="12" t="s">
        <v>53</v>
      </c>
      <c r="D33" s="12">
        <v>2776.25935167446</v>
      </c>
      <c r="E33" s="12">
        <v>2984.1293940508</v>
      </c>
      <c r="F33" s="12">
        <v>2662.95321291445</v>
      </c>
      <c r="G33" s="12">
        <v>2966.35328254595</v>
      </c>
      <c r="H33" s="12">
        <v>1337.73279866787</v>
      </c>
      <c r="I33" s="13">
        <v>3224.26200500118</v>
      </c>
      <c r="J33" s="13">
        <v>4227.95914050969</v>
      </c>
      <c r="K33" s="12">
        <v>3727.22730728313</v>
      </c>
      <c r="L33" s="12">
        <v>3134.19755911029</v>
      </c>
      <c r="M33" s="12">
        <v>3305.07683588914</v>
      </c>
      <c r="N33" s="12">
        <v>4356.67221278786</v>
      </c>
      <c r="O33" s="12">
        <v>3490.06390434728</v>
      </c>
      <c r="P33" s="12">
        <v>3244.83533649184</v>
      </c>
      <c r="Q33" s="12">
        <v>3244.83501099026</v>
      </c>
      <c r="R33" s="12">
        <v>3445.23106969982</v>
      </c>
      <c r="S33" s="12">
        <v>3519.26102646423</v>
      </c>
      <c r="T33" s="12">
        <v>5702.65807871666</v>
      </c>
      <c r="U33" s="12">
        <v>3147.6035404227</v>
      </c>
      <c r="V33" s="12">
        <v>3869.91482372319</v>
      </c>
      <c r="W33" s="12">
        <v>4499.12959048402</v>
      </c>
      <c r="X33" s="12">
        <v>2023.60956071083</v>
      </c>
    </row>
    <row r="34">
      <c r="A34" s="8">
        <v>41153.0</v>
      </c>
      <c r="B34" s="9">
        <f>IFERROR(__xludf.DUMMYFUNCTION("""COMPUTED_VALUE"""),3704.0)</f>
        <v>3704</v>
      </c>
      <c r="C34" s="12" t="s">
        <v>54</v>
      </c>
      <c r="D34" s="12">
        <v>3187.27359550375</v>
      </c>
      <c r="E34" s="12">
        <v>3778.01526554371</v>
      </c>
      <c r="F34" s="12">
        <v>3154.19818408331</v>
      </c>
      <c r="G34" s="12">
        <v>3370.313708152</v>
      </c>
      <c r="H34" s="12">
        <v>1548.21878530651</v>
      </c>
      <c r="I34" s="13">
        <v>3914.00595488429</v>
      </c>
      <c r="J34" s="13">
        <v>3985.47992597825</v>
      </c>
      <c r="K34" s="12">
        <v>4011.28437735224</v>
      </c>
      <c r="L34" s="12">
        <v>2177.01092411851</v>
      </c>
      <c r="M34" s="12">
        <v>2505.45793899662</v>
      </c>
      <c r="N34" s="12">
        <v>2749.34749377229</v>
      </c>
      <c r="O34" s="12">
        <v>5179.22880056285</v>
      </c>
      <c r="P34" s="12">
        <v>7053.92132247077</v>
      </c>
      <c r="Q34" s="12">
        <v>7053.92121329633</v>
      </c>
      <c r="R34" s="12">
        <v>2852.99072583063</v>
      </c>
      <c r="S34" s="12">
        <v>4350.3998647869</v>
      </c>
      <c r="T34" s="12">
        <v>4200.47121511859</v>
      </c>
      <c r="U34" s="12">
        <v>8261.0</v>
      </c>
      <c r="V34" s="12">
        <v>3184.42685833821</v>
      </c>
      <c r="W34" s="12">
        <v>3247.98349761395</v>
      </c>
      <c r="X34" s="12">
        <v>4387.70409457913</v>
      </c>
    </row>
    <row r="35">
      <c r="A35" s="8">
        <v>41183.0</v>
      </c>
      <c r="B35" s="9">
        <f>IFERROR(__xludf.DUMMYFUNCTION("""COMPUTED_VALUE"""),4160.0)</f>
        <v>4160</v>
      </c>
      <c r="C35" s="12" t="s">
        <v>55</v>
      </c>
      <c r="D35" s="12">
        <v>2844.67360877015</v>
      </c>
      <c r="E35" s="12">
        <v>4569.31378253683</v>
      </c>
      <c r="F35" s="12">
        <v>3161.00609923878</v>
      </c>
      <c r="G35" s="12">
        <v>3951.2086007287</v>
      </c>
      <c r="H35" s="12">
        <v>2972.71296570675</v>
      </c>
      <c r="I35" s="13">
        <v>4717.24055026124</v>
      </c>
      <c r="J35" s="13">
        <v>5254.81412459338</v>
      </c>
      <c r="K35" s="12">
        <v>4622.34038503621</v>
      </c>
      <c r="L35" s="12">
        <v>3974.09315003887</v>
      </c>
      <c r="M35" s="12">
        <v>4313.10083935062</v>
      </c>
      <c r="N35" s="12">
        <v>3953.49145396305</v>
      </c>
      <c r="O35" s="12">
        <v>4189.11454488071</v>
      </c>
      <c r="P35" s="12">
        <v>8931.50220210277</v>
      </c>
      <c r="Q35" s="12">
        <v>8931.50103698443</v>
      </c>
      <c r="R35" s="12">
        <v>2460.46326633235</v>
      </c>
      <c r="S35" s="12">
        <v>1894.92388657761</v>
      </c>
      <c r="T35" s="12">
        <v>3812.55836046653</v>
      </c>
      <c r="U35" s="12">
        <v>2084.15943278546</v>
      </c>
      <c r="V35" s="12">
        <v>3757.60166799337</v>
      </c>
      <c r="W35" s="12">
        <v>2950.76968119396</v>
      </c>
      <c r="X35" s="12">
        <v>3534.75091041378</v>
      </c>
    </row>
    <row r="36">
      <c r="A36" s="8">
        <v>41214.0</v>
      </c>
      <c r="B36" s="9">
        <f>IFERROR(__xludf.DUMMYFUNCTION("""COMPUTED_VALUE"""),967.0)</f>
        <v>967</v>
      </c>
      <c r="C36" s="12" t="s">
        <v>56</v>
      </c>
      <c r="D36" s="12">
        <v>1298.14893483644</v>
      </c>
      <c r="E36" s="12">
        <v>2473.07150308741</v>
      </c>
      <c r="F36" s="12">
        <v>1634.84716171748</v>
      </c>
      <c r="G36" s="12">
        <v>3035.76684944705</v>
      </c>
      <c r="H36" s="12">
        <v>4535.49698017751</v>
      </c>
      <c r="I36" s="13">
        <v>7141.30421731174</v>
      </c>
      <c r="J36" s="13">
        <v>-51.5667306677788</v>
      </c>
      <c r="K36" s="12">
        <v>385.005043879758</v>
      </c>
      <c r="L36" s="12">
        <v>1385.26480205664</v>
      </c>
      <c r="M36" s="12">
        <v>2271.98148566683</v>
      </c>
      <c r="N36" s="12">
        <v>2728.90432427361</v>
      </c>
      <c r="O36" s="12">
        <v>3055.17921212367</v>
      </c>
      <c r="P36" s="12">
        <v>2620.40623591419</v>
      </c>
      <c r="Q36" s="12">
        <v>2620.40571486285</v>
      </c>
      <c r="R36" s="12">
        <v>3586.21367559248</v>
      </c>
      <c r="S36" s="12">
        <v>1796.02985105452</v>
      </c>
      <c r="T36" s="12">
        <v>4186.7688212919</v>
      </c>
      <c r="U36" s="12">
        <v>2680.46894084937</v>
      </c>
      <c r="V36" s="12">
        <v>3062.7761389535</v>
      </c>
      <c r="W36" s="12">
        <v>3586.642095962</v>
      </c>
      <c r="X36" s="12">
        <v>680.96031454386</v>
      </c>
    </row>
    <row r="37">
      <c r="A37" s="8">
        <v>41244.0</v>
      </c>
      <c r="B37" s="9">
        <f>IFERROR(__xludf.DUMMYFUNCTION("""COMPUTED_VALUE"""),124.0)</f>
        <v>124</v>
      </c>
      <c r="C37" s="12" t="s">
        <v>57</v>
      </c>
      <c r="D37" s="12">
        <v>-1928.88855943102</v>
      </c>
      <c r="E37" s="12">
        <v>3064.58111366642</v>
      </c>
      <c r="F37" s="12">
        <v>-1967.7082171815</v>
      </c>
      <c r="G37" s="12">
        <v>2346.65939364639</v>
      </c>
      <c r="H37" s="12">
        <v>-1207.19480369874</v>
      </c>
      <c r="I37" s="13">
        <v>-1026.9351776472</v>
      </c>
      <c r="J37" s="13">
        <v>1478.13240230431</v>
      </c>
      <c r="K37" s="12">
        <v>545.147996903432</v>
      </c>
      <c r="L37" s="12">
        <v>281.048613882693</v>
      </c>
      <c r="M37" s="12">
        <v>2549.06906766632</v>
      </c>
      <c r="N37" s="12">
        <v>2407.28388340885</v>
      </c>
      <c r="O37" s="12">
        <v>2093.1325445511</v>
      </c>
      <c r="P37" s="12">
        <v>2991.86132751262</v>
      </c>
      <c r="Q37" s="12">
        <v>2991.86116533726</v>
      </c>
      <c r="R37" s="12">
        <v>3392.45808945061</v>
      </c>
      <c r="S37" s="12">
        <v>2200.58925328903</v>
      </c>
      <c r="T37" s="12">
        <v>2774.9127676264</v>
      </c>
      <c r="U37" s="12">
        <v>3159.0</v>
      </c>
      <c r="V37" s="12">
        <v>2469.32219358166</v>
      </c>
      <c r="W37" s="12">
        <v>2743.48211019069</v>
      </c>
      <c r="X37" s="12">
        <v>-1758.36392107663</v>
      </c>
    </row>
    <row r="38">
      <c r="A38" s="8">
        <v>41275.0</v>
      </c>
      <c r="B38" s="9">
        <f>IFERROR(__xludf.DUMMYFUNCTION("""COMPUTED_VALUE"""),2998.0)</f>
        <v>2998</v>
      </c>
      <c r="C38" s="12" t="s">
        <v>58</v>
      </c>
      <c r="D38" s="12">
        <v>1034.09378285763</v>
      </c>
      <c r="E38" s="12">
        <v>2027.40127129788</v>
      </c>
      <c r="F38" s="12">
        <v>1923.94438831921</v>
      </c>
      <c r="G38" s="12">
        <v>2024.18469137699</v>
      </c>
      <c r="H38" s="12">
        <v>1932.25248493129</v>
      </c>
      <c r="I38" s="13">
        <v>1960.35108823847</v>
      </c>
      <c r="J38" s="13">
        <v>391.775288342811</v>
      </c>
      <c r="K38" s="12">
        <v>1648.52770802806</v>
      </c>
      <c r="L38" s="12">
        <v>945.499178473769</v>
      </c>
      <c r="M38" s="12">
        <v>5098.5414046761</v>
      </c>
      <c r="N38" s="12">
        <v>2382.8609940505</v>
      </c>
      <c r="O38" s="12">
        <v>4374.31396608685</v>
      </c>
      <c r="P38" s="12">
        <v>3864.45617341951</v>
      </c>
      <c r="Q38" s="12">
        <v>3864.45617341951</v>
      </c>
      <c r="R38" s="12">
        <v>4284.17948238827</v>
      </c>
      <c r="S38" s="12">
        <v>2753.49683276935</v>
      </c>
      <c r="T38" s="12">
        <v>1816.32382244379</v>
      </c>
      <c r="U38" s="12">
        <v>3588.44040434333</v>
      </c>
      <c r="V38" s="12">
        <v>2330.96931398479</v>
      </c>
      <c r="W38" s="12">
        <v>2860.69326434735</v>
      </c>
      <c r="X38" s="12">
        <v>11397.4038425574</v>
      </c>
    </row>
    <row r="39">
      <c r="A39" s="8">
        <v>41306.0</v>
      </c>
      <c r="B39" s="9">
        <f>IFERROR(__xludf.DUMMYFUNCTION("""COMPUTED_VALUE"""),1146.0)</f>
        <v>1146</v>
      </c>
      <c r="C39" s="12" t="s">
        <v>59</v>
      </c>
      <c r="D39" s="12">
        <v>3753.90304936304</v>
      </c>
      <c r="E39" s="12">
        <v>2752.00215838943</v>
      </c>
      <c r="F39" s="12">
        <v>4578.45465312129</v>
      </c>
      <c r="G39" s="12">
        <v>2390.87588094132</v>
      </c>
      <c r="H39" s="12">
        <v>4319.96417678959</v>
      </c>
      <c r="I39" s="13">
        <v>5466.56155742448</v>
      </c>
      <c r="J39" s="13">
        <v>5074.35960723932</v>
      </c>
      <c r="K39" s="12">
        <v>3179.98313051467</v>
      </c>
      <c r="L39" s="12">
        <v>1567.54918941241</v>
      </c>
      <c r="M39" s="12">
        <v>5159.20271079707</v>
      </c>
      <c r="N39" s="12">
        <v>2799.30614137372</v>
      </c>
      <c r="O39" s="12">
        <v>1665.48201962416</v>
      </c>
      <c r="P39" s="12">
        <v>2665.71580465263</v>
      </c>
      <c r="Q39" s="12">
        <v>2665.7156671115</v>
      </c>
      <c r="R39" s="12">
        <v>3405.76642926074</v>
      </c>
      <c r="S39" s="12">
        <v>3639.10076368783</v>
      </c>
      <c r="T39" s="12">
        <v>3208.27403765248</v>
      </c>
      <c r="U39" s="12">
        <v>3453.69705519369</v>
      </c>
      <c r="V39" s="12">
        <v>3144.91347654559</v>
      </c>
      <c r="W39" s="12">
        <v>2957.41308288413</v>
      </c>
      <c r="X39" s="12">
        <v>61.2366814462366</v>
      </c>
    </row>
    <row r="40">
      <c r="A40" s="8">
        <v>41334.0</v>
      </c>
      <c r="B40" s="9">
        <f>IFERROR(__xludf.DUMMYFUNCTION("""COMPUTED_VALUE"""),517.0)</f>
        <v>517</v>
      </c>
      <c r="C40" s="12" t="s">
        <v>60</v>
      </c>
      <c r="D40" s="12">
        <v>2893.91858481045</v>
      </c>
      <c r="E40" s="12">
        <v>2648.93120296236</v>
      </c>
      <c r="F40" s="12">
        <v>9457.64600951039</v>
      </c>
      <c r="G40" s="12">
        <v>3924.02785838495</v>
      </c>
      <c r="H40" s="12">
        <v>8276.29246048882</v>
      </c>
      <c r="I40" s="13">
        <v>5415.48428018941</v>
      </c>
      <c r="J40" s="13">
        <v>10840.4904862965</v>
      </c>
      <c r="K40" s="12">
        <v>4362.59488794082</v>
      </c>
      <c r="L40" s="12">
        <v>2515.93370523572</v>
      </c>
      <c r="M40" s="12">
        <v>2431.25371274183</v>
      </c>
      <c r="N40" s="12">
        <v>2247.89172606936</v>
      </c>
      <c r="O40" s="12">
        <v>4666.62527082357</v>
      </c>
      <c r="P40" s="12">
        <v>1647.12936003122</v>
      </c>
      <c r="Q40" s="12">
        <v>1647.12921969074</v>
      </c>
      <c r="R40" s="12">
        <v>4083.76975473423</v>
      </c>
      <c r="S40" s="12">
        <v>2972.29337390565</v>
      </c>
      <c r="T40" s="12">
        <v>1993.56557005862</v>
      </c>
      <c r="U40" s="12">
        <v>2938.3144927484</v>
      </c>
      <c r="V40" s="12">
        <v>2384.57795048189</v>
      </c>
      <c r="W40" s="12">
        <v>2228.83530044416</v>
      </c>
      <c r="X40" s="12">
        <v>1297.98771636762</v>
      </c>
    </row>
    <row r="41">
      <c r="A41" s="8">
        <v>41365.0</v>
      </c>
      <c r="B41" s="9">
        <f>IFERROR(__xludf.DUMMYFUNCTION("""COMPUTED_VALUE"""),2969.0)</f>
        <v>2969</v>
      </c>
      <c r="C41" s="12" t="s">
        <v>61</v>
      </c>
      <c r="D41" s="12">
        <v>4147.14592981096</v>
      </c>
      <c r="E41" s="12">
        <v>3731.23370156849</v>
      </c>
      <c r="F41" s="12">
        <v>8983.74951989426</v>
      </c>
      <c r="G41" s="12">
        <v>4599.48833513905</v>
      </c>
      <c r="H41" s="12">
        <v>9463.32243926639</v>
      </c>
      <c r="I41" s="13">
        <v>6957.59861238402</v>
      </c>
      <c r="J41" s="13">
        <v>9516.08789830343</v>
      </c>
      <c r="K41" s="12">
        <v>4613.97672119368</v>
      </c>
      <c r="L41" s="12">
        <v>2546.37001998379</v>
      </c>
      <c r="M41" s="12">
        <v>2353.03699366979</v>
      </c>
      <c r="N41" s="12">
        <v>2300.21917778261</v>
      </c>
      <c r="O41" s="12">
        <v>4042.23205966372</v>
      </c>
      <c r="P41" s="12">
        <v>1488.77698018772</v>
      </c>
      <c r="Q41" s="12">
        <v>1488.77693911512</v>
      </c>
      <c r="R41" s="12">
        <v>3084.09337978715</v>
      </c>
      <c r="S41" s="12">
        <v>2760.16824781438</v>
      </c>
      <c r="T41" s="12">
        <v>1370.71896636373</v>
      </c>
      <c r="U41" s="12">
        <v>2355.0</v>
      </c>
      <c r="V41" s="12">
        <v>2531.11870115875</v>
      </c>
      <c r="W41" s="12">
        <v>1784.75200139787</v>
      </c>
      <c r="X41" s="12">
        <v>5066.75947240308</v>
      </c>
    </row>
    <row r="42">
      <c r="A42" s="8">
        <v>41395.0</v>
      </c>
      <c r="B42" s="9">
        <f>IFERROR(__xludf.DUMMYFUNCTION("""COMPUTED_VALUE"""),4428.0)</f>
        <v>4428</v>
      </c>
      <c r="C42" s="12" t="s">
        <v>62</v>
      </c>
      <c r="D42" s="12">
        <v>3522.82107678059</v>
      </c>
      <c r="E42" s="12">
        <v>3168.60643136226</v>
      </c>
      <c r="F42" s="12">
        <v>3650.85559512123</v>
      </c>
      <c r="G42" s="12">
        <v>10582.3215289421</v>
      </c>
      <c r="H42" s="12">
        <v>4006.02465465743</v>
      </c>
      <c r="I42" s="13">
        <v>4069.69395445627</v>
      </c>
      <c r="J42" s="13">
        <v>4279.13638118368</v>
      </c>
      <c r="K42" s="12">
        <v>2437.64993314183</v>
      </c>
      <c r="L42" s="12">
        <v>1086.83283592488</v>
      </c>
      <c r="M42" s="12">
        <v>2027.40172361438</v>
      </c>
      <c r="N42" s="12">
        <v>2549.01282291181</v>
      </c>
      <c r="O42" s="12">
        <v>3087.57478788859</v>
      </c>
      <c r="P42" s="12">
        <v>3438.27545046291</v>
      </c>
      <c r="Q42" s="12">
        <v>3438.27543865901</v>
      </c>
      <c r="R42" s="12">
        <v>2918.51096365946</v>
      </c>
      <c r="S42" s="12">
        <v>2894.44543070161</v>
      </c>
      <c r="T42" s="12">
        <v>1387.28439680864</v>
      </c>
      <c r="U42" s="12">
        <v>4626.0</v>
      </c>
      <c r="V42" s="12">
        <v>2842.73638394689</v>
      </c>
      <c r="W42" s="12">
        <v>1694.91042723608</v>
      </c>
      <c r="X42" s="12">
        <v>2211.25513627763</v>
      </c>
    </row>
    <row r="43">
      <c r="A43" s="8">
        <v>41426.0</v>
      </c>
      <c r="B43" s="9">
        <f>IFERROR(__xludf.DUMMYFUNCTION("""COMPUTED_VALUE"""),5085.0)</f>
        <v>5085</v>
      </c>
      <c r="C43" s="12" t="s">
        <v>63</v>
      </c>
      <c r="D43" s="12">
        <v>3373.32541257753</v>
      </c>
      <c r="E43" s="12">
        <v>14620.8873893992</v>
      </c>
      <c r="F43" s="12">
        <v>-399.019247129569</v>
      </c>
      <c r="G43" s="12">
        <v>4931.81031633714</v>
      </c>
      <c r="H43" s="12">
        <v>2041.5770947294</v>
      </c>
      <c r="I43" s="13">
        <v>682.529039826972</v>
      </c>
      <c r="J43" s="13">
        <v>2449.07300388583</v>
      </c>
      <c r="K43" s="12">
        <v>2436.5906891767</v>
      </c>
      <c r="L43" s="12">
        <v>1360.74016940822</v>
      </c>
      <c r="M43" s="12">
        <v>4544.28885381675</v>
      </c>
      <c r="N43" s="12">
        <v>3078.7375402724</v>
      </c>
      <c r="O43" s="12">
        <v>5482.49147627623</v>
      </c>
      <c r="P43" s="12">
        <v>2174.06419072762</v>
      </c>
      <c r="Q43" s="12">
        <v>2174.06418351153</v>
      </c>
      <c r="R43" s="12">
        <v>6091.79633728511</v>
      </c>
      <c r="S43" s="12">
        <v>5214.72831162268</v>
      </c>
      <c r="T43" s="12">
        <v>5443.16185511905</v>
      </c>
      <c r="U43" s="12">
        <v>4983.4919480756</v>
      </c>
      <c r="V43" s="12">
        <v>2945.81906941494</v>
      </c>
      <c r="W43" s="12">
        <v>4541.71892618845</v>
      </c>
      <c r="X43" s="12">
        <v>3639.66448195492</v>
      </c>
    </row>
    <row r="44">
      <c r="A44" s="8">
        <v>41456.0</v>
      </c>
      <c r="B44" s="9">
        <f>IFERROR(__xludf.DUMMYFUNCTION("""COMPUTED_VALUE"""),3217.0)</f>
        <v>3217</v>
      </c>
      <c r="C44" s="12" t="s">
        <v>43</v>
      </c>
      <c r="D44" s="12">
        <v>8524.27124582393</v>
      </c>
      <c r="E44" s="12">
        <v>1475.10409502473</v>
      </c>
      <c r="F44" s="12">
        <v>3482.48392098887</v>
      </c>
      <c r="G44" s="12">
        <v>3209.25899931466</v>
      </c>
      <c r="H44" s="12">
        <v>4762.96281152744</v>
      </c>
      <c r="I44" s="13">
        <v>9554.6128039344</v>
      </c>
      <c r="J44" s="13">
        <v>3934.69018860729</v>
      </c>
      <c r="K44" s="12">
        <v>4266.15632134829</v>
      </c>
      <c r="L44" s="12">
        <v>649.02433277883</v>
      </c>
      <c r="M44" s="12">
        <v>2724.27421317431</v>
      </c>
      <c r="N44" s="12">
        <v>1972.26494658019</v>
      </c>
      <c r="O44" s="12">
        <v>3988.23677695145</v>
      </c>
      <c r="P44" s="12">
        <v>2900.92399373973</v>
      </c>
      <c r="Q44" s="12">
        <v>2900.92399373973</v>
      </c>
      <c r="R44" s="12">
        <v>5316.17197166124</v>
      </c>
      <c r="S44" s="12">
        <v>3968.96426948431</v>
      </c>
      <c r="T44" s="12">
        <v>3220.91249324237</v>
      </c>
      <c r="U44" s="12">
        <v>4398.62302860982</v>
      </c>
      <c r="V44" s="12">
        <v>2735.65408221856</v>
      </c>
      <c r="W44" s="12">
        <v>2781.59146153685</v>
      </c>
      <c r="X44" s="12">
        <v>2913.16121246512</v>
      </c>
    </row>
    <row r="45">
      <c r="A45" s="8">
        <v>41487.0</v>
      </c>
      <c r="B45" s="9">
        <f>IFERROR(__xludf.DUMMYFUNCTION("""COMPUTED_VALUE"""),4362.0)</f>
        <v>4362</v>
      </c>
      <c r="C45" s="12" t="s">
        <v>44</v>
      </c>
      <c r="D45" s="12">
        <v>4616.39671975288</v>
      </c>
      <c r="E45" s="12">
        <v>1588.58414280282</v>
      </c>
      <c r="F45" s="12">
        <v>4358.59079504762</v>
      </c>
      <c r="G45" s="12">
        <v>3597.72259919296</v>
      </c>
      <c r="H45" s="12">
        <v>5447.870393098</v>
      </c>
      <c r="I45" s="13">
        <v>3851.61289218029</v>
      </c>
      <c r="J45" s="13">
        <v>4629.05180320194</v>
      </c>
      <c r="K45" s="12">
        <v>4557.89123429612</v>
      </c>
      <c r="L45" s="12">
        <v>730.444346548013</v>
      </c>
      <c r="M45" s="12">
        <v>5085.03551188389</v>
      </c>
      <c r="N45" s="12">
        <v>3954.48274841589</v>
      </c>
      <c r="O45" s="12">
        <v>4663.77668686454</v>
      </c>
      <c r="P45" s="12">
        <v>3696.38797220064</v>
      </c>
      <c r="Q45" s="12">
        <v>3696.38797220064</v>
      </c>
      <c r="R45" s="12">
        <v>4135.37210361109</v>
      </c>
      <c r="S45" s="12">
        <v>4018.22161662638</v>
      </c>
      <c r="T45" s="12">
        <v>3302.88806478587</v>
      </c>
      <c r="U45" s="12">
        <v>3815.67374789156</v>
      </c>
      <c r="V45" s="12">
        <v>3995.21957155497</v>
      </c>
      <c r="W45" s="12">
        <v>3724.35135657631</v>
      </c>
      <c r="X45" s="12">
        <v>3341.0538557061</v>
      </c>
    </row>
    <row r="46">
      <c r="A46" s="8">
        <v>41518.0</v>
      </c>
      <c r="B46" s="9">
        <f>IFERROR(__xludf.DUMMYFUNCTION("""COMPUTED_VALUE"""),1085.0)</f>
        <v>1085</v>
      </c>
      <c r="C46" s="12" t="s">
        <v>45</v>
      </c>
      <c r="D46" s="12">
        <v>3587.31193542206</v>
      </c>
      <c r="E46" s="12">
        <v>2787.24173143784</v>
      </c>
      <c r="F46" s="12">
        <v>8500.96769352453</v>
      </c>
      <c r="G46" s="12">
        <v>4765.20936668653</v>
      </c>
      <c r="H46" s="12">
        <v>8844.92507126013</v>
      </c>
      <c r="I46" s="13">
        <v>5089.01859961373</v>
      </c>
      <c r="J46" s="13">
        <v>8504.58145353464</v>
      </c>
      <c r="K46" s="12">
        <v>8843.56281666716</v>
      </c>
      <c r="L46" s="12">
        <v>1939.6662279875</v>
      </c>
      <c r="M46" s="12">
        <v>3517.80666398704</v>
      </c>
      <c r="N46" s="12">
        <v>3303.94002291776</v>
      </c>
      <c r="O46" s="12">
        <v>6175.28183823906</v>
      </c>
      <c r="P46" s="12">
        <v>3080.48038722687</v>
      </c>
      <c r="Q46" s="12">
        <v>3080.48028649712</v>
      </c>
      <c r="R46" s="12">
        <v>5073.25696123007</v>
      </c>
      <c r="S46" s="12">
        <v>4898.72324129373</v>
      </c>
      <c r="T46" s="12">
        <v>3954.46520808859</v>
      </c>
      <c r="U46" s="12">
        <v>4535.88083414489</v>
      </c>
      <c r="V46" s="12">
        <v>3474.22562896003</v>
      </c>
      <c r="W46" s="12">
        <v>2169.68188862316</v>
      </c>
      <c r="X46" s="12">
        <v>2904.88009881098</v>
      </c>
    </row>
    <row r="47">
      <c r="A47" s="8">
        <v>41548.0</v>
      </c>
      <c r="B47" s="9">
        <f>IFERROR(__xludf.DUMMYFUNCTION("""COMPUTED_VALUE"""),1975.0)</f>
        <v>1975</v>
      </c>
      <c r="C47" s="12" t="s">
        <v>46</v>
      </c>
      <c r="D47" s="12">
        <v>3149.55527903999</v>
      </c>
      <c r="E47" s="12">
        <v>3014.64546016594</v>
      </c>
      <c r="F47" s="12">
        <v>6232.89093341682</v>
      </c>
      <c r="G47" s="12">
        <v>5143.9169080734</v>
      </c>
      <c r="H47" s="12">
        <v>6690.27274300719</v>
      </c>
      <c r="I47" s="13">
        <v>4715.01482778194</v>
      </c>
      <c r="J47" s="13">
        <v>4519.07811538762</v>
      </c>
      <c r="K47" s="12">
        <v>6112.63152226256</v>
      </c>
      <c r="L47" s="12">
        <v>2081.51322737922</v>
      </c>
      <c r="M47" s="12">
        <v>5357.06587302468</v>
      </c>
      <c r="N47" s="12">
        <v>3386.28692458642</v>
      </c>
      <c r="O47" s="12">
        <v>10231.485957621</v>
      </c>
      <c r="P47" s="12">
        <v>2755.60711835357</v>
      </c>
      <c r="Q47" s="12">
        <v>2755.60710774716</v>
      </c>
      <c r="R47" s="12">
        <v>1888.021534764</v>
      </c>
      <c r="S47" s="12">
        <v>2997.6285837664</v>
      </c>
      <c r="T47" s="12">
        <v>2153.05088800324</v>
      </c>
      <c r="U47" s="12">
        <v>2583.9235573616</v>
      </c>
      <c r="V47" s="12">
        <v>3339.06050039916</v>
      </c>
      <c r="W47" s="12">
        <v>2564.74660666894</v>
      </c>
      <c r="X47" s="12">
        <v>-156.628376071718</v>
      </c>
    </row>
    <row r="48">
      <c r="A48" s="8">
        <v>41579.0</v>
      </c>
      <c r="B48" s="9">
        <f>IFERROR(__xludf.DUMMYFUNCTION("""COMPUTED_VALUE"""),1920.0)</f>
        <v>1920</v>
      </c>
      <c r="C48" s="12" t="s">
        <v>47</v>
      </c>
      <c r="D48" s="12">
        <v>2870.96656351962</v>
      </c>
      <c r="E48" s="12">
        <v>3460.75800787397</v>
      </c>
      <c r="F48" s="12">
        <v>5427.9393488243</v>
      </c>
      <c r="G48" s="12">
        <v>5508.97860939564</v>
      </c>
      <c r="H48" s="12">
        <v>4915.05123147659</v>
      </c>
      <c r="I48" s="13">
        <v>3494.45012254539</v>
      </c>
      <c r="J48" s="13">
        <v>3557.26684931626</v>
      </c>
      <c r="K48" s="12">
        <v>7002.58814466954</v>
      </c>
      <c r="L48" s="12">
        <v>1292.74759737861</v>
      </c>
      <c r="M48" s="12">
        <v>2661.09372926374</v>
      </c>
      <c r="N48" s="12">
        <v>2442.1151070565</v>
      </c>
      <c r="O48" s="12">
        <v>5880.63208366938</v>
      </c>
      <c r="P48" s="12">
        <v>4225.55773969692</v>
      </c>
      <c r="Q48" s="12">
        <v>4225.55773086344</v>
      </c>
      <c r="R48" s="12">
        <v>3460.15893168984</v>
      </c>
      <c r="S48" s="12">
        <v>3267.68542175092</v>
      </c>
      <c r="T48" s="12">
        <v>2403.05536653391</v>
      </c>
      <c r="U48" s="12">
        <v>2562.26806919144</v>
      </c>
      <c r="V48" s="12">
        <v>2831.81478429243</v>
      </c>
      <c r="W48" s="12">
        <v>2495.07566473866</v>
      </c>
      <c r="X48" s="12">
        <v>1817.9970371366</v>
      </c>
    </row>
    <row r="49">
      <c r="A49" s="8">
        <v>41609.0</v>
      </c>
      <c r="B49" s="9">
        <f>IFERROR(__xludf.DUMMYFUNCTION("""COMPUTED_VALUE"""),6204.0)</f>
        <v>6204</v>
      </c>
      <c r="C49" s="12" t="s">
        <v>48</v>
      </c>
      <c r="D49" s="12">
        <v>5565.01981521185</v>
      </c>
      <c r="E49" s="12">
        <v>2611.15327452068</v>
      </c>
      <c r="F49" s="12">
        <v>5195.12623920796</v>
      </c>
      <c r="G49" s="12">
        <v>5889.42211670082</v>
      </c>
      <c r="H49" s="12">
        <v>31860.78555782</v>
      </c>
      <c r="I49" s="13">
        <v>1562.17800315399</v>
      </c>
      <c r="J49" s="13">
        <v>2330.47728919155</v>
      </c>
      <c r="K49" s="12">
        <v>3895.52795128874</v>
      </c>
      <c r="L49" s="12">
        <v>898.061736874073</v>
      </c>
      <c r="M49" s="12">
        <v>3954.87201029489</v>
      </c>
      <c r="N49" s="12">
        <v>3452.69644271925</v>
      </c>
      <c r="O49" s="12">
        <v>6777.31349442934</v>
      </c>
      <c r="P49" s="12">
        <v>3843.45904504305</v>
      </c>
      <c r="Q49" s="12">
        <v>3843.45902970886</v>
      </c>
      <c r="R49" s="12">
        <v>6750.3248367784</v>
      </c>
      <c r="S49" s="12">
        <v>5127.43983784057</v>
      </c>
      <c r="T49" s="12">
        <v>4204.94348030562</v>
      </c>
      <c r="U49" s="12">
        <v>5718.26365268766</v>
      </c>
      <c r="V49" s="12">
        <v>3511.82776857851</v>
      </c>
      <c r="W49" s="12">
        <v>3576.36652236595</v>
      </c>
      <c r="X49" s="12">
        <v>4043.21906868071</v>
      </c>
    </row>
    <row r="50">
      <c r="A50" s="8">
        <v>41640.0</v>
      </c>
      <c r="B50" s="9">
        <f>IFERROR(__xludf.DUMMYFUNCTION("""COMPUTED_VALUE"""),4445.0)</f>
        <v>4445</v>
      </c>
      <c r="C50" s="12" t="s">
        <v>49</v>
      </c>
      <c r="D50" s="12">
        <v>3526.05878539063</v>
      </c>
      <c r="E50" s="12">
        <v>1834.3519929822</v>
      </c>
      <c r="F50" s="12">
        <v>2576.55608678716</v>
      </c>
      <c r="G50" s="12">
        <v>5229.5159465285</v>
      </c>
      <c r="H50" s="12">
        <v>3117.97954949299</v>
      </c>
      <c r="I50" s="13">
        <v>4495.48870045605</v>
      </c>
      <c r="J50" s="13">
        <v>2257.49584251552</v>
      </c>
      <c r="K50" s="12">
        <v>3949.26736108192</v>
      </c>
      <c r="L50" s="12">
        <v>1733.60531723361</v>
      </c>
      <c r="M50" s="12">
        <v>4545.44668423548</v>
      </c>
      <c r="N50" s="12">
        <v>3094.71745498682</v>
      </c>
      <c r="O50" s="12">
        <v>7437.13642005409</v>
      </c>
      <c r="P50" s="12">
        <v>4507.84152690069</v>
      </c>
      <c r="Q50" s="12">
        <v>4507.84152338595</v>
      </c>
      <c r="R50" s="12">
        <v>6645.89602302274</v>
      </c>
      <c r="S50" s="12">
        <v>3656.98120653129</v>
      </c>
      <c r="T50" s="12">
        <v>3551.36863990769</v>
      </c>
      <c r="U50" s="12">
        <v>5641.25739544474</v>
      </c>
      <c r="V50" s="12">
        <v>3348.35449479502</v>
      </c>
      <c r="W50" s="12">
        <v>3822.32474377791</v>
      </c>
      <c r="X50" s="12">
        <v>2555.3012494105</v>
      </c>
    </row>
    <row r="51">
      <c r="A51" s="8">
        <v>41671.0</v>
      </c>
      <c r="B51" s="9">
        <f>IFERROR(__xludf.DUMMYFUNCTION("""COMPUTED_VALUE"""),2829.0)</f>
        <v>2829</v>
      </c>
      <c r="C51" s="12" t="s">
        <v>50</v>
      </c>
      <c r="D51" s="12">
        <v>3085.48709491654</v>
      </c>
      <c r="E51" s="12">
        <v>1213.12248174577</v>
      </c>
      <c r="F51" s="12">
        <v>3828.9135399047</v>
      </c>
      <c r="G51" s="12">
        <v>10206.9181316433</v>
      </c>
      <c r="H51" s="12">
        <v>4027.50575465506</v>
      </c>
      <c r="I51" s="13">
        <v>2879.94397526877</v>
      </c>
      <c r="J51" s="13">
        <v>4453.25157235906</v>
      </c>
      <c r="K51" s="12">
        <v>3945.63972772559</v>
      </c>
      <c r="L51" s="12">
        <v>3898.79039782225</v>
      </c>
      <c r="M51" s="12">
        <v>2837.06055317585</v>
      </c>
      <c r="N51" s="12">
        <v>2381.85900520712</v>
      </c>
      <c r="O51" s="12">
        <v>3253.76053973492</v>
      </c>
      <c r="P51" s="12">
        <v>3978.30556368624</v>
      </c>
      <c r="Q51" s="12">
        <v>3978.30556368624</v>
      </c>
      <c r="R51" s="12">
        <v>2928.4399189125</v>
      </c>
      <c r="S51" s="12">
        <v>2757.67894783599</v>
      </c>
      <c r="T51" s="12">
        <v>2515.8628964748</v>
      </c>
      <c r="U51" s="12">
        <v>1868.29028548556</v>
      </c>
      <c r="V51" s="12">
        <v>2887.74488165194</v>
      </c>
      <c r="W51" s="12">
        <v>2366.32030009497</v>
      </c>
      <c r="X51" s="12">
        <v>4105.49940817221</v>
      </c>
    </row>
    <row r="52">
      <c r="A52" s="8">
        <v>41699.0</v>
      </c>
      <c r="B52" s="9">
        <f>IFERROR(__xludf.DUMMYFUNCTION("""COMPUTED_VALUE"""),10212.0)</f>
        <v>10212</v>
      </c>
      <c r="C52" s="12" t="s">
        <v>51</v>
      </c>
      <c r="D52" s="12">
        <v>6695.20784895596</v>
      </c>
      <c r="E52" s="12">
        <v>2437.91705906077</v>
      </c>
      <c r="F52" s="12">
        <v>8528.18544867611</v>
      </c>
      <c r="G52" s="12">
        <v>5145.15359746413</v>
      </c>
      <c r="H52" s="12">
        <v>7520.88133393018</v>
      </c>
      <c r="I52" s="13">
        <v>6931.03118398461</v>
      </c>
      <c r="J52" s="13">
        <v>8518.27507364791</v>
      </c>
      <c r="K52" s="12">
        <v>6099.5006078078</v>
      </c>
      <c r="L52" s="12">
        <v>5137.38587646064</v>
      </c>
      <c r="M52" s="12">
        <v>2873.29949370414</v>
      </c>
      <c r="N52" s="12">
        <v>2379.14752142725</v>
      </c>
      <c r="O52" s="12">
        <v>3793.7703922787</v>
      </c>
      <c r="P52" s="12">
        <v>2216.76890074203</v>
      </c>
      <c r="Q52" s="12">
        <v>2216.76867903394</v>
      </c>
      <c r="R52" s="12">
        <v>2940.95371485129</v>
      </c>
      <c r="S52" s="12">
        <v>2250.49608682715</v>
      </c>
      <c r="T52" s="12">
        <v>1720.08797578214</v>
      </c>
      <c r="U52" s="12">
        <v>1860.82506963202</v>
      </c>
      <c r="V52" s="12">
        <v>1829.61363740596</v>
      </c>
      <c r="W52" s="12">
        <v>2166.35344521076</v>
      </c>
      <c r="X52" s="12">
        <v>4352.94496799428</v>
      </c>
    </row>
    <row r="53">
      <c r="A53" s="8">
        <v>41730.0</v>
      </c>
      <c r="B53" s="9">
        <f>IFERROR(__xludf.DUMMYFUNCTION("""COMPUTED_VALUE"""),14839.0)</f>
        <v>14839</v>
      </c>
      <c r="C53" s="12" t="s">
        <v>52</v>
      </c>
      <c r="D53" s="12">
        <v>6744.23230290222</v>
      </c>
      <c r="E53" s="12">
        <v>11185.2981979143</v>
      </c>
      <c r="F53" s="12">
        <v>8805.1015687283</v>
      </c>
      <c r="G53" s="12">
        <v>19907.2346973098</v>
      </c>
      <c r="H53" s="12">
        <v>35572.8328812036</v>
      </c>
      <c r="I53" s="13">
        <v>9553.54998974051</v>
      </c>
      <c r="J53" s="13">
        <v>9420.74666720063</v>
      </c>
      <c r="K53" s="12">
        <v>11440.0843283809</v>
      </c>
      <c r="L53" s="12">
        <v>12847.6839298181</v>
      </c>
      <c r="M53" s="12">
        <v>7946.79284228709</v>
      </c>
      <c r="N53" s="12">
        <v>8102.95997161023</v>
      </c>
      <c r="O53" s="12">
        <v>14176.9943051119</v>
      </c>
      <c r="P53" s="12">
        <v>-53038.3034628996</v>
      </c>
      <c r="Q53" s="12">
        <v>-53038.3034628996</v>
      </c>
      <c r="R53" s="12">
        <v>12419.7319253312</v>
      </c>
      <c r="S53" s="12">
        <v>-130541.585054253</v>
      </c>
      <c r="T53" s="12">
        <v>2488.83348569399</v>
      </c>
      <c r="U53" s="12">
        <v>11778.4759020304</v>
      </c>
      <c r="V53" s="12">
        <v>9366.30646773759</v>
      </c>
      <c r="W53" s="12">
        <v>15287.0957124729</v>
      </c>
      <c r="X53" s="12">
        <v>5410.62892774842</v>
      </c>
    </row>
    <row r="54">
      <c r="A54" s="8">
        <v>41760.0</v>
      </c>
      <c r="B54" s="9">
        <f>IFERROR(__xludf.DUMMYFUNCTION("""COMPUTED_VALUE"""),7220.0)</f>
        <v>7220</v>
      </c>
      <c r="C54" s="12" t="s">
        <v>53</v>
      </c>
      <c r="D54" s="12">
        <v>7618.04502887973</v>
      </c>
      <c r="E54" s="12">
        <v>11147.7992720231</v>
      </c>
      <c r="F54" s="12">
        <v>9112.22544374691</v>
      </c>
      <c r="G54" s="12">
        <v>6236.1599464614</v>
      </c>
      <c r="H54" s="12">
        <v>8562.76798047496</v>
      </c>
      <c r="I54" s="13">
        <v>7959.26282992304</v>
      </c>
      <c r="J54" s="13">
        <v>6977.8607199535</v>
      </c>
      <c r="K54" s="12">
        <v>6973.47822289077</v>
      </c>
      <c r="L54" s="12">
        <v>3998.88634000068</v>
      </c>
      <c r="M54" s="12">
        <v>8610.56830501314</v>
      </c>
      <c r="N54" s="12">
        <v>4343.91111971299</v>
      </c>
      <c r="O54" s="12">
        <v>5231.68373212666</v>
      </c>
      <c r="P54" s="12">
        <v>1947.65244983515</v>
      </c>
      <c r="Q54" s="12">
        <v>1947.65244983515</v>
      </c>
      <c r="R54" s="12">
        <v>3301.05982778633</v>
      </c>
      <c r="S54" s="12">
        <v>4479.36183167709</v>
      </c>
      <c r="T54" s="12">
        <v>2480.80499461429</v>
      </c>
      <c r="U54" s="12">
        <v>12531.802423374</v>
      </c>
      <c r="V54" s="12">
        <v>2995.46781530046</v>
      </c>
      <c r="W54" s="12">
        <v>2427.72257165967</v>
      </c>
      <c r="X54" s="12">
        <v>5722.48898218945</v>
      </c>
    </row>
    <row r="55">
      <c r="A55" s="8">
        <v>41791.0</v>
      </c>
      <c r="B55" s="9">
        <f>IFERROR(__xludf.DUMMYFUNCTION("""COMPUTED_VALUE"""),1984.0)</f>
        <v>1984</v>
      </c>
      <c r="C55" s="12" t="s">
        <v>54</v>
      </c>
      <c r="D55" s="12">
        <v>7048.42364977649</v>
      </c>
      <c r="E55" s="12">
        <v>10512.3973632029</v>
      </c>
      <c r="F55" s="12">
        <v>8302.42839955314</v>
      </c>
      <c r="G55" s="12">
        <v>6549.33576838703</v>
      </c>
      <c r="H55" s="12">
        <v>9220.14317678644</v>
      </c>
      <c r="I55" s="13">
        <v>8006.10581345088</v>
      </c>
      <c r="J55" s="13">
        <v>6014.61827688067</v>
      </c>
      <c r="K55" s="12">
        <v>7139.44255568103</v>
      </c>
      <c r="L55" s="12">
        <v>3889.68226924925</v>
      </c>
      <c r="M55" s="12">
        <v>5587.24145118647</v>
      </c>
      <c r="N55" s="12">
        <v>7349.45311341242</v>
      </c>
      <c r="O55" s="12">
        <v>6525.80292948421</v>
      </c>
      <c r="P55" s="12">
        <v>3658.35754647125</v>
      </c>
      <c r="Q55" s="12">
        <v>3658.35754647125</v>
      </c>
      <c r="R55" s="12">
        <v>5158.95568457003</v>
      </c>
      <c r="S55" s="12">
        <v>5857.27744689811</v>
      </c>
      <c r="T55" s="12">
        <v>2601.70878170339</v>
      </c>
      <c r="U55" s="12">
        <v>5751.89580568008</v>
      </c>
      <c r="V55" s="12">
        <v>3040.15269700967</v>
      </c>
      <c r="W55" s="12">
        <v>2856.34338554102</v>
      </c>
      <c r="X55" s="12">
        <v>8405.41957594861</v>
      </c>
    </row>
    <row r="56">
      <c r="A56" s="8">
        <v>41821.0</v>
      </c>
      <c r="B56" s="9">
        <f>IFERROR(__xludf.DUMMYFUNCTION("""COMPUTED_VALUE"""),8594.0)</f>
        <v>8594</v>
      </c>
      <c r="C56" s="12" t="s">
        <v>55</v>
      </c>
      <c r="D56" s="12">
        <v>1652.64806309109</v>
      </c>
      <c r="E56" s="12">
        <v>7413.54400191001</v>
      </c>
      <c r="F56" s="12">
        <v>-915.623855518146</v>
      </c>
      <c r="G56" s="12">
        <v>4685.95841160211</v>
      </c>
      <c r="H56" s="12">
        <v>2259.79111569791</v>
      </c>
      <c r="I56" s="13">
        <v>16.3610947177676</v>
      </c>
      <c r="J56" s="13">
        <v>6363.99764531147</v>
      </c>
      <c r="K56" s="12">
        <v>2027.46072782997</v>
      </c>
      <c r="L56" s="12">
        <v>5881.87822864837</v>
      </c>
      <c r="M56" s="12">
        <v>8045.10361362746</v>
      </c>
      <c r="N56" s="12">
        <v>6445.63470864766</v>
      </c>
      <c r="O56" s="12">
        <v>7667.16556851362</v>
      </c>
      <c r="P56" s="12">
        <v>8247.61431767743</v>
      </c>
      <c r="Q56" s="12">
        <v>8247.61431767743</v>
      </c>
      <c r="R56" s="12">
        <v>3759.31392863073</v>
      </c>
      <c r="S56" s="12">
        <v>5036.37207068078</v>
      </c>
      <c r="T56" s="12">
        <v>8323.29417045211</v>
      </c>
      <c r="U56" s="12">
        <v>14512.0618914368</v>
      </c>
      <c r="V56" s="12">
        <v>3240.90685797419</v>
      </c>
      <c r="W56" s="12">
        <v>2168.68221554262</v>
      </c>
      <c r="X56" s="12">
        <v>5808.7070157838</v>
      </c>
    </row>
    <row r="57">
      <c r="A57" s="8">
        <v>41852.0</v>
      </c>
      <c r="B57" s="9">
        <f>IFERROR(__xludf.DUMMYFUNCTION("""COMPUTED_VALUE"""),7915.0)</f>
        <v>7915</v>
      </c>
      <c r="C57" s="12" t="s">
        <v>56</v>
      </c>
      <c r="D57" s="12">
        <v>8107.42538250167</v>
      </c>
      <c r="E57" s="12">
        <v>7170.23936253982</v>
      </c>
      <c r="F57" s="12">
        <v>8131.42233228653</v>
      </c>
      <c r="G57" s="12">
        <v>4933.49827906185</v>
      </c>
      <c r="H57" s="12">
        <v>7200.8818341411</v>
      </c>
      <c r="I57" s="13">
        <v>8046.21218037201</v>
      </c>
      <c r="J57" s="13">
        <v>6752.93052093371</v>
      </c>
      <c r="K57" s="12">
        <v>7292.10506481277</v>
      </c>
      <c r="L57" s="12">
        <v>4514.70566523133</v>
      </c>
      <c r="M57" s="12">
        <v>8085.3618220484</v>
      </c>
      <c r="N57" s="12">
        <v>5636.33604051524</v>
      </c>
      <c r="O57" s="12">
        <v>5458.84364305707</v>
      </c>
      <c r="P57" s="12">
        <v>8137.42879349273</v>
      </c>
      <c r="Q57" s="12">
        <v>8137.42879349273</v>
      </c>
      <c r="R57" s="12">
        <v>5257.43735903509</v>
      </c>
      <c r="S57" s="12">
        <v>5477.28595641138</v>
      </c>
      <c r="T57" s="12">
        <v>5487.06317956048</v>
      </c>
      <c r="U57" s="12">
        <v>4028.02644854706</v>
      </c>
      <c r="V57" s="12">
        <v>4143.33444870431</v>
      </c>
      <c r="W57" s="12">
        <v>4443.56589096348</v>
      </c>
      <c r="X57" s="12">
        <v>5919.19155965049</v>
      </c>
    </row>
    <row r="58">
      <c r="A58" s="8">
        <v>41883.0</v>
      </c>
      <c r="B58" s="9">
        <f>IFERROR(__xludf.DUMMYFUNCTION("""COMPUTED_VALUE"""),13753.0)</f>
        <v>13753</v>
      </c>
      <c r="C58" s="12" t="s">
        <v>57</v>
      </c>
      <c r="D58" s="12">
        <v>7111.661180202</v>
      </c>
      <c r="E58" s="12">
        <v>6981.04881020208</v>
      </c>
      <c r="F58" s="12">
        <v>8088.77904538585</v>
      </c>
      <c r="G58" s="12">
        <v>5269.40543741575</v>
      </c>
      <c r="H58" s="12">
        <v>10034.8799258418</v>
      </c>
      <c r="I58" s="13">
        <v>7977.96581100194</v>
      </c>
      <c r="J58" s="13">
        <v>6798.23041991232</v>
      </c>
      <c r="K58" s="12">
        <v>14102.1857571906</v>
      </c>
      <c r="L58" s="12">
        <v>3206.14844206973</v>
      </c>
      <c r="M58" s="12">
        <v>6125.59229757701</v>
      </c>
      <c r="N58" s="12">
        <v>12487.9345745322</v>
      </c>
      <c r="O58" s="12">
        <v>11984.0374047069</v>
      </c>
      <c r="P58" s="12">
        <v>9021.58553692319</v>
      </c>
      <c r="Q58" s="12">
        <v>9021.58553692319</v>
      </c>
      <c r="R58" s="12">
        <v>12912.867845188</v>
      </c>
      <c r="S58" s="12">
        <v>13185.0119950343</v>
      </c>
      <c r="T58" s="12">
        <v>9299.09063223037</v>
      </c>
      <c r="U58" s="12">
        <v>12056.8575769255</v>
      </c>
      <c r="V58" s="12">
        <v>7584.88822523461</v>
      </c>
      <c r="W58" s="12">
        <v>12565.9080320648</v>
      </c>
      <c r="X58" s="12">
        <v>6574.58738785696</v>
      </c>
    </row>
    <row r="59">
      <c r="A59" s="8">
        <v>41913.0</v>
      </c>
      <c r="B59" s="9">
        <f>IFERROR(__xludf.DUMMYFUNCTION("""COMPUTED_VALUE"""),9981.0)</f>
        <v>9981</v>
      </c>
      <c r="C59" s="12" t="s">
        <v>58</v>
      </c>
      <c r="D59" s="12">
        <v>9203.48565665396</v>
      </c>
      <c r="E59" s="12">
        <v>7233.72683788667</v>
      </c>
      <c r="F59" s="12">
        <v>9821.7190479876</v>
      </c>
      <c r="G59" s="12">
        <v>9996.80091862136</v>
      </c>
      <c r="H59" s="12">
        <v>9180.9168524159</v>
      </c>
      <c r="I59" s="13">
        <v>9842.94156732776</v>
      </c>
      <c r="J59" s="13">
        <v>9404.56984091863</v>
      </c>
      <c r="K59" s="12">
        <v>8208.28331808175</v>
      </c>
      <c r="L59" s="12">
        <v>5645.36402156836</v>
      </c>
      <c r="M59" s="12">
        <v>1978.82473606749</v>
      </c>
      <c r="N59" s="12">
        <v>10734.3252388855</v>
      </c>
      <c r="O59" s="12">
        <v>12234.7854371233</v>
      </c>
      <c r="P59" s="12">
        <v>8462.31459511505</v>
      </c>
      <c r="Q59" s="12">
        <v>8462.31459511505</v>
      </c>
      <c r="R59" s="12">
        <v>12223.0549947239</v>
      </c>
      <c r="S59" s="12">
        <v>12505.1182464908</v>
      </c>
      <c r="T59" s="12">
        <v>9741.15507659233</v>
      </c>
      <c r="U59" s="12">
        <v>11807.7295848431</v>
      </c>
      <c r="V59" s="12">
        <v>7337.62023005212</v>
      </c>
      <c r="W59" s="12">
        <v>6992.31299163353</v>
      </c>
      <c r="X59" s="12">
        <v>4441.55115769232</v>
      </c>
    </row>
    <row r="60">
      <c r="A60" s="8">
        <v>41944.0</v>
      </c>
      <c r="B60" s="9">
        <f>IFERROR(__xludf.DUMMYFUNCTION("""COMPUTED_VALUE"""),4893.0)</f>
        <v>4893</v>
      </c>
      <c r="C60" s="12" t="s">
        <v>59</v>
      </c>
      <c r="D60" s="12">
        <v>5126.81130552665</v>
      </c>
      <c r="E60" s="12">
        <v>6228.74719859698</v>
      </c>
      <c r="F60" s="12">
        <v>4178.9392741226</v>
      </c>
      <c r="G60" s="12">
        <v>5717.44721188001</v>
      </c>
      <c r="H60" s="12">
        <v>5171.98499519862</v>
      </c>
      <c r="I60" s="13">
        <v>6561.72016068825</v>
      </c>
      <c r="J60" s="13">
        <v>3349.12301663038</v>
      </c>
      <c r="K60" s="12">
        <v>4189.69190397707</v>
      </c>
      <c r="L60" s="12">
        <v>6705.37423999765</v>
      </c>
      <c r="M60" s="12">
        <v>14619.6722321022</v>
      </c>
      <c r="N60" s="12">
        <v>12232.640526458</v>
      </c>
      <c r="O60" s="12">
        <v>9397.61940691415</v>
      </c>
      <c r="P60" s="12">
        <v>12913.540749463</v>
      </c>
      <c r="Q60" s="12">
        <v>12913.540749463</v>
      </c>
      <c r="R60" s="12">
        <v>5589.14134637055</v>
      </c>
      <c r="S60" s="12">
        <v>7419.17895030716</v>
      </c>
      <c r="T60" s="12">
        <v>9374.72473429963</v>
      </c>
      <c r="U60" s="12">
        <v>8533.22868298499</v>
      </c>
      <c r="V60" s="12">
        <v>13900.6622606368</v>
      </c>
      <c r="W60" s="12">
        <v>7244.87847576746</v>
      </c>
      <c r="X60" s="12">
        <v>4027.8033152874</v>
      </c>
    </row>
    <row r="61">
      <c r="A61" s="8">
        <v>41974.0</v>
      </c>
      <c r="B61" s="9">
        <f>IFERROR(__xludf.DUMMYFUNCTION("""COMPUTED_VALUE"""),9230.0)</f>
        <v>9230</v>
      </c>
      <c r="C61" s="12" t="s">
        <v>60</v>
      </c>
      <c r="D61" s="12">
        <v>994.456169964211</v>
      </c>
      <c r="E61" s="12">
        <v>3646.61477287788</v>
      </c>
      <c r="F61" s="12">
        <v>1577.33905345549</v>
      </c>
      <c r="G61" s="12">
        <v>10944.1618031341</v>
      </c>
      <c r="H61" s="12">
        <v>5568.40037728407</v>
      </c>
      <c r="I61" s="13">
        <v>5747.07999184324</v>
      </c>
      <c r="J61" s="13">
        <v>5101.25461047277</v>
      </c>
      <c r="K61" s="12">
        <v>4231.80381964682</v>
      </c>
      <c r="L61" s="12">
        <v>7729.8321495345</v>
      </c>
      <c r="M61" s="12">
        <v>5741.16533624814</v>
      </c>
      <c r="N61" s="12">
        <v>7661.78581618272</v>
      </c>
      <c r="O61" s="12">
        <v>2636.8642168016</v>
      </c>
      <c r="P61" s="12">
        <v>8583.0573397185</v>
      </c>
      <c r="Q61" s="12">
        <v>8583.0573397185</v>
      </c>
      <c r="R61" s="12">
        <v>2186.17930405955</v>
      </c>
      <c r="S61" s="12">
        <v>2383.73002545205</v>
      </c>
      <c r="T61" s="12">
        <v>3636.68124503851</v>
      </c>
      <c r="U61" s="12">
        <v>2186.33340479674</v>
      </c>
      <c r="V61" s="12">
        <v>9048.3379447373</v>
      </c>
      <c r="W61" s="12">
        <v>8679.6371912611</v>
      </c>
      <c r="X61" s="12">
        <v>5008.46881022282</v>
      </c>
    </row>
    <row r="62">
      <c r="A62" s="8">
        <v>42005.0</v>
      </c>
      <c r="B62" s="9">
        <f>IFERROR(__xludf.DUMMYFUNCTION("""COMPUTED_VALUE"""),4974.0)</f>
        <v>4974</v>
      </c>
      <c r="C62" s="12" t="s">
        <v>61</v>
      </c>
      <c r="D62" s="12">
        <v>2628.604109438</v>
      </c>
      <c r="E62" s="12">
        <v>2755.91153811299</v>
      </c>
      <c r="F62" s="12">
        <v>3950.21288527085</v>
      </c>
      <c r="G62" s="12">
        <v>4923.49595271549</v>
      </c>
      <c r="H62" s="12">
        <v>4870.48173041223</v>
      </c>
      <c r="I62" s="13">
        <v>2790.19044662701</v>
      </c>
      <c r="J62" s="13">
        <v>5055.71607476979</v>
      </c>
      <c r="K62" s="12">
        <v>6201.48578821991</v>
      </c>
      <c r="L62" s="12">
        <v>6774.38814161081</v>
      </c>
      <c r="M62" s="12">
        <v>4088.49646662687</v>
      </c>
      <c r="N62" s="12">
        <v>10490.8510230632</v>
      </c>
      <c r="O62" s="12">
        <v>4109.87044680753</v>
      </c>
      <c r="P62" s="12">
        <v>5580.39074456392</v>
      </c>
      <c r="Q62" s="12">
        <v>5580.39074456392</v>
      </c>
      <c r="R62" s="12">
        <v>4368.04520853613</v>
      </c>
      <c r="S62" s="12">
        <v>2878.3847661986</v>
      </c>
      <c r="T62" s="12">
        <v>3078.2161134018</v>
      </c>
      <c r="U62" s="12">
        <v>4287.03110526646</v>
      </c>
      <c r="V62" s="12">
        <v>8074.41641877151</v>
      </c>
      <c r="W62" s="12">
        <v>8407.83959550408</v>
      </c>
      <c r="X62" s="12">
        <v>3284.78783123736</v>
      </c>
    </row>
    <row r="63">
      <c r="A63" s="8">
        <v>42036.0</v>
      </c>
      <c r="B63" s="9">
        <f>IFERROR(__xludf.DUMMYFUNCTION("""COMPUTED_VALUE"""),1563.0)</f>
        <v>1563</v>
      </c>
      <c r="C63" s="12" t="s">
        <v>62</v>
      </c>
      <c r="D63" s="12">
        <v>5611.14053658088</v>
      </c>
      <c r="E63" s="12">
        <v>2503.20933018791</v>
      </c>
      <c r="F63" s="12">
        <v>8977.30068220993</v>
      </c>
      <c r="G63" s="12">
        <v>4388.2859682225</v>
      </c>
      <c r="H63" s="12">
        <v>7972.02366629048</v>
      </c>
      <c r="I63" s="13">
        <v>5863.68856841564</v>
      </c>
      <c r="J63" s="13">
        <v>654.235509438044</v>
      </c>
      <c r="K63" s="12">
        <v>5444.83621395367</v>
      </c>
      <c r="L63" s="12">
        <v>3881.11033297796</v>
      </c>
      <c r="M63" s="12">
        <v>-104.790227552685</v>
      </c>
      <c r="N63" s="12">
        <v>2648.56603578516</v>
      </c>
      <c r="O63" s="12">
        <v>3686.7130235084</v>
      </c>
      <c r="P63" s="12">
        <v>2321.01615117887</v>
      </c>
      <c r="Q63" s="12">
        <v>2321.01615117887</v>
      </c>
      <c r="R63" s="12">
        <v>2945.34740938762</v>
      </c>
      <c r="S63" s="12">
        <v>2044.9629049943</v>
      </c>
      <c r="T63" s="12">
        <v>3414.25274612102</v>
      </c>
      <c r="U63" s="12">
        <v>2109.2447060919</v>
      </c>
      <c r="V63" s="12">
        <v>5732.59144990799</v>
      </c>
      <c r="W63" s="12">
        <v>4754.50597345622</v>
      </c>
      <c r="X63" s="12">
        <v>5099.35354277541</v>
      </c>
    </row>
    <row r="64">
      <c r="A64" s="8">
        <v>42064.0</v>
      </c>
      <c r="B64" s="9">
        <f>IFERROR(__xludf.DUMMYFUNCTION("""COMPUTED_VALUE"""),4671.0)</f>
        <v>4671</v>
      </c>
      <c r="C64" s="12" t="s">
        <v>63</v>
      </c>
      <c r="D64" s="12">
        <v>7211.57896229872</v>
      </c>
      <c r="E64" s="12">
        <v>3450.40356597949</v>
      </c>
      <c r="F64" s="12">
        <v>12020.9749367981</v>
      </c>
      <c r="G64" s="12">
        <v>4639.42501835404</v>
      </c>
      <c r="H64" s="12">
        <v>12122.438224287</v>
      </c>
      <c r="I64" s="13">
        <v>9050.74889949684</v>
      </c>
      <c r="J64" s="13">
        <v>11929.8748747361</v>
      </c>
      <c r="K64" s="12">
        <v>6257.292786951</v>
      </c>
      <c r="L64" s="12">
        <v>4100.47666984117</v>
      </c>
      <c r="M64" s="12">
        <v>5173.44594121822</v>
      </c>
      <c r="N64" s="12">
        <v>1208.29685520836</v>
      </c>
      <c r="O64" s="12">
        <v>7650.49274476811</v>
      </c>
      <c r="P64" s="12">
        <v>1520.34553578608</v>
      </c>
      <c r="Q64" s="12">
        <v>1520.34553578608</v>
      </c>
      <c r="R64" s="12">
        <v>2752.54340897988</v>
      </c>
      <c r="S64" s="12">
        <v>1682.00356211814</v>
      </c>
      <c r="T64" s="12">
        <v>2420.64101145993</v>
      </c>
      <c r="U64" s="12">
        <v>1915.78519875977</v>
      </c>
      <c r="V64" s="12">
        <v>4568.6933197358</v>
      </c>
      <c r="W64" s="12">
        <v>4212.56319073407</v>
      </c>
      <c r="X64" s="12">
        <v>2604.17172170045</v>
      </c>
    </row>
    <row r="65">
      <c r="A65" s="8">
        <v>42095.0</v>
      </c>
      <c r="B65" s="9">
        <f>IFERROR(__xludf.DUMMYFUNCTION("""COMPUTED_VALUE"""),5406.0)</f>
        <v>5406</v>
      </c>
      <c r="C65" s="12" t="s">
        <v>43</v>
      </c>
      <c r="D65" s="12">
        <v>7694.0597910718</v>
      </c>
      <c r="E65" s="12">
        <v>3306.86317375262</v>
      </c>
      <c r="F65" s="12">
        <v>11508.9602977446</v>
      </c>
      <c r="G65" s="12">
        <v>5361.04639687072</v>
      </c>
      <c r="H65" s="12">
        <v>11724.3890083363</v>
      </c>
      <c r="I65" s="13">
        <v>9253.56870135293</v>
      </c>
      <c r="J65" s="13">
        <v>13008.0234089835</v>
      </c>
      <c r="K65" s="12">
        <v>6211.94490068983</v>
      </c>
      <c r="L65" s="12">
        <v>7321.23025616988</v>
      </c>
      <c r="M65" s="12">
        <v>-712.645837302663</v>
      </c>
      <c r="N65" s="12">
        <v>7854.09554607138</v>
      </c>
      <c r="O65" s="12">
        <v>5431.56362687775</v>
      </c>
      <c r="P65" s="12">
        <v>1105.43853810854</v>
      </c>
      <c r="Q65" s="12">
        <v>1105.43853810854</v>
      </c>
      <c r="R65" s="12">
        <v>5249.3967691984</v>
      </c>
      <c r="S65" s="12">
        <v>2180.46049204911</v>
      </c>
      <c r="T65" s="12">
        <v>8093.16713865185</v>
      </c>
      <c r="U65" s="12">
        <v>5091.56529361831</v>
      </c>
      <c r="V65" s="12">
        <v>4474.7408566821</v>
      </c>
      <c r="W65" s="12">
        <v>4802.37377308434</v>
      </c>
      <c r="X65" s="12">
        <v>2776.49386935812</v>
      </c>
    </row>
    <row r="66">
      <c r="A66" s="8">
        <v>42125.0</v>
      </c>
      <c r="B66" s="9">
        <f>IFERROR(__xludf.DUMMYFUNCTION("""COMPUTED_VALUE"""),2432.0)</f>
        <v>2432</v>
      </c>
      <c r="C66" s="12" t="s">
        <v>44</v>
      </c>
      <c r="D66" s="12">
        <v>2667.97103321559</v>
      </c>
      <c r="E66" s="12">
        <v>2414.56610639692</v>
      </c>
      <c r="F66" s="12">
        <v>2407.91264529761</v>
      </c>
      <c r="G66" s="12">
        <v>4860.42236401929</v>
      </c>
      <c r="H66" s="12">
        <v>2252.72832425801</v>
      </c>
      <c r="I66" s="13">
        <v>2666.36039831576</v>
      </c>
      <c r="J66" s="13">
        <v>4355.75655373217</v>
      </c>
      <c r="K66" s="12">
        <v>2933.16419702761</v>
      </c>
      <c r="L66" s="12">
        <v>3699.80107967683</v>
      </c>
      <c r="M66" s="12">
        <v>58.8806717828361</v>
      </c>
      <c r="N66" s="12">
        <v>5287.21136857319</v>
      </c>
      <c r="O66" s="12">
        <v>9573.31945953929</v>
      </c>
      <c r="P66" s="12">
        <v>2203.72909513396</v>
      </c>
      <c r="Q66" s="12">
        <v>2203.72909513396</v>
      </c>
      <c r="R66" s="12">
        <v>7739.37655370559</v>
      </c>
      <c r="S66" s="12">
        <v>6816.09522339739</v>
      </c>
      <c r="T66" s="12">
        <v>4685.41357929609</v>
      </c>
      <c r="U66" s="12">
        <v>7390.015664403</v>
      </c>
      <c r="V66" s="12">
        <v>5549.89498915802</v>
      </c>
      <c r="W66" s="12">
        <v>4559.69495606121</v>
      </c>
      <c r="X66" s="12">
        <v>1615.05776990518</v>
      </c>
    </row>
    <row r="67">
      <c r="A67" s="8">
        <v>42156.0</v>
      </c>
      <c r="B67" s="9">
        <f>IFERROR(__xludf.DUMMYFUNCTION("""COMPUTED_VALUE"""),3993.0)</f>
        <v>3993</v>
      </c>
      <c r="C67" s="12" t="s">
        <v>45</v>
      </c>
      <c r="D67" s="12">
        <v>3164.17758347854</v>
      </c>
      <c r="E67" s="12">
        <v>6983.96452781629</v>
      </c>
      <c r="F67" s="12">
        <v>3596.25217609798</v>
      </c>
      <c r="G67" s="12">
        <v>4534.33659437838</v>
      </c>
      <c r="H67" s="12">
        <v>4207.31279029985</v>
      </c>
      <c r="I67" s="13">
        <v>2364.25366246173</v>
      </c>
      <c r="J67" s="13">
        <v>901.174252435933</v>
      </c>
      <c r="K67" s="12">
        <v>4972.15746306957</v>
      </c>
      <c r="L67" s="12">
        <v>3729.69568122552</v>
      </c>
      <c r="M67" s="12">
        <v>-330.200917573391</v>
      </c>
      <c r="N67" s="12">
        <v>4633.91790184283</v>
      </c>
      <c r="O67" s="12">
        <v>3867.55498590501</v>
      </c>
      <c r="P67" s="12">
        <v>3136.40839143968</v>
      </c>
      <c r="Q67" s="12">
        <v>3136.40839143968</v>
      </c>
      <c r="R67" s="12">
        <v>4977.5226401038</v>
      </c>
      <c r="S67" s="12">
        <v>4427.47074822604</v>
      </c>
      <c r="T67" s="12">
        <v>2790.49540898983</v>
      </c>
      <c r="U67" s="12">
        <v>4448.92965361603</v>
      </c>
      <c r="V67" s="12">
        <v>5035.63151724815</v>
      </c>
      <c r="W67" s="12">
        <v>3793.71272230148</v>
      </c>
      <c r="X67" s="12">
        <v>2265.27858322976</v>
      </c>
    </row>
    <row r="68">
      <c r="A68" s="8">
        <v>42186.0</v>
      </c>
      <c r="B68" s="9">
        <f>IFERROR(__xludf.DUMMYFUNCTION("""COMPUTED_VALUE"""),2799.0)</f>
        <v>2799</v>
      </c>
      <c r="C68" s="12" t="s">
        <v>46</v>
      </c>
      <c r="D68" s="12">
        <v>4360.9816900703</v>
      </c>
      <c r="E68" s="12">
        <v>13924.4910306663</v>
      </c>
      <c r="F68" s="12">
        <v>2606.45580990213</v>
      </c>
      <c r="G68" s="12">
        <v>4682.40498745125</v>
      </c>
      <c r="H68" s="12">
        <v>3332.96302327698</v>
      </c>
      <c r="I68" s="13">
        <v>2914.07175062533</v>
      </c>
      <c r="J68" s="13">
        <v>2979.09828092981</v>
      </c>
      <c r="K68" s="12">
        <v>4078.07622368714</v>
      </c>
      <c r="L68" s="12">
        <v>3029.51462014295</v>
      </c>
      <c r="M68" s="12">
        <v>2589.01214800377</v>
      </c>
      <c r="N68" s="12">
        <v>3992.21563493383</v>
      </c>
      <c r="O68" s="12">
        <v>3801.12927013467</v>
      </c>
      <c r="P68" s="12">
        <v>2303.25853917521</v>
      </c>
      <c r="Q68" s="12">
        <v>2303.25853917521</v>
      </c>
      <c r="R68" s="12">
        <v>5330.1596534355</v>
      </c>
      <c r="S68" s="12">
        <v>4329.74389152863</v>
      </c>
      <c r="T68" s="12">
        <v>2587.9762935569</v>
      </c>
      <c r="U68" s="12">
        <v>4496.49628570842</v>
      </c>
      <c r="V68" s="12">
        <v>4653.91009786965</v>
      </c>
      <c r="W68" s="12">
        <v>3012.62353096505</v>
      </c>
      <c r="X68" s="12">
        <v>4740.02533240257</v>
      </c>
    </row>
    <row r="69">
      <c r="A69" s="8">
        <v>42217.0</v>
      </c>
      <c r="B69" s="9">
        <f>IFERROR(__xludf.DUMMYFUNCTION("""COMPUTED_VALUE"""),8056.0)</f>
        <v>8056</v>
      </c>
      <c r="C69" s="12" t="s">
        <v>47</v>
      </c>
      <c r="D69" s="12">
        <v>7189.25092824399</v>
      </c>
      <c r="E69" s="12">
        <v>2099.37300573998</v>
      </c>
      <c r="F69" s="12">
        <v>7280.39891385382</v>
      </c>
      <c r="G69" s="12">
        <v>3620.49227964498</v>
      </c>
      <c r="H69" s="12">
        <v>8217.68377763886</v>
      </c>
      <c r="I69" s="13">
        <v>5254.92090945065</v>
      </c>
      <c r="J69" s="13">
        <v>8222.5382975177</v>
      </c>
      <c r="K69" s="12">
        <v>5883.68138577681</v>
      </c>
      <c r="L69" s="12">
        <v>4500.59138785421</v>
      </c>
      <c r="M69" s="12">
        <v>6673.37830440068</v>
      </c>
      <c r="N69" s="12">
        <v>4510.0556671876</v>
      </c>
      <c r="O69" s="12">
        <v>4753.386574012</v>
      </c>
      <c r="P69" s="12">
        <v>1637.33008128545</v>
      </c>
      <c r="Q69" s="12">
        <v>1637.33008128545</v>
      </c>
      <c r="R69" s="12">
        <v>6414.04943967357</v>
      </c>
      <c r="S69" s="12">
        <v>3961.63523864238</v>
      </c>
      <c r="T69" s="12">
        <v>3630.69619880192</v>
      </c>
      <c r="U69" s="12">
        <v>5591.11573756253</v>
      </c>
      <c r="V69" s="12">
        <v>4885.13862515341</v>
      </c>
      <c r="W69" s="12">
        <v>3183.80940249386</v>
      </c>
      <c r="X69" s="12">
        <v>4108.76746991164</v>
      </c>
    </row>
    <row r="70">
      <c r="A70" s="8">
        <v>42248.0</v>
      </c>
      <c r="B70" s="9">
        <f>IFERROR(__xludf.DUMMYFUNCTION("""COMPUTED_VALUE"""),6452.0)</f>
        <v>6452</v>
      </c>
      <c r="C70" s="12" t="s">
        <v>48</v>
      </c>
      <c r="D70" s="12">
        <v>11160.7640150585</v>
      </c>
      <c r="E70" s="12">
        <v>622.994424258324</v>
      </c>
      <c r="F70" s="12">
        <v>6577.09537196516</v>
      </c>
      <c r="G70" s="12">
        <v>5086.97401783132</v>
      </c>
      <c r="H70" s="12">
        <v>8489.98464388166</v>
      </c>
      <c r="I70" s="13">
        <v>5515.52399704936</v>
      </c>
      <c r="J70" s="13">
        <v>7123.38477011555</v>
      </c>
      <c r="K70" s="12">
        <v>4591.59073968846</v>
      </c>
      <c r="L70" s="12">
        <v>10017.7652112531</v>
      </c>
      <c r="M70" s="12">
        <v>7869.51573651957</v>
      </c>
      <c r="N70" s="12">
        <v>6495.58683648201</v>
      </c>
      <c r="O70" s="12">
        <v>6072.84650867012</v>
      </c>
      <c r="P70" s="12">
        <v>3795.59604868902</v>
      </c>
      <c r="Q70" s="12">
        <v>3795.59604868902</v>
      </c>
      <c r="R70" s="12">
        <v>6628.70009672395</v>
      </c>
      <c r="S70" s="12">
        <v>2312.8397751766</v>
      </c>
      <c r="T70" s="12">
        <v>4550.32214899419</v>
      </c>
      <c r="U70" s="12">
        <v>5886.8583578882</v>
      </c>
      <c r="V70" s="12">
        <v>10788.1038711146</v>
      </c>
      <c r="W70" s="12">
        <v>2964.5323881227</v>
      </c>
      <c r="X70" s="12">
        <v>3477.4621290672</v>
      </c>
    </row>
    <row r="71">
      <c r="A71" s="8">
        <v>42278.0</v>
      </c>
      <c r="B71" s="9">
        <f>IFERROR(__xludf.DUMMYFUNCTION("""COMPUTED_VALUE"""),9973.0)</f>
        <v>9973</v>
      </c>
      <c r="C71" s="12" t="s">
        <v>49</v>
      </c>
      <c r="D71" s="12">
        <v>5806.29363831488</v>
      </c>
      <c r="E71" s="12">
        <v>1050.79729248383</v>
      </c>
      <c r="F71" s="12">
        <v>8670.54273744264</v>
      </c>
      <c r="G71" s="12">
        <v>18247.3111046751</v>
      </c>
      <c r="H71" s="12">
        <v>7511.6439576299</v>
      </c>
      <c r="I71" s="13">
        <v>7708.38980412906</v>
      </c>
      <c r="J71" s="13">
        <v>10017.0786111394</v>
      </c>
      <c r="K71" s="12">
        <v>5336.0379787066</v>
      </c>
      <c r="L71" s="12">
        <v>8020.34311908253</v>
      </c>
      <c r="M71" s="12">
        <v>11373.2073735333</v>
      </c>
      <c r="N71" s="12">
        <v>5179.94100514859</v>
      </c>
      <c r="O71" s="12">
        <v>6556.73504980316</v>
      </c>
      <c r="P71" s="12">
        <v>2917.99524555836</v>
      </c>
      <c r="Q71" s="12">
        <v>2917.99524555836</v>
      </c>
      <c r="R71" s="12">
        <v>7139.45436350168</v>
      </c>
      <c r="S71" s="12">
        <v>5148.84758939847</v>
      </c>
      <c r="T71" s="12">
        <v>4839.8369736733</v>
      </c>
      <c r="U71" s="12">
        <v>6323.71898985427</v>
      </c>
      <c r="V71" s="12">
        <v>7562.03597275653</v>
      </c>
      <c r="W71" s="12">
        <v>4961.76321175158</v>
      </c>
      <c r="X71" s="12">
        <v>6547.14931926663</v>
      </c>
    </row>
    <row r="72">
      <c r="A72" s="8">
        <v>42309.0</v>
      </c>
      <c r="B72" s="9">
        <f>IFERROR(__xludf.DUMMYFUNCTION("""COMPUTED_VALUE"""),4618.0)</f>
        <v>4618</v>
      </c>
      <c r="C72" s="12" t="s">
        <v>50</v>
      </c>
      <c r="D72" s="12">
        <v>4405.058259985</v>
      </c>
      <c r="E72" s="12">
        <v>30428.2928239571</v>
      </c>
      <c r="F72" s="12">
        <v>6372.06162598267</v>
      </c>
      <c r="G72" s="12">
        <v>4248.0512286671</v>
      </c>
      <c r="H72" s="12">
        <v>6291.80763623474</v>
      </c>
      <c r="I72" s="13">
        <v>4595.6752758084</v>
      </c>
      <c r="J72" s="13">
        <v>8837.06758915265</v>
      </c>
      <c r="K72" s="12">
        <v>3324.28760643629</v>
      </c>
      <c r="L72" s="12">
        <v>6374.82628515623</v>
      </c>
      <c r="M72" s="12">
        <v>4546.82791130915</v>
      </c>
      <c r="N72" s="12">
        <v>5223.25713342443</v>
      </c>
      <c r="O72" s="12">
        <v>5062.51796360761</v>
      </c>
      <c r="P72" s="12">
        <v>5073.03002067853</v>
      </c>
      <c r="Q72" s="12">
        <v>5073.03002067853</v>
      </c>
      <c r="R72" s="12">
        <v>6681.68460768663</v>
      </c>
      <c r="S72" s="12">
        <v>4208.65066260426</v>
      </c>
      <c r="T72" s="12">
        <v>5580.70488092097</v>
      </c>
      <c r="U72" s="12">
        <v>5657.96961024465</v>
      </c>
      <c r="V72" s="12">
        <v>5028.55482811567</v>
      </c>
      <c r="W72" s="12">
        <v>4383.16784893401</v>
      </c>
      <c r="X72" s="12">
        <v>2775.3862034691</v>
      </c>
    </row>
    <row r="73">
      <c r="A73" s="8">
        <v>42339.0</v>
      </c>
      <c r="B73" s="9">
        <f>IFERROR(__xludf.DUMMYFUNCTION("""COMPUTED_VALUE"""),5054.0)</f>
        <v>5054</v>
      </c>
      <c r="C73" s="12" t="s">
        <v>51</v>
      </c>
      <c r="D73" s="12">
        <v>4376.43450566955</v>
      </c>
      <c r="E73" s="12">
        <v>16131.748844206</v>
      </c>
      <c r="F73" s="12">
        <v>5880.69337399512</v>
      </c>
      <c r="G73" s="12">
        <v>1589.12371746866</v>
      </c>
      <c r="H73" s="12">
        <v>7077.41688304439</v>
      </c>
      <c r="I73" s="13">
        <v>4235.21859127866</v>
      </c>
      <c r="J73" s="13">
        <v>6764.99269861383</v>
      </c>
      <c r="K73" s="12">
        <v>2250.89663808078</v>
      </c>
      <c r="L73" s="12">
        <v>3076.94144776112</v>
      </c>
      <c r="M73" s="12">
        <v>5736.39837112635</v>
      </c>
      <c r="N73" s="12">
        <v>7411.85937117666</v>
      </c>
      <c r="O73" s="12">
        <v>6497.91875525375</v>
      </c>
      <c r="P73" s="12">
        <v>5208.24353281964</v>
      </c>
      <c r="Q73" s="12">
        <v>5208.24353281964</v>
      </c>
      <c r="R73" s="12">
        <v>5155.58294106024</v>
      </c>
      <c r="S73" s="12">
        <v>4992.58580331477</v>
      </c>
      <c r="T73" s="12">
        <v>8087.45612016677</v>
      </c>
      <c r="U73" s="12">
        <v>5316.73448291667</v>
      </c>
      <c r="V73" s="12">
        <v>4901.92281899217</v>
      </c>
      <c r="W73" s="12">
        <v>2924.16537450316</v>
      </c>
      <c r="X73" s="12">
        <v>2904.88767886685</v>
      </c>
    </row>
    <row r="74">
      <c r="A74" s="8">
        <v>42370.0</v>
      </c>
      <c r="B74" s="9">
        <f>IFERROR(__xludf.DUMMYFUNCTION("""COMPUTED_VALUE"""),19571.0)</f>
        <v>19571</v>
      </c>
      <c r="C74" s="12" t="s">
        <v>52</v>
      </c>
      <c r="D74" s="12">
        <v>19909.9369299073</v>
      </c>
      <c r="E74" s="12">
        <v>51130.8526149817</v>
      </c>
      <c r="F74" s="12">
        <v>15847.0510573523</v>
      </c>
      <c r="G74" s="12">
        <v>2513.66003805988</v>
      </c>
      <c r="H74" s="12">
        <v>25919.7723909781</v>
      </c>
      <c r="I74" s="13">
        <v>17706.9803301564</v>
      </c>
      <c r="J74" s="13">
        <v>19263.8507862835</v>
      </c>
      <c r="K74" s="12">
        <v>4090.51420123137</v>
      </c>
      <c r="L74" s="12">
        <v>5300.9192882546</v>
      </c>
      <c r="M74" s="12">
        <v>19820.3743399969</v>
      </c>
      <c r="N74" s="12">
        <v>19249.3332841813</v>
      </c>
      <c r="O74" s="12">
        <v>18866.384766008</v>
      </c>
      <c r="P74" s="12">
        <v>19560.2718694535</v>
      </c>
      <c r="Q74" s="12">
        <v>19560.2718694535</v>
      </c>
      <c r="R74" s="12">
        <v>18952.0</v>
      </c>
      <c r="S74" s="12">
        <v>7614.71565671028</v>
      </c>
      <c r="T74" s="12">
        <v>8380.49815677204</v>
      </c>
      <c r="U74" s="12">
        <v>7685.19615491375</v>
      </c>
      <c r="V74" s="12">
        <v>6730.67519381425</v>
      </c>
      <c r="W74" s="12">
        <v>5744.77101313076</v>
      </c>
      <c r="X74" s="12">
        <v>6160.35799705756</v>
      </c>
    </row>
    <row r="75">
      <c r="A75" s="8">
        <v>42401.0</v>
      </c>
      <c r="B75" s="9">
        <f>IFERROR(__xludf.DUMMYFUNCTION("""COMPUTED_VALUE"""),17441.0)</f>
        <v>17441</v>
      </c>
      <c r="C75" s="12" t="s">
        <v>53</v>
      </c>
      <c r="D75" s="12">
        <v>16507.7882606465</v>
      </c>
      <c r="E75" s="12">
        <v>2305.92417593684</v>
      </c>
      <c r="F75" s="12">
        <v>19094.6846312352</v>
      </c>
      <c r="G75" s="12">
        <v>35502.0229912358</v>
      </c>
      <c r="H75" s="12">
        <v>20408.7641794145</v>
      </c>
      <c r="I75" s="13">
        <v>12802.9484115732</v>
      </c>
      <c r="J75" s="13">
        <v>14521.5780894778</v>
      </c>
      <c r="K75" s="12">
        <v>6446.0268061615</v>
      </c>
      <c r="L75" s="12">
        <v>16983.224806454</v>
      </c>
      <c r="M75" s="12">
        <v>17071.2212082736</v>
      </c>
      <c r="N75" s="12">
        <v>9466.31022404348</v>
      </c>
      <c r="O75" s="12">
        <v>14040.5712644817</v>
      </c>
      <c r="P75" s="12">
        <v>17191.4496175138</v>
      </c>
      <c r="Q75" s="12">
        <v>17191.4496175138</v>
      </c>
      <c r="R75" s="12">
        <v>14037.532324344</v>
      </c>
      <c r="S75" s="12">
        <v>13340.8736735438</v>
      </c>
      <c r="T75" s="12">
        <v>17994.924342824</v>
      </c>
      <c r="U75" s="12">
        <v>13230.1395714181</v>
      </c>
      <c r="V75" s="12">
        <v>16702.7960357659</v>
      </c>
      <c r="W75" s="12">
        <v>8264.96596067733</v>
      </c>
      <c r="X75" s="12">
        <v>9484.97197728566</v>
      </c>
    </row>
    <row r="76">
      <c r="A76" s="8">
        <v>42430.0</v>
      </c>
      <c r="B76" s="9">
        <f>IFERROR(__xludf.DUMMYFUNCTION("""COMPUTED_VALUE"""),13304.0)</f>
        <v>13304</v>
      </c>
      <c r="C76" s="12" t="s">
        <v>54</v>
      </c>
      <c r="D76" s="12">
        <v>12256.4625258272</v>
      </c>
      <c r="E76" s="12">
        <v>3351.68743370004</v>
      </c>
      <c r="F76" s="12">
        <v>13959.9377026034</v>
      </c>
      <c r="G76" s="12">
        <v>8095.59291276217</v>
      </c>
      <c r="H76" s="12">
        <v>14721.5541730867</v>
      </c>
      <c r="I76" s="13">
        <v>12137.5837955141</v>
      </c>
      <c r="J76" s="13">
        <v>14919.5895323332</v>
      </c>
      <c r="K76" s="12">
        <v>7563.62453333437</v>
      </c>
      <c r="L76" s="12">
        <v>8120.48425066801</v>
      </c>
      <c r="M76" s="12">
        <v>11526.1137923426</v>
      </c>
      <c r="N76" s="12">
        <v>10699.4853289119</v>
      </c>
      <c r="O76" s="12">
        <v>13411.5090266388</v>
      </c>
      <c r="P76" s="12">
        <v>12655.8676258348</v>
      </c>
      <c r="Q76" s="12">
        <v>12655.8676258348</v>
      </c>
      <c r="R76" s="12">
        <v>13022.5107630953</v>
      </c>
      <c r="S76" s="12">
        <v>12201.5379245924</v>
      </c>
      <c r="T76" s="12">
        <v>12734.2407785018</v>
      </c>
      <c r="U76" s="12">
        <v>12333.3702869874</v>
      </c>
      <c r="V76" s="12">
        <v>8093.69845606302</v>
      </c>
      <c r="W76" s="12">
        <v>11922.1583348059</v>
      </c>
      <c r="X76" s="12">
        <v>41424.328749735</v>
      </c>
    </row>
    <row r="77">
      <c r="A77" s="8">
        <v>42461.0</v>
      </c>
      <c r="B77" s="9">
        <f>IFERROR(__xludf.DUMMYFUNCTION("""COMPUTED_VALUE"""),24725.0)</f>
        <v>24725</v>
      </c>
      <c r="C77" s="12" t="s">
        <v>55</v>
      </c>
      <c r="D77" s="12">
        <v>13730.6110370667</v>
      </c>
      <c r="E77" s="12">
        <v>8393.33438797647</v>
      </c>
      <c r="F77" s="12">
        <v>18176.0937544237</v>
      </c>
      <c r="G77" s="12">
        <v>30582.6197326479</v>
      </c>
      <c r="H77" s="12">
        <v>17519.7994518225</v>
      </c>
      <c r="I77" s="13">
        <v>19533.2547495616</v>
      </c>
      <c r="J77" s="13">
        <v>25350.7837798243</v>
      </c>
      <c r="K77" s="12">
        <v>9824.91552121411</v>
      </c>
      <c r="L77" s="12">
        <v>26822.3097746247</v>
      </c>
      <c r="M77" s="12">
        <v>12174.132867386</v>
      </c>
      <c r="N77" s="12">
        <v>30836.1263383375</v>
      </c>
      <c r="O77" s="12">
        <v>21134.1007931538</v>
      </c>
      <c r="P77" s="12">
        <v>22634.5827242015</v>
      </c>
      <c r="Q77" s="12">
        <v>22634.5827242015</v>
      </c>
      <c r="R77" s="12">
        <v>21728.7256212397</v>
      </c>
      <c r="S77" s="12">
        <v>21007.2578636384</v>
      </c>
      <c r="T77" s="12">
        <v>24199.2758187901</v>
      </c>
      <c r="U77" s="12">
        <v>22564.1960794913</v>
      </c>
      <c r="V77" s="12">
        <v>28130.7362918323</v>
      </c>
      <c r="W77" s="12">
        <v>17476.5772773356</v>
      </c>
      <c r="X77" s="12">
        <v>30143.9379088132</v>
      </c>
    </row>
    <row r="78">
      <c r="A78" s="8">
        <v>42491.0</v>
      </c>
      <c r="B78" s="9">
        <f>IFERROR(__xludf.DUMMYFUNCTION("""COMPUTED_VALUE"""),9598.0)</f>
        <v>9598</v>
      </c>
      <c r="C78" s="12" t="s">
        <v>56</v>
      </c>
      <c r="D78" s="12">
        <v>6455.32204448696</v>
      </c>
      <c r="E78" s="12">
        <v>3800.56766144648</v>
      </c>
      <c r="F78" s="12">
        <v>7886.34777048951</v>
      </c>
      <c r="G78" s="12">
        <v>28666.2923657065</v>
      </c>
      <c r="H78" s="12">
        <v>8580.04430418871</v>
      </c>
      <c r="I78" s="13">
        <v>10907.5558507405</v>
      </c>
      <c r="J78" s="13">
        <v>9339.39406717801</v>
      </c>
      <c r="K78" s="12">
        <v>6135.1028453621</v>
      </c>
      <c r="L78" s="12">
        <v>9544.98627020659</v>
      </c>
      <c r="M78" s="12">
        <v>11665.4819395555</v>
      </c>
      <c r="N78" s="12">
        <v>20439.1225548107</v>
      </c>
      <c r="O78" s="12">
        <v>11621.5092522305</v>
      </c>
      <c r="P78" s="12">
        <v>11620.1543686928</v>
      </c>
      <c r="Q78" s="12">
        <v>11620.1543686928</v>
      </c>
      <c r="R78" s="12">
        <v>10529.0905559858</v>
      </c>
      <c r="S78" s="12">
        <v>19023.8125550292</v>
      </c>
      <c r="T78" s="12">
        <v>9827.89155581513</v>
      </c>
      <c r="U78" s="12">
        <v>19373.3918437811</v>
      </c>
      <c r="V78" s="12">
        <v>10815.8169799314</v>
      </c>
      <c r="W78" s="12">
        <v>9629.68859999747</v>
      </c>
      <c r="X78" s="12">
        <v>30847.2764768032</v>
      </c>
    </row>
    <row r="79">
      <c r="A79" s="8">
        <v>42522.0</v>
      </c>
      <c r="B79" s="9">
        <f>IFERROR(__xludf.DUMMYFUNCTION("""COMPUTED_VALUE"""),6661.0)</f>
        <v>6661</v>
      </c>
      <c r="C79" s="12" t="s">
        <v>57</v>
      </c>
      <c r="D79" s="12">
        <v>9626.47896695921</v>
      </c>
      <c r="E79" s="12">
        <v>2895.01081548167</v>
      </c>
      <c r="F79" s="12">
        <v>6935.45458435372</v>
      </c>
      <c r="G79" s="12">
        <v>7107.09679214336</v>
      </c>
      <c r="H79" s="12">
        <v>6575.91029804258</v>
      </c>
      <c r="I79" s="13">
        <v>6645.19476026701</v>
      </c>
      <c r="J79" s="13">
        <v>9208.69385396344</v>
      </c>
      <c r="K79" s="12">
        <v>6201.52661211229</v>
      </c>
      <c r="L79" s="12">
        <v>6631.49118690996</v>
      </c>
      <c r="M79" s="12">
        <v>8251.69670001092</v>
      </c>
      <c r="N79" s="12">
        <v>11895.627953986</v>
      </c>
      <c r="O79" s="12">
        <v>5495.36842338662</v>
      </c>
      <c r="P79" s="12">
        <v>7748.96676592265</v>
      </c>
      <c r="Q79" s="12">
        <v>7748.96676592265</v>
      </c>
      <c r="R79" s="12">
        <v>6869.82864034272</v>
      </c>
      <c r="S79" s="12">
        <v>5591.25745193031</v>
      </c>
      <c r="T79" s="12">
        <v>7542.68642380775</v>
      </c>
      <c r="U79" s="12">
        <v>6253.31453723572</v>
      </c>
      <c r="V79" s="12">
        <v>11003.1459570994</v>
      </c>
      <c r="W79" s="12">
        <v>8890.70548522827</v>
      </c>
      <c r="X79" s="12">
        <v>12609.4692212673</v>
      </c>
    </row>
    <row r="80">
      <c r="A80" s="8">
        <v>42552.0</v>
      </c>
      <c r="B80" s="9">
        <f>IFERROR(__xludf.DUMMYFUNCTION("""COMPUTED_VALUE"""),20332.0)</f>
        <v>20332</v>
      </c>
      <c r="C80" s="12" t="s">
        <v>58</v>
      </c>
      <c r="D80" s="12">
        <v>13286.5478062016</v>
      </c>
      <c r="E80" s="12">
        <v>10990.6048212991</v>
      </c>
      <c r="F80" s="12">
        <v>13773.4453537051</v>
      </c>
      <c r="G80" s="12">
        <v>20278.2524374575</v>
      </c>
      <c r="H80" s="12">
        <v>12113.4260829114</v>
      </c>
      <c r="I80" s="13">
        <v>9601.63860594122</v>
      </c>
      <c r="J80" s="13">
        <v>13485.1399806234</v>
      </c>
      <c r="K80" s="12">
        <v>28825.1659349863</v>
      </c>
      <c r="L80" s="12">
        <v>10959.0682397359</v>
      </c>
      <c r="M80" s="12">
        <v>10461.209904832</v>
      </c>
      <c r="N80" s="12">
        <v>26343.8959003656</v>
      </c>
      <c r="O80" s="12">
        <v>20332.9950774623</v>
      </c>
      <c r="P80" s="12">
        <v>-46341.2682313114</v>
      </c>
      <c r="Q80" s="12">
        <v>-46341.2682313114</v>
      </c>
      <c r="R80" s="12">
        <v>20573.1083619533</v>
      </c>
      <c r="S80" s="12">
        <v>-114539.452339746</v>
      </c>
      <c r="T80" s="12">
        <v>17180.5940933447</v>
      </c>
      <c r="U80" s="12">
        <v>20156.4151443253</v>
      </c>
      <c r="V80" s="12">
        <v>39687.4953019743</v>
      </c>
      <c r="W80" s="12">
        <v>21055.6386833384</v>
      </c>
      <c r="X80" s="12">
        <v>9226.83700821403</v>
      </c>
    </row>
    <row r="81">
      <c r="A81" s="8">
        <v>42583.0</v>
      </c>
      <c r="B81" s="9">
        <f>IFERROR(__xludf.DUMMYFUNCTION("""COMPUTED_VALUE"""),16603.0)</f>
        <v>16603</v>
      </c>
      <c r="C81" s="12" t="s">
        <v>59</v>
      </c>
      <c r="D81" s="12">
        <v>15649.2126166109</v>
      </c>
      <c r="E81" s="12">
        <v>11130.1156204078</v>
      </c>
      <c r="F81" s="12">
        <v>16340.8417952416</v>
      </c>
      <c r="G81" s="12">
        <v>15381.3745732188</v>
      </c>
      <c r="H81" s="12">
        <v>15962.8547084124</v>
      </c>
      <c r="I81" s="13">
        <v>13316.7137879052</v>
      </c>
      <c r="J81" s="13">
        <v>16370.0001204466</v>
      </c>
      <c r="K81" s="12">
        <v>9491.60573442937</v>
      </c>
      <c r="L81" s="12">
        <v>13325.8376654063</v>
      </c>
      <c r="M81" s="12">
        <v>14485.6414586422</v>
      </c>
      <c r="N81" s="12">
        <v>11660.8709409415</v>
      </c>
      <c r="O81" s="12">
        <v>18689.251595516</v>
      </c>
      <c r="P81" s="12">
        <v>19331.1510333819</v>
      </c>
      <c r="Q81" s="12">
        <v>19331.1510333819</v>
      </c>
      <c r="R81" s="12">
        <v>19241.1247237142</v>
      </c>
      <c r="S81" s="12">
        <v>18237.421343532</v>
      </c>
      <c r="T81" s="12">
        <v>17580.9122984929</v>
      </c>
      <c r="U81" s="12">
        <v>18290.4522389179</v>
      </c>
      <c r="V81" s="12">
        <v>11621.75138316</v>
      </c>
      <c r="W81" s="12">
        <v>15146.2080341368</v>
      </c>
      <c r="X81" s="12">
        <v>14454.6722220918</v>
      </c>
    </row>
    <row r="82">
      <c r="A82" s="8">
        <v>42614.0</v>
      </c>
      <c r="B82" s="9">
        <f>IFERROR(__xludf.DUMMYFUNCTION("""COMPUTED_VALUE"""),6086.0)</f>
        <v>6086</v>
      </c>
      <c r="C82" s="12" t="s">
        <v>60</v>
      </c>
      <c r="D82" s="12">
        <v>13133.5662071418</v>
      </c>
      <c r="E82" s="12">
        <v>11378.9509387271</v>
      </c>
      <c r="F82" s="12">
        <v>17481.2761306772</v>
      </c>
      <c r="G82" s="12">
        <v>9237.82878426998</v>
      </c>
      <c r="H82" s="12">
        <v>14511.1469826739</v>
      </c>
      <c r="I82" s="13">
        <v>12262.4604667505</v>
      </c>
      <c r="J82" s="13">
        <v>8033.51030443044</v>
      </c>
      <c r="K82" s="12">
        <v>11408.9069773421</v>
      </c>
      <c r="L82" s="12">
        <v>11975.1900015547</v>
      </c>
      <c r="M82" s="12">
        <v>9131.67556061838</v>
      </c>
      <c r="N82" s="12">
        <v>9344.68304168743</v>
      </c>
      <c r="O82" s="12">
        <v>7430.59146824575</v>
      </c>
      <c r="P82" s="12">
        <v>8020.24726001672</v>
      </c>
      <c r="Q82" s="12">
        <v>8020.24726001672</v>
      </c>
      <c r="R82" s="12">
        <v>7464.89129995605</v>
      </c>
      <c r="S82" s="12">
        <v>6188.22739982543</v>
      </c>
      <c r="T82" s="12">
        <v>7816.00399109202</v>
      </c>
      <c r="U82" s="12">
        <v>8985.0</v>
      </c>
      <c r="V82" s="12">
        <v>9603.43418065759</v>
      </c>
      <c r="W82" s="12">
        <v>7286.49686166413</v>
      </c>
      <c r="X82" s="12">
        <v>7216.03355007947</v>
      </c>
    </row>
    <row r="83">
      <c r="A83" s="8">
        <v>42644.0</v>
      </c>
      <c r="B83" s="9">
        <f>IFERROR(__xludf.DUMMYFUNCTION("""COMPUTED_VALUE"""),20292.0)</f>
        <v>20292</v>
      </c>
      <c r="C83" s="12" t="s">
        <v>61</v>
      </c>
      <c r="D83" s="12">
        <v>10794.6575718968</v>
      </c>
      <c r="E83" s="12">
        <v>11280.8214914868</v>
      </c>
      <c r="F83" s="12">
        <v>19009.7027960195</v>
      </c>
      <c r="G83" s="12">
        <v>9713.46079656236</v>
      </c>
      <c r="H83" s="12">
        <v>18663.4062071911</v>
      </c>
      <c r="I83" s="13">
        <v>15031.1196796377</v>
      </c>
      <c r="J83" s="13">
        <v>15732.5749868052</v>
      </c>
      <c r="K83" s="12">
        <v>10163.1009671939</v>
      </c>
      <c r="L83" s="12">
        <v>11542.88656522</v>
      </c>
      <c r="M83" s="12">
        <v>13134.1877701969</v>
      </c>
      <c r="N83" s="12">
        <v>8522.52189680442</v>
      </c>
      <c r="O83" s="12">
        <v>7156.67257612993</v>
      </c>
      <c r="P83" s="12">
        <v>17156.0427778815</v>
      </c>
      <c r="Q83" s="12">
        <v>17156.0427778815</v>
      </c>
      <c r="R83" s="12">
        <v>7748.44180734196</v>
      </c>
      <c r="S83" s="12">
        <v>5414.28728987984</v>
      </c>
      <c r="T83" s="12">
        <v>6954.05173386443</v>
      </c>
      <c r="U83" s="12">
        <v>6718.77031407215</v>
      </c>
      <c r="V83" s="12">
        <v>8544.21420609739</v>
      </c>
      <c r="W83" s="12">
        <v>7367.44423121665</v>
      </c>
      <c r="X83" s="12">
        <v>9205.06783550497</v>
      </c>
    </row>
    <row r="84">
      <c r="A84" s="8">
        <v>42675.0</v>
      </c>
      <c r="B84" s="9">
        <f>IFERROR(__xludf.DUMMYFUNCTION("""COMPUTED_VALUE"""),20056.0)</f>
        <v>20056</v>
      </c>
      <c r="C84" s="12" t="s">
        <v>62</v>
      </c>
      <c r="D84" s="12">
        <v>9887.272423792</v>
      </c>
      <c r="E84" s="12">
        <v>10504.9005740719</v>
      </c>
      <c r="F84" s="12">
        <v>20103.1628155447</v>
      </c>
      <c r="G84" s="12">
        <v>16574.1371892709</v>
      </c>
      <c r="H84" s="12">
        <v>23139.485543197</v>
      </c>
      <c r="I84" s="13">
        <v>14947.8481880887</v>
      </c>
      <c r="J84" s="13">
        <v>20011.5374005006</v>
      </c>
      <c r="K84" s="12">
        <v>9067.09738681494</v>
      </c>
      <c r="L84" s="12">
        <v>19705.3324581375</v>
      </c>
      <c r="M84" s="12">
        <v>23454.8827100976</v>
      </c>
      <c r="N84" s="12">
        <v>15021.2123947337</v>
      </c>
      <c r="O84" s="12">
        <v>20090.4198978913</v>
      </c>
      <c r="P84" s="12">
        <v>23271.1138916167</v>
      </c>
      <c r="Q84" s="12">
        <v>23271.1138916167</v>
      </c>
      <c r="R84" s="12">
        <v>19107.5442111297</v>
      </c>
      <c r="S84" s="12">
        <v>17655.3214126072</v>
      </c>
      <c r="T84" s="12">
        <v>19715.2474014539</v>
      </c>
      <c r="U84" s="12">
        <v>18153.8534265341</v>
      </c>
      <c r="V84" s="12">
        <v>15901.6758913878</v>
      </c>
      <c r="W84" s="12">
        <v>14376.3566086706</v>
      </c>
      <c r="X84" s="12">
        <v>12418.156364427</v>
      </c>
    </row>
    <row r="85">
      <c r="A85" s="8">
        <v>42705.0</v>
      </c>
      <c r="B85" s="9">
        <f>IFERROR(__xludf.DUMMYFUNCTION("""COMPUTED_VALUE"""),16542.0)</f>
        <v>16542</v>
      </c>
      <c r="C85" s="12" t="s">
        <v>63</v>
      </c>
      <c r="D85" s="12">
        <v>15842.2541420242</v>
      </c>
      <c r="E85" s="12">
        <v>16031.2867717956</v>
      </c>
      <c r="F85" s="12">
        <v>21563.8350603997</v>
      </c>
      <c r="G85" s="12">
        <v>15983.1801225917</v>
      </c>
      <c r="H85" s="12">
        <v>20460.1753785137</v>
      </c>
      <c r="I85" s="13">
        <v>14846.0812424051</v>
      </c>
      <c r="J85" s="13">
        <v>20490.8384973079</v>
      </c>
      <c r="K85" s="12">
        <v>12984.7223886289</v>
      </c>
      <c r="L85" s="12">
        <v>16585.0499465829</v>
      </c>
      <c r="M85" s="12">
        <v>21529.0731023047</v>
      </c>
      <c r="N85" s="12">
        <v>18480.9341737294</v>
      </c>
      <c r="O85" s="12">
        <v>31359.9677846286</v>
      </c>
      <c r="P85" s="12">
        <v>14051.2647840198</v>
      </c>
      <c r="Q85" s="12">
        <v>14051.2647840198</v>
      </c>
      <c r="R85" s="12">
        <v>25697.286573529</v>
      </c>
      <c r="S85" s="12">
        <v>24888.5731506459</v>
      </c>
      <c r="T85" s="12">
        <v>15410.976066062</v>
      </c>
      <c r="U85" s="12">
        <v>26913.1371906728</v>
      </c>
      <c r="V85" s="12">
        <v>15509.3801747797</v>
      </c>
      <c r="W85" s="12">
        <v>13236.9106260203</v>
      </c>
      <c r="X85" s="12">
        <v>138169.550759196</v>
      </c>
    </row>
    <row r="86">
      <c r="A86" s="8">
        <v>42736.0</v>
      </c>
      <c r="B86" s="9">
        <f>IFERROR(__xludf.DUMMYFUNCTION("""COMPUTED_VALUE"""),36697.0)</f>
        <v>36697</v>
      </c>
      <c r="C86" s="12" t="s">
        <v>43</v>
      </c>
      <c r="D86" s="12">
        <v>26870.8745129274</v>
      </c>
      <c r="E86" s="12">
        <v>22823.8922875287</v>
      </c>
      <c r="F86" s="12">
        <v>33750.6068823931</v>
      </c>
      <c r="G86" s="12">
        <v>33711.471655976</v>
      </c>
      <c r="H86" s="12">
        <v>36675.4199125236</v>
      </c>
      <c r="I86" s="13">
        <v>23052.7943916427</v>
      </c>
      <c r="J86" s="13">
        <v>35779.2542378426</v>
      </c>
      <c r="K86" s="12">
        <v>34985.6450785029</v>
      </c>
      <c r="L86" s="12">
        <v>28746.4306181996</v>
      </c>
      <c r="M86" s="12">
        <v>19052.5843521486</v>
      </c>
      <c r="N86" s="12">
        <v>20689.4446597004</v>
      </c>
      <c r="O86" s="12">
        <v>36696.8314691483</v>
      </c>
      <c r="P86" s="12">
        <v>30659.2243407815</v>
      </c>
      <c r="Q86" s="12">
        <v>30659.2243407815</v>
      </c>
      <c r="R86" s="12">
        <v>26796.832148281</v>
      </c>
      <c r="S86" s="12">
        <v>24669.3020406431</v>
      </c>
      <c r="T86" s="12">
        <v>29609.339123156</v>
      </c>
      <c r="U86" s="12">
        <v>26313.6760572678</v>
      </c>
      <c r="V86" s="12">
        <v>28750.3635578995</v>
      </c>
      <c r="W86" s="12">
        <v>43151.8830078311</v>
      </c>
      <c r="X86" s="12">
        <v>374263.005610033</v>
      </c>
    </row>
    <row r="87">
      <c r="A87" s="8">
        <v>42767.0</v>
      </c>
      <c r="B87" s="9">
        <f>IFERROR(__xludf.DUMMYFUNCTION("""COMPUTED_VALUE"""),28290.0)</f>
        <v>28290</v>
      </c>
      <c r="C87" s="12" t="s">
        <v>44</v>
      </c>
      <c r="D87" s="12">
        <v>27681.6638879842</v>
      </c>
      <c r="E87" s="12">
        <v>27923.5057564414</v>
      </c>
      <c r="F87" s="12">
        <v>27243.4798421188</v>
      </c>
      <c r="G87" s="12">
        <v>34393.4895635012</v>
      </c>
      <c r="H87" s="12">
        <v>24240.3778803177</v>
      </c>
      <c r="I87" s="13">
        <v>27289.2242510375</v>
      </c>
      <c r="J87" s="13">
        <v>28874.5929031351</v>
      </c>
      <c r="K87" s="12">
        <v>28534.3395020046</v>
      </c>
      <c r="L87" s="12">
        <v>31366.5323409173</v>
      </c>
      <c r="M87" s="12">
        <v>24672.2854130053</v>
      </c>
      <c r="N87" s="12">
        <v>24191.6637766411</v>
      </c>
      <c r="O87" s="12">
        <v>28598.6409032717</v>
      </c>
      <c r="P87" s="12">
        <v>17394.1857691922</v>
      </c>
      <c r="Q87" s="12">
        <v>17394.1855067847</v>
      </c>
      <c r="R87" s="12">
        <v>28652.2813140063</v>
      </c>
      <c r="S87" s="12">
        <v>27190.8900799398</v>
      </c>
      <c r="T87" s="12">
        <v>28708.721853912</v>
      </c>
      <c r="U87" s="12">
        <v>28456.0733046772</v>
      </c>
      <c r="V87" s="12">
        <v>54225.7622252654</v>
      </c>
      <c r="W87" s="12">
        <v>77825.4107770534</v>
      </c>
      <c r="X87" s="12">
        <v>772498.86548829</v>
      </c>
    </row>
    <row r="88">
      <c r="A88" s="8">
        <v>42795.0</v>
      </c>
      <c r="B88" s="9">
        <f>IFERROR(__xludf.DUMMYFUNCTION("""COMPUTED_VALUE"""),81695.0)</f>
        <v>81695</v>
      </c>
      <c r="C88" s="12" t="s">
        <v>45</v>
      </c>
      <c r="D88" s="12">
        <v>81106.6067188451</v>
      </c>
      <c r="E88" s="12">
        <v>78596.6692547871</v>
      </c>
      <c r="F88" s="12">
        <v>81765.3375283685</v>
      </c>
      <c r="G88" s="12">
        <v>69104.4346259543</v>
      </c>
      <c r="H88" s="12">
        <v>81773.138359221</v>
      </c>
      <c r="I88" s="13">
        <v>81310.7875536222</v>
      </c>
      <c r="J88" s="13">
        <v>81706.9933329401</v>
      </c>
      <c r="K88" s="12">
        <v>57664.7786282032</v>
      </c>
      <c r="L88" s="12">
        <v>72222.6854103556</v>
      </c>
      <c r="M88" s="12">
        <v>82601.8524085388</v>
      </c>
      <c r="N88" s="12">
        <v>90278.2692286107</v>
      </c>
      <c r="O88" s="12">
        <v>82132.6730921541</v>
      </c>
      <c r="P88" s="12">
        <v>83245.189656861</v>
      </c>
      <c r="Q88" s="12">
        <v>83245.1258796726</v>
      </c>
      <c r="R88" s="12">
        <v>81770.7353431966</v>
      </c>
      <c r="S88" s="12">
        <v>34103.5603778471</v>
      </c>
      <c r="T88" s="12">
        <v>71077.9511766129</v>
      </c>
      <c r="U88" s="12">
        <v>81851.6624777847</v>
      </c>
      <c r="V88" s="12">
        <v>160435.570754975</v>
      </c>
      <c r="W88" s="12">
        <v>152149.832648549</v>
      </c>
      <c r="X88" s="12">
        <v>366701.528457335</v>
      </c>
    </row>
    <row r="89">
      <c r="A89" s="8">
        <v>42826.0</v>
      </c>
      <c r="B89" s="9">
        <f>IFERROR(__xludf.DUMMYFUNCTION("""COMPUTED_VALUE"""),57367.0)</f>
        <v>57367</v>
      </c>
      <c r="C89" s="12" t="s">
        <v>46</v>
      </c>
      <c r="D89" s="12">
        <v>57632.3623018561</v>
      </c>
      <c r="E89" s="12">
        <v>50073.7461735044</v>
      </c>
      <c r="F89" s="12">
        <v>57372.3872506693</v>
      </c>
      <c r="G89" s="12">
        <v>52897.8924237452</v>
      </c>
      <c r="H89" s="12">
        <v>57808.9233413022</v>
      </c>
      <c r="I89" s="13">
        <v>56902.3847366541</v>
      </c>
      <c r="J89" s="13">
        <v>58922.5338464589</v>
      </c>
      <c r="K89" s="12">
        <v>49234.1838623122</v>
      </c>
      <c r="L89" s="12">
        <v>44996.8639076693</v>
      </c>
      <c r="M89" s="12">
        <v>51654.3277306438</v>
      </c>
      <c r="N89" s="12">
        <v>60793.1148033782</v>
      </c>
      <c r="O89" s="12">
        <v>56977.9800982489</v>
      </c>
      <c r="P89" s="12">
        <v>59255.4809595951</v>
      </c>
      <c r="Q89" s="12">
        <v>59255.475404389</v>
      </c>
      <c r="R89" s="12">
        <v>57540.5042321204</v>
      </c>
      <c r="S89" s="12">
        <v>46985.8997732428</v>
      </c>
      <c r="T89" s="12">
        <v>45129.6045547004</v>
      </c>
      <c r="U89" s="12">
        <v>59934.2675296052</v>
      </c>
      <c r="V89" s="12">
        <v>78160.4576453753</v>
      </c>
      <c r="W89" s="12">
        <v>75549.8197329653</v>
      </c>
      <c r="X89" s="12">
        <v>125569.865300006</v>
      </c>
    </row>
    <row r="90">
      <c r="A90" s="8">
        <v>42856.0</v>
      </c>
      <c r="B90" s="9">
        <f>IFERROR(__xludf.DUMMYFUNCTION("""COMPUTED_VALUE"""),18816.0)</f>
        <v>18816</v>
      </c>
      <c r="C90" s="12" t="s">
        <v>47</v>
      </c>
      <c r="D90" s="12">
        <v>22530.5813770066</v>
      </c>
      <c r="E90" s="12">
        <v>19665.7579001208</v>
      </c>
      <c r="F90" s="12">
        <v>20362.2670652073</v>
      </c>
      <c r="G90" s="12">
        <v>22164.2136961789</v>
      </c>
      <c r="H90" s="12">
        <v>22572.5879354803</v>
      </c>
      <c r="I90" s="13">
        <v>18809.2784692134</v>
      </c>
      <c r="J90" s="13">
        <v>20937.9363857647</v>
      </c>
      <c r="K90" s="12">
        <v>19739.6454564206</v>
      </c>
      <c r="L90" s="12">
        <v>23965.5873360993</v>
      </c>
      <c r="M90" s="12">
        <v>41321.7011364292</v>
      </c>
      <c r="N90" s="12">
        <v>42316.0426939461</v>
      </c>
      <c r="O90" s="12">
        <v>17599.9729044214</v>
      </c>
      <c r="P90" s="12">
        <v>23179.38049645</v>
      </c>
      <c r="Q90" s="12">
        <v>23179.3802579769</v>
      </c>
      <c r="R90" s="12">
        <v>23718.8683160259</v>
      </c>
      <c r="S90" s="12">
        <v>18744.1719030861</v>
      </c>
      <c r="T90" s="12">
        <v>-20739.8494639062</v>
      </c>
      <c r="U90" s="12">
        <v>18843.910877673</v>
      </c>
      <c r="V90" s="12">
        <v>16180.9415761911</v>
      </c>
      <c r="W90" s="12">
        <v>20766.0374978862</v>
      </c>
      <c r="X90" s="12">
        <v>16253.2826210634</v>
      </c>
    </row>
    <row r="91">
      <c r="A91" s="8">
        <v>42887.0</v>
      </c>
      <c r="B91" s="9">
        <f>IFERROR(__xludf.DUMMYFUNCTION("""COMPUTED_VALUE"""),29889.0)</f>
        <v>29889</v>
      </c>
      <c r="C91" s="12" t="s">
        <v>48</v>
      </c>
      <c r="D91" s="12">
        <v>29898.5499310303</v>
      </c>
      <c r="E91" s="12">
        <v>26586.0524392412</v>
      </c>
      <c r="F91" s="12">
        <v>31151.3835542555</v>
      </c>
      <c r="G91" s="12">
        <v>28822.5905201389</v>
      </c>
      <c r="H91" s="12">
        <v>29460.9034662771</v>
      </c>
      <c r="I91" s="13">
        <v>29685.3593612521</v>
      </c>
      <c r="J91" s="13">
        <v>28324.2275927191</v>
      </c>
      <c r="K91" s="12">
        <v>13580.7246813545</v>
      </c>
      <c r="L91" s="12">
        <v>20857.0835683104</v>
      </c>
      <c r="M91" s="12">
        <v>28333.091403645</v>
      </c>
      <c r="N91" s="12">
        <v>26890.7351756611</v>
      </c>
      <c r="O91" s="12">
        <v>25281.6027861511</v>
      </c>
      <c r="P91" s="12">
        <v>27058.7429024938</v>
      </c>
      <c r="Q91" s="12">
        <v>27058.7412660436</v>
      </c>
      <c r="R91" s="12">
        <v>30211.0973966114</v>
      </c>
      <c r="S91" s="12">
        <v>63634.1527126694</v>
      </c>
      <c r="T91" s="12">
        <v>34422.7022262034</v>
      </c>
      <c r="U91" s="12">
        <v>31264.0531082139</v>
      </c>
      <c r="V91" s="12">
        <v>34989.7254087237</v>
      </c>
      <c r="W91" s="12">
        <v>29359.1558333371</v>
      </c>
      <c r="X91" s="12">
        <v>30454.3285256432</v>
      </c>
    </row>
    <row r="92">
      <c r="A92" s="8">
        <v>42917.0</v>
      </c>
      <c r="B92" s="9">
        <f>IFERROR(__xludf.DUMMYFUNCTION("""COMPUTED_VALUE"""),39219.0)</f>
        <v>39219</v>
      </c>
      <c r="C92" s="12" t="s">
        <v>49</v>
      </c>
      <c r="D92" s="12">
        <v>39963.7089390425</v>
      </c>
      <c r="E92" s="12">
        <v>43403.7279719217</v>
      </c>
      <c r="F92" s="12">
        <v>38319.5446357032</v>
      </c>
      <c r="G92" s="12">
        <v>42257.6167707554</v>
      </c>
      <c r="H92" s="12">
        <v>41330.5055027187</v>
      </c>
      <c r="I92" s="13">
        <v>40925.6176063398</v>
      </c>
      <c r="J92" s="13">
        <v>41911.4950308455</v>
      </c>
      <c r="K92" s="12">
        <v>41261.5549611044</v>
      </c>
      <c r="L92" s="12">
        <v>39008.1948480753</v>
      </c>
      <c r="M92" s="12">
        <v>13538.5561445517</v>
      </c>
      <c r="N92" s="12">
        <v>16935.7169960197</v>
      </c>
      <c r="O92" s="12">
        <v>20008.6706950165</v>
      </c>
      <c r="P92" s="12">
        <v>10212.8323428171</v>
      </c>
      <c r="Q92" s="12">
        <v>10212.8298962677</v>
      </c>
      <c r="R92" s="12">
        <v>21159.6455555541</v>
      </c>
      <c r="S92" s="12">
        <v>53400.4222351948</v>
      </c>
      <c r="T92" s="12">
        <v>23578.6653009885</v>
      </c>
      <c r="U92" s="12">
        <v>21082.8482929871</v>
      </c>
      <c r="V92" s="12">
        <v>17081.5448040069</v>
      </c>
      <c r="W92" s="12">
        <v>19874.6014023981</v>
      </c>
      <c r="X92" s="12">
        <v>275502.595413962</v>
      </c>
    </row>
    <row r="93">
      <c r="A93" s="8">
        <v>42948.0</v>
      </c>
      <c r="B93" s="9">
        <f>IFERROR(__xludf.DUMMYFUNCTION("""COMPUTED_VALUE"""),25768.0)</f>
        <v>25768</v>
      </c>
      <c r="C93" s="12" t="s">
        <v>50</v>
      </c>
      <c r="D93" s="12">
        <v>25385.53051676</v>
      </c>
      <c r="E93" s="12">
        <v>20892.9582551555</v>
      </c>
      <c r="F93" s="12">
        <v>26587.2416815113</v>
      </c>
      <c r="G93" s="12">
        <v>25705.784840944</v>
      </c>
      <c r="H93" s="12">
        <v>24105.5444318828</v>
      </c>
      <c r="I93" s="13">
        <v>15844.1541074007</v>
      </c>
      <c r="J93" s="13">
        <v>25733.7091861137</v>
      </c>
      <c r="K93" s="12">
        <v>22659.7166308241</v>
      </c>
      <c r="L93" s="12">
        <v>19862.8311046132</v>
      </c>
      <c r="M93" s="12">
        <v>14614.3108071741</v>
      </c>
      <c r="N93" s="12">
        <v>11132.2457508505</v>
      </c>
      <c r="O93" s="12">
        <v>12023.3614075113</v>
      </c>
      <c r="P93" s="12">
        <v>20906.4879073574</v>
      </c>
      <c r="Q93" s="12">
        <v>20906.4747962537</v>
      </c>
      <c r="R93" s="12">
        <v>9449.82747990497</v>
      </c>
      <c r="S93" s="12">
        <v>17820.1364086794</v>
      </c>
      <c r="T93" s="12">
        <v>11917.5504502799</v>
      </c>
      <c r="U93" s="12">
        <v>11309.1403663476</v>
      </c>
      <c r="V93" s="12">
        <v>12793.4031756088</v>
      </c>
      <c r="W93" s="12">
        <v>-28602.6680130624</v>
      </c>
      <c r="X93" s="12">
        <v>56950.1391459272</v>
      </c>
    </row>
    <row r="94">
      <c r="A94" s="14">
        <v>42979.0</v>
      </c>
      <c r="B94" s="9">
        <f>IFERROR(__xludf.DUMMYFUNCTION("""COMPUTED_VALUE"""),21554.0)</f>
        <v>21554</v>
      </c>
      <c r="C94" s="12" t="s">
        <v>51</v>
      </c>
      <c r="D94" s="12">
        <v>21711.3542874244</v>
      </c>
      <c r="E94" s="12">
        <v>14167.5043993505</v>
      </c>
      <c r="F94" s="12">
        <v>19992.91007664</v>
      </c>
      <c r="G94" s="12">
        <v>20533.5298226531</v>
      </c>
      <c r="H94" s="12">
        <v>20501.0314974201</v>
      </c>
      <c r="I94" s="13">
        <v>23563.56230171</v>
      </c>
      <c r="J94" s="13">
        <v>21850.5482424974</v>
      </c>
      <c r="K94" s="12">
        <v>18720.5327699612</v>
      </c>
      <c r="L94" s="12">
        <v>25319.954183508</v>
      </c>
      <c r="M94" s="12">
        <v>90290.0885646713</v>
      </c>
      <c r="N94" s="12">
        <v>52061.4791642173</v>
      </c>
      <c r="O94" s="12">
        <v>54864.8111987205</v>
      </c>
      <c r="P94" s="12">
        <v>35050.5750900722</v>
      </c>
      <c r="Q94" s="12">
        <v>35050.5750900722</v>
      </c>
      <c r="R94" s="12">
        <v>62031.3096648232</v>
      </c>
      <c r="S94" s="12">
        <v>40909.1853804465</v>
      </c>
      <c r="T94" s="12">
        <v>61155.6034899634</v>
      </c>
      <c r="U94" s="12">
        <v>62330.2921208849</v>
      </c>
      <c r="V94" s="12">
        <v>40206.9718105324</v>
      </c>
      <c r="W94" s="12">
        <v>58859.0104741126</v>
      </c>
      <c r="X94" s="12">
        <v>400552.818692864</v>
      </c>
    </row>
    <row r="95">
      <c r="A95" s="14">
        <v>43009.0</v>
      </c>
      <c r="B95" s="9">
        <f>IFERROR(__xludf.DUMMYFUNCTION("""COMPUTED_VALUE"""),18461.0)</f>
        <v>18461</v>
      </c>
      <c r="C95" s="12" t="s">
        <v>52</v>
      </c>
      <c r="D95" s="12">
        <v>19533.2545170347</v>
      </c>
      <c r="E95" s="12">
        <v>40053.4933439385</v>
      </c>
      <c r="F95" s="12">
        <v>22795.7356790184</v>
      </c>
      <c r="G95" s="12">
        <v>22479.5438436538</v>
      </c>
      <c r="H95" s="12">
        <v>14148.7622477238</v>
      </c>
      <c r="I95" s="13">
        <v>17023.2771518032</v>
      </c>
      <c r="J95" s="13">
        <v>31580.3753008493</v>
      </c>
      <c r="K95" s="12">
        <v>17655.2041233004</v>
      </c>
      <c r="L95" s="12">
        <v>24611.6012758401</v>
      </c>
      <c r="M95" s="12">
        <v>150456.907031486</v>
      </c>
      <c r="N95" s="12">
        <v>36273.0932731942</v>
      </c>
      <c r="O95" s="12">
        <v>39599.1492853855</v>
      </c>
      <c r="P95" s="12">
        <v>64601.7830074217</v>
      </c>
      <c r="Q95" s="12">
        <v>64601.7830074217</v>
      </c>
      <c r="R95" s="12">
        <v>40979.0363219091</v>
      </c>
      <c r="S95" s="12">
        <v>45256.9839687891</v>
      </c>
      <c r="T95" s="12">
        <v>-28771.8202440011</v>
      </c>
      <c r="U95" s="12">
        <v>42060.7130733721</v>
      </c>
      <c r="V95" s="12">
        <v>31959.2321273387</v>
      </c>
      <c r="W95" s="12">
        <v>36969.6210762978</v>
      </c>
      <c r="X95" s="12">
        <v>156471.662859338</v>
      </c>
    </row>
    <row r="96">
      <c r="A96" s="14">
        <v>43040.0</v>
      </c>
      <c r="B96" s="9">
        <f>IFERROR(__xludf.DUMMYFUNCTION("""COMPUTED_VALUE"""),24302.0)</f>
        <v>24302</v>
      </c>
      <c r="C96" s="12" t="s">
        <v>53</v>
      </c>
      <c r="D96" s="12">
        <v>15392.6338096226</v>
      </c>
      <c r="E96" s="12">
        <v>22494.3194328647</v>
      </c>
      <c r="F96" s="12">
        <v>24104.9563959791</v>
      </c>
      <c r="G96" s="12">
        <v>28992.8643253341</v>
      </c>
      <c r="H96" s="12">
        <v>19781.6646893899</v>
      </c>
      <c r="I96" s="13">
        <v>28358.0058534545</v>
      </c>
      <c r="J96" s="13">
        <v>23007.9493246775</v>
      </c>
      <c r="K96" s="12">
        <v>20124.1987884102</v>
      </c>
      <c r="L96" s="12">
        <v>25648.5102204494</v>
      </c>
      <c r="M96" s="12">
        <v>285799.326210729</v>
      </c>
      <c r="N96" s="12">
        <v>38661.5979703774</v>
      </c>
      <c r="O96" s="12">
        <v>49782.0143677232</v>
      </c>
      <c r="P96" s="12">
        <v>91242.4023558457</v>
      </c>
      <c r="Q96" s="12">
        <v>91242.4006448396</v>
      </c>
      <c r="R96" s="12">
        <v>44004.8635809898</v>
      </c>
      <c r="S96" s="12">
        <v>69990.3598730553</v>
      </c>
      <c r="T96" s="12">
        <v>45341.886202006</v>
      </c>
      <c r="U96" s="12">
        <v>44793.4444954043</v>
      </c>
      <c r="V96" s="12">
        <v>35829.0419797007</v>
      </c>
      <c r="W96" s="12">
        <v>40101.6877660307</v>
      </c>
      <c r="X96" s="12">
        <v>42460.8663745519</v>
      </c>
    </row>
    <row r="97">
      <c r="A97" s="14">
        <v>43070.0</v>
      </c>
      <c r="B97" s="9">
        <f>IFERROR(__xludf.DUMMYFUNCTION("""COMPUTED_VALUE"""),44009.0)</f>
        <v>44009</v>
      </c>
      <c r="C97" s="12" t="s">
        <v>54</v>
      </c>
      <c r="D97" s="12">
        <v>17311.0193634931</v>
      </c>
      <c r="E97" s="12">
        <v>16270.8870328696</v>
      </c>
      <c r="F97" s="12">
        <v>20941.1375052411</v>
      </c>
      <c r="G97" s="12">
        <v>124340.728332701</v>
      </c>
      <c r="H97" s="12">
        <v>16717.0751791077</v>
      </c>
      <c r="I97" s="12">
        <v>25103.5686810629</v>
      </c>
      <c r="J97" s="12">
        <v>26116.0941182484</v>
      </c>
      <c r="K97" s="12">
        <v>105952.188810358</v>
      </c>
      <c r="L97" s="12">
        <v>29454.9073839203</v>
      </c>
      <c r="M97" s="12">
        <v>199122.285748221</v>
      </c>
      <c r="N97" s="12">
        <v>25905.0201953556</v>
      </c>
      <c r="O97" s="12">
        <v>31665.0130178029</v>
      </c>
      <c r="P97" s="12">
        <v>72935.7754511709</v>
      </c>
      <c r="Q97" s="12">
        <v>72935.7667214147</v>
      </c>
      <c r="R97" s="12">
        <v>30343.3319929506</v>
      </c>
      <c r="S97" s="12">
        <v>30967.9566433891</v>
      </c>
      <c r="T97" s="12">
        <v>34050.2761356682</v>
      </c>
      <c r="U97" s="12">
        <v>33962.5296461281</v>
      </c>
      <c r="V97" s="12">
        <v>37854.6125299214</v>
      </c>
      <c r="W97" s="12">
        <v>41476.6265478959</v>
      </c>
      <c r="X97" s="12">
        <v>116565.176936045</v>
      </c>
    </row>
    <row r="98">
      <c r="A98" s="19">
        <v>43101.0</v>
      </c>
      <c r="B98" s="9">
        <f>IFERROR(__xludf.DUMMYFUNCTION("""COMPUTED_VALUE"""),44926.0)</f>
        <v>44926</v>
      </c>
      <c r="C98" s="12" t="s">
        <v>55</v>
      </c>
      <c r="D98" s="12">
        <v>14218.2740123427</v>
      </c>
      <c r="E98" s="12">
        <v>24482.1758203587</v>
      </c>
      <c r="F98" s="12">
        <v>17872.0021182866</v>
      </c>
      <c r="G98" s="12">
        <v>33159.6457507492</v>
      </c>
      <c r="H98" s="12">
        <v>16552.3938305104</v>
      </c>
      <c r="I98" s="12">
        <v>23745.4041794725</v>
      </c>
      <c r="J98" s="12">
        <v>22150.8507286341</v>
      </c>
      <c r="K98" s="12">
        <v>31494.2564619592</v>
      </c>
      <c r="L98" s="12">
        <v>27466.5033216611</v>
      </c>
      <c r="M98" s="12">
        <v>84322.8114465731</v>
      </c>
      <c r="N98" s="12">
        <v>32053.2792523989</v>
      </c>
      <c r="O98" s="12">
        <v>47733.4759435454</v>
      </c>
      <c r="P98" s="12">
        <v>40199.5007407948</v>
      </c>
      <c r="Q98" s="12">
        <v>40199.4944859392</v>
      </c>
      <c r="R98" s="12">
        <v>48331.0879402146</v>
      </c>
      <c r="S98" s="12">
        <v>49720.5076077264</v>
      </c>
      <c r="T98" s="12">
        <v>13588.4106893775</v>
      </c>
      <c r="U98" s="12">
        <v>48817.7615510434</v>
      </c>
      <c r="V98" s="12">
        <v>32962.9666067224</v>
      </c>
      <c r="W98" s="12">
        <v>445688.659307069</v>
      </c>
      <c r="X98" s="12">
        <v>40585.947821717</v>
      </c>
    </row>
    <row r="99">
      <c r="A99" s="19">
        <v>43132.0</v>
      </c>
      <c r="B99" s="9">
        <f>IFERROR(__xludf.DUMMYFUNCTION("""COMPUTED_VALUE"""),36822.0)</f>
        <v>36822</v>
      </c>
      <c r="C99" s="12" t="s">
        <v>56</v>
      </c>
      <c r="D99" s="12">
        <v>18188.3392348669</v>
      </c>
      <c r="E99" s="12">
        <v>15107.6203431646</v>
      </c>
      <c r="F99" s="12">
        <v>19535.7094549555</v>
      </c>
      <c r="G99" s="12">
        <v>22576.9008406116</v>
      </c>
      <c r="H99" s="12">
        <v>16901.0070808293</v>
      </c>
      <c r="I99" s="12">
        <v>30196.2965689707</v>
      </c>
      <c r="J99" s="12">
        <v>23495.0259939547</v>
      </c>
      <c r="K99" s="12">
        <v>18721.1212159016</v>
      </c>
      <c r="L99" s="12">
        <v>28057.8201193044</v>
      </c>
      <c r="M99" s="12">
        <v>42861.4320731898</v>
      </c>
      <c r="N99" s="12">
        <v>46825.1864531093</v>
      </c>
      <c r="O99" s="12">
        <v>55127.2788391543</v>
      </c>
      <c r="P99" s="12">
        <v>27366.7639117043</v>
      </c>
      <c r="Q99" s="12">
        <v>27366.7626929941</v>
      </c>
      <c r="R99" s="12">
        <v>55522.439505192</v>
      </c>
      <c r="S99" s="12">
        <v>62252.7913798712</v>
      </c>
      <c r="T99" s="12">
        <v>52620.9723984392</v>
      </c>
      <c r="U99" s="12">
        <v>56375.3447726775</v>
      </c>
      <c r="V99" s="12">
        <v>51778.6884703141</v>
      </c>
      <c r="W99" s="12">
        <v>37331.2689201299</v>
      </c>
      <c r="X99" s="12">
        <v>288059.827690275</v>
      </c>
    </row>
    <row r="100">
      <c r="A100" s="15">
        <v>43160.0</v>
      </c>
      <c r="B100" s="9">
        <f>IFERROR(__xludf.DUMMYFUNCTION("""COMPUTED_VALUE"""),115474.0)</f>
        <v>115474</v>
      </c>
      <c r="C100" s="12" t="s">
        <v>57</v>
      </c>
      <c r="D100" s="12">
        <v>19183.1714827892</v>
      </c>
      <c r="E100" s="12">
        <v>15237.4988486594</v>
      </c>
      <c r="F100" s="12">
        <v>20993.9359527674</v>
      </c>
      <c r="G100" s="12">
        <v>20701.8452223381</v>
      </c>
      <c r="H100" s="12">
        <v>18177.3126115452</v>
      </c>
      <c r="I100" s="12">
        <v>38585.0727625078</v>
      </c>
      <c r="J100" s="12">
        <v>29783.6281719625</v>
      </c>
      <c r="K100" s="12">
        <v>19378.4764991252</v>
      </c>
      <c r="L100" s="12">
        <v>26334.945774924</v>
      </c>
      <c r="M100" s="12">
        <v>52463.7983998425</v>
      </c>
      <c r="N100" s="12">
        <v>48959.6848670275</v>
      </c>
      <c r="O100" s="12">
        <v>48794.8399430185</v>
      </c>
      <c r="P100" s="12">
        <v>41685.2840517568</v>
      </c>
      <c r="Q100" s="12">
        <v>41685.2840414925</v>
      </c>
      <c r="R100" s="12">
        <v>46540.7407395356</v>
      </c>
      <c r="S100" s="12">
        <v>50011.1939375347</v>
      </c>
      <c r="T100" s="12">
        <v>32529.7215052216</v>
      </c>
      <c r="U100" s="12">
        <v>47939.6918261106</v>
      </c>
      <c r="V100" s="12">
        <v>39168.3155446136</v>
      </c>
      <c r="W100" s="12">
        <v>38664.4887702587</v>
      </c>
      <c r="X100" s="12">
        <v>3465560.55520121</v>
      </c>
    </row>
    <row r="101">
      <c r="A101" s="15">
        <v>43191.0</v>
      </c>
      <c r="B101" s="9">
        <f>IFERROR(__xludf.DUMMYFUNCTION("""COMPUTED_VALUE"""),47045.0)</f>
        <v>47045</v>
      </c>
      <c r="C101" s="12" t="s">
        <v>58</v>
      </c>
      <c r="D101" s="12">
        <v>77076.6511566035</v>
      </c>
      <c r="E101" s="12">
        <v>15588.2784171488</v>
      </c>
      <c r="F101" s="12">
        <v>69899.5603195932</v>
      </c>
      <c r="G101" s="12">
        <v>20744.8503443447</v>
      </c>
      <c r="H101" s="12">
        <v>35829.1196768424</v>
      </c>
      <c r="I101" s="12">
        <v>54220.0026710019</v>
      </c>
      <c r="J101" s="12">
        <v>17656.2040272367</v>
      </c>
      <c r="K101" s="12">
        <v>12253.8291418037</v>
      </c>
      <c r="L101" s="12">
        <v>23848.1348759676</v>
      </c>
      <c r="M101" s="12">
        <v>124583.504421402</v>
      </c>
      <c r="N101" s="12">
        <v>115040.024929398</v>
      </c>
      <c r="O101" s="12">
        <v>82191.9365955374</v>
      </c>
      <c r="P101" s="12">
        <v>56075.6247039302</v>
      </c>
      <c r="Q101" s="12">
        <v>56075.6239087763</v>
      </c>
      <c r="R101" s="12">
        <v>125546.248750375</v>
      </c>
      <c r="S101" s="12">
        <v>155701.181715668</v>
      </c>
      <c r="T101" s="12">
        <v>139575.709480718</v>
      </c>
      <c r="U101" s="12">
        <v>148924.716268191</v>
      </c>
      <c r="V101" s="12">
        <v>104467.684913885</v>
      </c>
      <c r="W101" s="12">
        <v>152113.066262798</v>
      </c>
      <c r="X101" s="12">
        <v>1200315.66402893</v>
      </c>
    </row>
    <row r="102">
      <c r="A102" s="15">
        <v>43221.0</v>
      </c>
      <c r="B102" s="9">
        <f>IFERROR(__xludf.DUMMYFUNCTION("""COMPUTED_VALUE"""),28819.0)</f>
        <v>28819</v>
      </c>
      <c r="C102" s="12" t="s">
        <v>59</v>
      </c>
      <c r="D102" s="12">
        <v>198339.296129293</v>
      </c>
      <c r="E102" s="12">
        <v>601791.336942108</v>
      </c>
      <c r="F102" s="12">
        <v>94947.8525381332</v>
      </c>
      <c r="G102" s="12">
        <v>695920.793040475</v>
      </c>
      <c r="H102" s="12">
        <v>199020.737793844</v>
      </c>
      <c r="I102" s="12">
        <v>150022.23079628</v>
      </c>
      <c r="J102" s="12">
        <v>187416.638449862</v>
      </c>
      <c r="K102" s="12">
        <v>579704.116919117</v>
      </c>
      <c r="L102" s="12">
        <v>562748.471425146</v>
      </c>
      <c r="M102" s="12">
        <v>273668.07719373</v>
      </c>
      <c r="N102" s="12">
        <v>259015.414463051</v>
      </c>
      <c r="O102" s="12">
        <v>408876.696624062</v>
      </c>
      <c r="P102" s="12">
        <v>76088.1271896731</v>
      </c>
      <c r="Q102" s="12">
        <v>76088.0621446926</v>
      </c>
      <c r="R102" s="12">
        <v>424092.516102402</v>
      </c>
      <c r="S102" s="12">
        <v>136196.474638226</v>
      </c>
      <c r="T102" s="12">
        <v>102735.109034962</v>
      </c>
      <c r="U102" s="12">
        <v>444581.958416107</v>
      </c>
      <c r="V102" s="12">
        <v>153218.036197707</v>
      </c>
      <c r="W102" s="12">
        <v>253443.907741325</v>
      </c>
      <c r="X102" s="12">
        <v>1527573.73300364</v>
      </c>
    </row>
    <row r="103">
      <c r="A103" s="15">
        <v>43252.0</v>
      </c>
      <c r="B103" s="22">
        <f>IFERROR(__xludf.DUMMYFUNCTION("""COMPUTED_VALUE"""),19062.0)</f>
        <v>19062</v>
      </c>
      <c r="C103" s="23" t="s">
        <v>60</v>
      </c>
      <c r="D103" s="23">
        <v>50810.9387168626</v>
      </c>
      <c r="E103" s="23">
        <v>58629.4270369108</v>
      </c>
      <c r="F103" s="23">
        <v>28602.8479869572</v>
      </c>
      <c r="G103" s="23">
        <v>1067218.60732853</v>
      </c>
      <c r="H103" s="23">
        <v>40793.8848440833</v>
      </c>
      <c r="I103" s="23">
        <v>36826.7052922414</v>
      </c>
      <c r="J103" s="23">
        <v>23475.5992191522</v>
      </c>
      <c r="K103" s="23">
        <v>59902.265856702</v>
      </c>
      <c r="L103" s="23">
        <v>40761.9503201498</v>
      </c>
      <c r="M103" s="23">
        <v>99566.3524984411</v>
      </c>
      <c r="N103" s="23">
        <v>31196.143817402</v>
      </c>
      <c r="O103" s="23">
        <v>903711.532227225</v>
      </c>
      <c r="P103" s="23">
        <v>494786.087555536</v>
      </c>
      <c r="Q103" s="23">
        <v>494784.87734155</v>
      </c>
      <c r="R103" s="23">
        <v>535793.520987978</v>
      </c>
      <c r="S103" s="23">
        <v>66355.9700867177</v>
      </c>
      <c r="T103" s="23">
        <v>229920.93473423</v>
      </c>
      <c r="U103" s="23">
        <v>772356.391853436</v>
      </c>
      <c r="V103" s="23">
        <v>87228.8346271287</v>
      </c>
      <c r="W103" s="23">
        <v>40028.8216797103</v>
      </c>
      <c r="X103" s="23">
        <v>509810.284548589</v>
      </c>
    </row>
    <row r="104">
      <c r="A104" s="15">
        <v>43282.0</v>
      </c>
      <c r="B104" s="22">
        <f>IFERROR(__xludf.DUMMYFUNCTION("""COMPUTED_VALUE"""),14791.0)</f>
        <v>14791</v>
      </c>
      <c r="C104" s="23" t="s">
        <v>61</v>
      </c>
      <c r="D104" s="23">
        <v>23184.5086106489</v>
      </c>
      <c r="E104" s="23">
        <v>49608.0846887503</v>
      </c>
      <c r="F104" s="23">
        <v>19899.8194735128</v>
      </c>
      <c r="G104" s="23">
        <v>213245.652046826</v>
      </c>
      <c r="H104" s="23">
        <v>21105.1937281434</v>
      </c>
      <c r="I104" s="23">
        <v>30178.3096177762</v>
      </c>
      <c r="J104" s="23">
        <v>28741.8858648955</v>
      </c>
      <c r="K104" s="23">
        <v>80634.9227124179</v>
      </c>
      <c r="L104" s="23">
        <v>56119.9184344551</v>
      </c>
      <c r="M104" s="23">
        <v>121549.511316277</v>
      </c>
      <c r="N104" s="23">
        <v>37602.7622460693</v>
      </c>
      <c r="O104" s="23">
        <v>1436831.02345465</v>
      </c>
      <c r="P104" s="23">
        <v>456561.226985946</v>
      </c>
      <c r="Q104" s="23">
        <v>456560.019163922</v>
      </c>
      <c r="R104" s="23">
        <v>1225563.9111043</v>
      </c>
      <c r="S104" s="23">
        <v>58576.7214779899</v>
      </c>
      <c r="T104" s="23">
        <v>438877.188626908</v>
      </c>
      <c r="U104" s="23">
        <v>1239992.2362881</v>
      </c>
      <c r="V104" s="23">
        <v>123687.736216928</v>
      </c>
      <c r="W104" s="23">
        <v>49855.5657728419</v>
      </c>
      <c r="X104" s="23">
        <v>705737.97900624</v>
      </c>
    </row>
    <row r="105">
      <c r="A105" s="17">
        <v>43313.0</v>
      </c>
      <c r="B105" s="22"/>
      <c r="C105" s="23" t="s">
        <v>62</v>
      </c>
      <c r="D105" s="23">
        <v>282489.731200197</v>
      </c>
      <c r="E105" s="23">
        <v>38837.4029549346</v>
      </c>
      <c r="F105" s="23">
        <v>29269.3404969795</v>
      </c>
      <c r="G105" s="23">
        <v>141720.376674453</v>
      </c>
      <c r="H105" s="23">
        <v>34969.7741807955</v>
      </c>
      <c r="I105" s="23">
        <v>58613.5750622148</v>
      </c>
      <c r="J105" s="23">
        <v>60240.7525630166</v>
      </c>
      <c r="K105" s="23">
        <v>54884.1897578162</v>
      </c>
      <c r="L105" s="23">
        <v>50727.1629310428</v>
      </c>
      <c r="M105" s="23">
        <v>103397.065401128</v>
      </c>
      <c r="N105" s="23">
        <v>32654.0825442486</v>
      </c>
      <c r="O105" s="23">
        <v>443587.08168458</v>
      </c>
      <c r="P105" s="23">
        <v>354477.70748739</v>
      </c>
      <c r="Q105" s="23">
        <v>354476.872987084</v>
      </c>
      <c r="R105" s="23">
        <v>317809.801144423</v>
      </c>
      <c r="S105" s="23">
        <v>784301.706568953</v>
      </c>
      <c r="T105" s="23">
        <v>442295.649581713</v>
      </c>
      <c r="U105" s="23">
        <v>395582.264871853</v>
      </c>
      <c r="V105" s="23">
        <v>65953.8278419788</v>
      </c>
      <c r="W105" s="23">
        <v>42867.1498360804</v>
      </c>
      <c r="X105" s="23">
        <v>642699.436473101</v>
      </c>
    </row>
    <row r="106">
      <c r="A106" s="15">
        <v>43344.0</v>
      </c>
      <c r="B106" s="22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</row>
    <row r="107">
      <c r="A107" s="15">
        <v>43374.0</v>
      </c>
      <c r="B107" s="22"/>
      <c r="C107" s="25"/>
      <c r="D107" s="24"/>
      <c r="E107" s="25"/>
      <c r="F107" s="24"/>
      <c r="G107" s="24"/>
      <c r="H107" s="25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</row>
    <row r="108">
      <c r="A108" s="15">
        <v>43405.0</v>
      </c>
      <c r="B108" s="22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</row>
    <row r="109">
      <c r="B109" s="22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</row>
    <row r="110">
      <c r="B110" s="22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</row>
    <row r="111">
      <c r="B111" s="22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</row>
    <row r="112">
      <c r="B112" s="22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</row>
    <row r="113">
      <c r="B113" s="22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</row>
    <row r="114">
      <c r="B114" s="22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</row>
    <row r="115">
      <c r="B115" s="22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</row>
    <row r="116">
      <c r="B116" s="22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</row>
    <row r="117">
      <c r="B117" s="22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</row>
    <row r="118">
      <c r="B118" s="22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</row>
    <row r="119">
      <c r="B119" s="22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</row>
    <row r="120">
      <c r="B120" s="22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</row>
    <row r="121">
      <c r="B121" s="22"/>
    </row>
    <row r="122">
      <c r="B122" s="22"/>
    </row>
    <row r="123">
      <c r="B123" s="22"/>
    </row>
    <row r="124">
      <c r="B124" s="22"/>
    </row>
    <row r="125">
      <c r="B125" s="22"/>
    </row>
    <row r="126">
      <c r="B126" s="22"/>
    </row>
    <row r="127">
      <c r="B127" s="22"/>
    </row>
    <row r="128">
      <c r="B128" s="22"/>
    </row>
    <row r="129">
      <c r="B129" s="22"/>
    </row>
    <row r="130">
      <c r="B130" s="22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22"/>
    </row>
    <row r="207">
      <c r="B207" s="22"/>
    </row>
    <row r="208">
      <c r="B208" s="22"/>
    </row>
    <row r="209">
      <c r="B209" s="22"/>
    </row>
    <row r="210">
      <c r="B210" s="22"/>
    </row>
    <row r="211">
      <c r="B211" s="22"/>
    </row>
    <row r="212">
      <c r="B212" s="22"/>
    </row>
    <row r="213">
      <c r="B213" s="22"/>
    </row>
    <row r="214">
      <c r="B214" s="22"/>
    </row>
    <row r="215">
      <c r="B215" s="22"/>
    </row>
    <row r="216">
      <c r="B216" s="22"/>
    </row>
    <row r="217">
      <c r="B217" s="22"/>
    </row>
    <row r="218">
      <c r="B218" s="22"/>
    </row>
    <row r="219">
      <c r="B219" s="22"/>
    </row>
    <row r="220">
      <c r="B220" s="22"/>
    </row>
    <row r="221">
      <c r="B221" s="22"/>
    </row>
    <row r="222">
      <c r="B222" s="22"/>
    </row>
    <row r="223">
      <c r="B223" s="22"/>
    </row>
    <row r="224">
      <c r="B224" s="22"/>
    </row>
    <row r="225">
      <c r="B225" s="22"/>
    </row>
    <row r="226">
      <c r="B226" s="22"/>
    </row>
    <row r="227">
      <c r="B227" s="22"/>
    </row>
    <row r="228">
      <c r="B228" s="22"/>
    </row>
    <row r="229">
      <c r="B229" s="22"/>
    </row>
    <row r="230">
      <c r="B230" s="22"/>
    </row>
    <row r="231">
      <c r="B231" s="22"/>
    </row>
    <row r="232">
      <c r="B232" s="22"/>
    </row>
    <row r="233">
      <c r="B233" s="22"/>
    </row>
    <row r="234">
      <c r="B234" s="22"/>
    </row>
    <row r="235">
      <c r="B235" s="22"/>
    </row>
    <row r="236">
      <c r="B236" s="22"/>
    </row>
    <row r="237">
      <c r="B237" s="22"/>
    </row>
    <row r="238">
      <c r="B238" s="22"/>
    </row>
    <row r="239">
      <c r="B239" s="22"/>
    </row>
    <row r="240">
      <c r="B240" s="22"/>
    </row>
    <row r="241">
      <c r="B241" s="22"/>
    </row>
    <row r="242">
      <c r="B242" s="22"/>
    </row>
    <row r="243">
      <c r="B243" s="22"/>
    </row>
    <row r="244">
      <c r="B244" s="22"/>
    </row>
    <row r="245">
      <c r="B245" s="22"/>
    </row>
    <row r="246">
      <c r="B246" s="22"/>
    </row>
    <row r="247">
      <c r="B247" s="22"/>
    </row>
    <row r="248">
      <c r="B248" s="22"/>
    </row>
    <row r="249">
      <c r="B249" s="22"/>
    </row>
    <row r="250">
      <c r="B250" s="22"/>
    </row>
    <row r="251">
      <c r="B251" s="22"/>
    </row>
    <row r="252">
      <c r="B252" s="22"/>
    </row>
    <row r="253">
      <c r="B253" s="22"/>
    </row>
    <row r="254">
      <c r="B254" s="22"/>
    </row>
    <row r="255">
      <c r="B255" s="22"/>
    </row>
    <row r="256">
      <c r="B256" s="22"/>
    </row>
    <row r="257">
      <c r="B257" s="22"/>
    </row>
    <row r="258">
      <c r="B258" s="22"/>
    </row>
    <row r="259">
      <c r="B259" s="22"/>
    </row>
    <row r="260">
      <c r="B260" s="22"/>
    </row>
    <row r="261">
      <c r="B261" s="22"/>
    </row>
    <row r="262">
      <c r="B262" s="22"/>
    </row>
    <row r="263">
      <c r="B263" s="22"/>
    </row>
    <row r="264">
      <c r="B264" s="22"/>
    </row>
    <row r="265">
      <c r="B265" s="22"/>
    </row>
    <row r="266">
      <c r="B266" s="22"/>
    </row>
    <row r="267">
      <c r="B267" s="22"/>
    </row>
    <row r="268">
      <c r="B268" s="22"/>
    </row>
    <row r="269">
      <c r="B269" s="22"/>
    </row>
    <row r="270">
      <c r="B270" s="22"/>
    </row>
    <row r="271">
      <c r="B271" s="22"/>
    </row>
    <row r="272">
      <c r="B272" s="22"/>
    </row>
    <row r="273">
      <c r="B273" s="22"/>
    </row>
    <row r="274">
      <c r="B274" s="22"/>
    </row>
    <row r="275">
      <c r="B275" s="22"/>
    </row>
    <row r="276">
      <c r="B276" s="22"/>
    </row>
    <row r="277">
      <c r="B277" s="22"/>
    </row>
    <row r="278">
      <c r="B278" s="22"/>
    </row>
    <row r="279">
      <c r="B279" s="22"/>
    </row>
    <row r="280">
      <c r="B280" s="22"/>
    </row>
    <row r="281">
      <c r="B281" s="22"/>
    </row>
    <row r="282">
      <c r="B282" s="22"/>
    </row>
    <row r="283">
      <c r="B283" s="22"/>
    </row>
    <row r="284">
      <c r="B284" s="22"/>
    </row>
    <row r="285">
      <c r="B285" s="22"/>
    </row>
    <row r="286">
      <c r="B286" s="22"/>
    </row>
    <row r="287">
      <c r="B287" s="22"/>
    </row>
    <row r="288">
      <c r="B288" s="22"/>
    </row>
    <row r="289">
      <c r="B289" s="22"/>
    </row>
    <row r="290">
      <c r="B290" s="22"/>
    </row>
    <row r="291">
      <c r="B291" s="22"/>
    </row>
    <row r="292">
      <c r="B292" s="22"/>
    </row>
    <row r="293">
      <c r="B293" s="22"/>
    </row>
    <row r="294">
      <c r="B294" s="22"/>
    </row>
    <row r="295">
      <c r="B295" s="22"/>
    </row>
    <row r="296">
      <c r="B296" s="22"/>
    </row>
    <row r="297">
      <c r="B297" s="22"/>
    </row>
    <row r="298">
      <c r="B298" s="22"/>
    </row>
    <row r="299">
      <c r="B299" s="22"/>
    </row>
    <row r="300">
      <c r="B300" s="22"/>
    </row>
    <row r="301">
      <c r="B301" s="22"/>
    </row>
    <row r="302">
      <c r="B302" s="22"/>
    </row>
    <row r="303">
      <c r="B303" s="22"/>
    </row>
    <row r="304">
      <c r="B304" s="22"/>
    </row>
    <row r="305">
      <c r="B305" s="22"/>
    </row>
    <row r="306">
      <c r="B306" s="22"/>
    </row>
    <row r="307">
      <c r="B307" s="22"/>
    </row>
    <row r="308">
      <c r="B308" s="22"/>
    </row>
    <row r="309">
      <c r="B309" s="22"/>
    </row>
    <row r="310">
      <c r="B310" s="22"/>
    </row>
    <row r="311">
      <c r="B311" s="22"/>
    </row>
    <row r="312">
      <c r="B312" s="22"/>
    </row>
    <row r="313">
      <c r="B313" s="22"/>
    </row>
    <row r="314">
      <c r="B314" s="22"/>
    </row>
    <row r="315">
      <c r="B315" s="22"/>
    </row>
    <row r="316">
      <c r="B316" s="22"/>
    </row>
    <row r="317">
      <c r="B317" s="22"/>
    </row>
    <row r="318">
      <c r="B318" s="22"/>
    </row>
    <row r="319">
      <c r="B319" s="22"/>
    </row>
    <row r="320">
      <c r="B320" s="22"/>
    </row>
    <row r="321">
      <c r="B321" s="22"/>
    </row>
    <row r="322">
      <c r="B322" s="22"/>
    </row>
    <row r="323">
      <c r="B323" s="22"/>
    </row>
    <row r="324">
      <c r="B324" s="22"/>
    </row>
    <row r="325">
      <c r="B325" s="22"/>
    </row>
    <row r="326">
      <c r="B326" s="22"/>
    </row>
    <row r="327">
      <c r="B327" s="22"/>
    </row>
    <row r="328">
      <c r="B328" s="22"/>
    </row>
    <row r="329">
      <c r="B329" s="22"/>
    </row>
    <row r="330">
      <c r="B330" s="22"/>
    </row>
    <row r="331">
      <c r="B331" s="22"/>
    </row>
    <row r="332">
      <c r="B332" s="22"/>
    </row>
    <row r="333">
      <c r="B333" s="22"/>
    </row>
    <row r="334">
      <c r="B334" s="22"/>
    </row>
    <row r="335">
      <c r="B335" s="22"/>
    </row>
    <row r="336">
      <c r="B336" s="22"/>
    </row>
    <row r="337">
      <c r="B337" s="22"/>
    </row>
    <row r="338">
      <c r="B338" s="22"/>
    </row>
    <row r="339">
      <c r="B339" s="22"/>
    </row>
    <row r="340">
      <c r="B340" s="22"/>
    </row>
    <row r="341">
      <c r="B341" s="22"/>
    </row>
    <row r="342">
      <c r="B342" s="22"/>
    </row>
    <row r="343">
      <c r="B343" s="22"/>
    </row>
    <row r="344">
      <c r="B344" s="22"/>
    </row>
    <row r="345">
      <c r="B345" s="22"/>
    </row>
    <row r="346">
      <c r="B346" s="22"/>
    </row>
    <row r="347">
      <c r="B347" s="22"/>
    </row>
    <row r="348">
      <c r="B348" s="22"/>
    </row>
    <row r="349">
      <c r="B349" s="22"/>
    </row>
    <row r="350">
      <c r="B350" s="22"/>
    </row>
    <row r="351">
      <c r="B351" s="22"/>
    </row>
    <row r="352">
      <c r="B352" s="22"/>
    </row>
    <row r="353">
      <c r="B353" s="22"/>
    </row>
    <row r="354">
      <c r="B354" s="22"/>
    </row>
    <row r="355">
      <c r="B355" s="22"/>
    </row>
    <row r="356">
      <c r="B356" s="22"/>
    </row>
    <row r="357">
      <c r="B357" s="22"/>
    </row>
    <row r="358">
      <c r="B358" s="22"/>
    </row>
    <row r="359">
      <c r="B359" s="22"/>
    </row>
    <row r="360">
      <c r="B360" s="22"/>
    </row>
    <row r="361">
      <c r="B361" s="22"/>
    </row>
    <row r="362">
      <c r="B362" s="22"/>
    </row>
    <row r="363">
      <c r="B363" s="22"/>
    </row>
    <row r="364">
      <c r="B364" s="22"/>
    </row>
    <row r="365">
      <c r="B365" s="22"/>
    </row>
    <row r="366">
      <c r="B366" s="22"/>
    </row>
    <row r="367">
      <c r="B367" s="22"/>
    </row>
    <row r="368">
      <c r="B368" s="22"/>
    </row>
    <row r="369">
      <c r="B369" s="22"/>
    </row>
    <row r="370">
      <c r="B370" s="22"/>
    </row>
    <row r="371">
      <c r="B371" s="22"/>
    </row>
    <row r="372">
      <c r="B372" s="22"/>
    </row>
    <row r="373">
      <c r="B373" s="22"/>
    </row>
    <row r="374">
      <c r="B374" s="22"/>
    </row>
    <row r="375">
      <c r="B375" s="22"/>
    </row>
    <row r="376">
      <c r="B376" s="22"/>
    </row>
    <row r="377">
      <c r="B377" s="22"/>
    </row>
    <row r="378">
      <c r="B378" s="22"/>
    </row>
    <row r="379">
      <c r="B379" s="22"/>
    </row>
    <row r="380">
      <c r="B380" s="22"/>
    </row>
    <row r="381">
      <c r="B381" s="22"/>
    </row>
    <row r="382">
      <c r="B382" s="22"/>
    </row>
    <row r="383">
      <c r="B383" s="22"/>
    </row>
    <row r="384">
      <c r="B384" s="22"/>
    </row>
    <row r="385">
      <c r="B385" s="22"/>
    </row>
    <row r="386">
      <c r="B386" s="22"/>
    </row>
    <row r="387">
      <c r="B387" s="22"/>
    </row>
    <row r="388">
      <c r="B388" s="22"/>
    </row>
    <row r="389">
      <c r="B389" s="22"/>
    </row>
    <row r="390">
      <c r="B390" s="22"/>
    </row>
    <row r="391">
      <c r="B391" s="22"/>
    </row>
    <row r="392">
      <c r="B392" s="22"/>
    </row>
    <row r="393">
      <c r="B393" s="22"/>
    </row>
    <row r="394">
      <c r="B394" s="22"/>
    </row>
    <row r="395">
      <c r="B395" s="22"/>
    </row>
    <row r="396">
      <c r="B396" s="22"/>
    </row>
    <row r="397">
      <c r="B397" s="22"/>
    </row>
    <row r="398">
      <c r="B398" s="22"/>
    </row>
    <row r="399">
      <c r="B399" s="22"/>
    </row>
    <row r="400">
      <c r="B400" s="22"/>
    </row>
    <row r="401">
      <c r="B401" s="22"/>
    </row>
    <row r="402">
      <c r="B402" s="22"/>
    </row>
    <row r="403">
      <c r="B403" s="22"/>
    </row>
    <row r="404">
      <c r="B404" s="22"/>
    </row>
    <row r="405">
      <c r="B405" s="22"/>
    </row>
    <row r="406">
      <c r="B406" s="22"/>
    </row>
    <row r="407">
      <c r="B407" s="22"/>
    </row>
    <row r="408">
      <c r="B408" s="22"/>
    </row>
    <row r="409">
      <c r="B409" s="22"/>
    </row>
    <row r="410">
      <c r="B410" s="22"/>
    </row>
    <row r="411">
      <c r="B411" s="22"/>
    </row>
    <row r="412">
      <c r="B412" s="22"/>
    </row>
    <row r="413">
      <c r="B413" s="22"/>
    </row>
    <row r="414">
      <c r="B414" s="22"/>
    </row>
    <row r="415">
      <c r="B415" s="22"/>
    </row>
    <row r="416">
      <c r="B416" s="22"/>
    </row>
    <row r="417">
      <c r="B417" s="22"/>
    </row>
    <row r="418">
      <c r="B418" s="22"/>
    </row>
    <row r="419">
      <c r="B419" s="22"/>
    </row>
    <row r="420">
      <c r="B420" s="22"/>
    </row>
    <row r="421">
      <c r="B421" s="22"/>
    </row>
    <row r="422">
      <c r="B422" s="22"/>
    </row>
    <row r="423">
      <c r="B423" s="22"/>
    </row>
    <row r="424">
      <c r="B424" s="22"/>
    </row>
    <row r="425">
      <c r="B425" s="22"/>
    </row>
    <row r="426">
      <c r="B426" s="22"/>
    </row>
    <row r="427">
      <c r="B427" s="22"/>
    </row>
    <row r="428">
      <c r="B428" s="22"/>
    </row>
    <row r="429">
      <c r="B429" s="22"/>
    </row>
    <row r="430">
      <c r="B430" s="22"/>
    </row>
    <row r="431">
      <c r="B431" s="22"/>
    </row>
    <row r="432">
      <c r="B432" s="22"/>
    </row>
    <row r="433">
      <c r="B433" s="22"/>
    </row>
    <row r="434">
      <c r="B434" s="22"/>
    </row>
    <row r="435">
      <c r="B435" s="22"/>
    </row>
    <row r="436">
      <c r="B436" s="22"/>
    </row>
    <row r="437">
      <c r="B437" s="22"/>
    </row>
    <row r="438">
      <c r="B438" s="22"/>
    </row>
    <row r="439">
      <c r="B439" s="22"/>
    </row>
    <row r="440">
      <c r="B440" s="22"/>
    </row>
    <row r="441">
      <c r="B441" s="22"/>
    </row>
    <row r="442">
      <c r="B442" s="22"/>
    </row>
    <row r="443">
      <c r="B443" s="22"/>
    </row>
    <row r="444">
      <c r="B444" s="22"/>
    </row>
    <row r="445">
      <c r="B445" s="22"/>
    </row>
    <row r="446">
      <c r="B446" s="22"/>
    </row>
    <row r="447">
      <c r="B447" s="22"/>
    </row>
    <row r="448">
      <c r="B448" s="22"/>
    </row>
    <row r="449">
      <c r="B449" s="22"/>
    </row>
    <row r="450">
      <c r="B450" s="22"/>
    </row>
    <row r="451">
      <c r="B451" s="22"/>
    </row>
    <row r="452">
      <c r="B452" s="22"/>
    </row>
    <row r="453">
      <c r="B453" s="22"/>
    </row>
    <row r="454">
      <c r="B454" s="22"/>
    </row>
    <row r="455">
      <c r="B455" s="22"/>
    </row>
    <row r="456">
      <c r="B456" s="22"/>
    </row>
    <row r="457">
      <c r="B457" s="22"/>
    </row>
    <row r="458">
      <c r="B458" s="22"/>
    </row>
    <row r="459">
      <c r="B459" s="22"/>
    </row>
    <row r="460">
      <c r="B460" s="22"/>
    </row>
    <row r="461">
      <c r="B461" s="22"/>
    </row>
    <row r="462">
      <c r="B462" s="22"/>
    </row>
    <row r="463">
      <c r="B463" s="22"/>
    </row>
    <row r="464">
      <c r="B464" s="22"/>
    </row>
    <row r="465">
      <c r="B465" s="22"/>
    </row>
    <row r="466">
      <c r="B466" s="22"/>
    </row>
    <row r="467">
      <c r="B467" s="22"/>
    </row>
    <row r="468">
      <c r="B468" s="22"/>
    </row>
    <row r="469">
      <c r="B469" s="22"/>
    </row>
    <row r="470">
      <c r="B470" s="22"/>
    </row>
    <row r="471">
      <c r="B471" s="22"/>
    </row>
    <row r="472">
      <c r="B472" s="22"/>
    </row>
    <row r="473">
      <c r="B473" s="22"/>
    </row>
    <row r="474">
      <c r="B474" s="22"/>
    </row>
    <row r="475">
      <c r="B475" s="22"/>
    </row>
    <row r="476">
      <c r="B476" s="22"/>
    </row>
    <row r="477">
      <c r="B477" s="22"/>
    </row>
    <row r="478">
      <c r="B478" s="22"/>
    </row>
    <row r="479">
      <c r="B479" s="22"/>
    </row>
    <row r="480">
      <c r="B480" s="22"/>
    </row>
    <row r="481">
      <c r="B481" s="22"/>
    </row>
    <row r="482">
      <c r="B482" s="22"/>
    </row>
    <row r="483">
      <c r="B483" s="22"/>
    </row>
    <row r="484">
      <c r="B484" s="22"/>
    </row>
    <row r="485">
      <c r="B485" s="22"/>
    </row>
    <row r="486">
      <c r="B486" s="22"/>
    </row>
    <row r="487">
      <c r="B487" s="22"/>
    </row>
    <row r="488">
      <c r="B488" s="22"/>
    </row>
    <row r="489">
      <c r="B489" s="22"/>
    </row>
    <row r="490">
      <c r="B490" s="22"/>
    </row>
    <row r="491">
      <c r="B491" s="22"/>
    </row>
    <row r="492">
      <c r="B492" s="22"/>
    </row>
    <row r="493">
      <c r="B493" s="22"/>
    </row>
    <row r="494">
      <c r="B494" s="22"/>
    </row>
    <row r="495">
      <c r="B495" s="22"/>
    </row>
    <row r="496">
      <c r="B496" s="22"/>
    </row>
    <row r="497">
      <c r="B497" s="22"/>
    </row>
    <row r="498">
      <c r="B498" s="22"/>
    </row>
    <row r="499">
      <c r="B499" s="22"/>
    </row>
    <row r="500">
      <c r="B500" s="22"/>
    </row>
    <row r="501">
      <c r="B501" s="22"/>
    </row>
    <row r="502">
      <c r="B502" s="22"/>
    </row>
    <row r="503">
      <c r="B503" s="22"/>
    </row>
    <row r="504">
      <c r="B504" s="22"/>
    </row>
    <row r="505">
      <c r="B505" s="22"/>
    </row>
    <row r="506">
      <c r="B506" s="22"/>
    </row>
    <row r="507">
      <c r="B507" s="22"/>
    </row>
    <row r="508">
      <c r="B508" s="22"/>
    </row>
    <row r="509">
      <c r="B509" s="22"/>
    </row>
    <row r="510">
      <c r="B510" s="22"/>
    </row>
    <row r="511">
      <c r="B511" s="22"/>
    </row>
    <row r="512">
      <c r="B512" s="22"/>
    </row>
    <row r="513">
      <c r="B513" s="22"/>
    </row>
    <row r="514">
      <c r="B514" s="22"/>
    </row>
    <row r="515">
      <c r="B515" s="22"/>
    </row>
    <row r="516">
      <c r="B516" s="22"/>
    </row>
    <row r="517">
      <c r="B517" s="22"/>
    </row>
    <row r="518">
      <c r="B518" s="22"/>
    </row>
    <row r="519">
      <c r="B519" s="22"/>
    </row>
    <row r="520">
      <c r="B520" s="22"/>
    </row>
    <row r="521">
      <c r="B521" s="22"/>
    </row>
    <row r="522">
      <c r="B522" s="22"/>
    </row>
    <row r="523">
      <c r="B523" s="22"/>
    </row>
    <row r="524">
      <c r="B524" s="22"/>
    </row>
    <row r="525">
      <c r="B525" s="22"/>
    </row>
    <row r="526">
      <c r="B526" s="22"/>
    </row>
    <row r="527">
      <c r="B527" s="22"/>
    </row>
    <row r="528">
      <c r="B528" s="22"/>
    </row>
    <row r="529">
      <c r="B529" s="22"/>
    </row>
    <row r="530">
      <c r="B530" s="22"/>
    </row>
    <row r="531">
      <c r="B531" s="22"/>
    </row>
    <row r="532">
      <c r="B532" s="22"/>
    </row>
    <row r="533">
      <c r="B533" s="22"/>
    </row>
    <row r="534">
      <c r="B534" s="22"/>
    </row>
    <row r="535">
      <c r="B535" s="22"/>
    </row>
    <row r="536">
      <c r="B536" s="22"/>
    </row>
    <row r="537">
      <c r="B537" s="22"/>
    </row>
    <row r="538">
      <c r="B538" s="22"/>
    </row>
    <row r="539">
      <c r="B539" s="22"/>
    </row>
    <row r="540">
      <c r="B540" s="22"/>
    </row>
    <row r="541">
      <c r="B541" s="22"/>
    </row>
    <row r="542">
      <c r="B542" s="22"/>
    </row>
    <row r="543">
      <c r="B543" s="22"/>
    </row>
    <row r="544">
      <c r="B544" s="22"/>
    </row>
    <row r="545">
      <c r="B545" s="22"/>
    </row>
    <row r="546">
      <c r="B546" s="22"/>
    </row>
    <row r="547">
      <c r="B547" s="22"/>
    </row>
    <row r="548">
      <c r="B548" s="22"/>
    </row>
    <row r="549">
      <c r="B549" s="22"/>
    </row>
    <row r="550">
      <c r="B550" s="22"/>
    </row>
    <row r="551">
      <c r="B551" s="22"/>
    </row>
    <row r="552">
      <c r="B552" s="22"/>
    </row>
    <row r="553">
      <c r="B553" s="22"/>
    </row>
    <row r="554">
      <c r="B554" s="22"/>
    </row>
    <row r="555">
      <c r="B555" s="22"/>
    </row>
    <row r="556">
      <c r="B556" s="22"/>
    </row>
    <row r="557">
      <c r="B557" s="22"/>
    </row>
    <row r="558">
      <c r="B558" s="22"/>
    </row>
    <row r="559">
      <c r="B559" s="22"/>
    </row>
    <row r="560">
      <c r="B560" s="22"/>
    </row>
    <row r="561">
      <c r="B561" s="22"/>
    </row>
    <row r="562">
      <c r="B562" s="22"/>
    </row>
    <row r="563">
      <c r="B563" s="22"/>
    </row>
    <row r="564">
      <c r="B564" s="22"/>
    </row>
    <row r="565">
      <c r="B565" s="22"/>
    </row>
    <row r="566">
      <c r="B566" s="22"/>
    </row>
    <row r="567">
      <c r="B567" s="22"/>
    </row>
    <row r="568">
      <c r="B568" s="22"/>
    </row>
    <row r="569">
      <c r="B569" s="22"/>
    </row>
    <row r="570">
      <c r="B570" s="22"/>
    </row>
    <row r="571">
      <c r="B571" s="22"/>
    </row>
    <row r="572">
      <c r="B572" s="22"/>
    </row>
    <row r="573">
      <c r="B573" s="22"/>
    </row>
    <row r="574">
      <c r="B574" s="22"/>
    </row>
    <row r="575">
      <c r="B575" s="22"/>
    </row>
    <row r="576">
      <c r="B576" s="22"/>
    </row>
    <row r="577">
      <c r="B577" s="22"/>
    </row>
    <row r="578">
      <c r="B578" s="22"/>
    </row>
    <row r="579">
      <c r="B579" s="22"/>
    </row>
    <row r="580">
      <c r="B580" s="22"/>
    </row>
    <row r="581">
      <c r="B581" s="22"/>
    </row>
    <row r="582">
      <c r="B582" s="22"/>
    </row>
    <row r="583">
      <c r="B583" s="22"/>
    </row>
    <row r="584">
      <c r="B584" s="22"/>
    </row>
    <row r="585">
      <c r="B585" s="22"/>
    </row>
    <row r="586">
      <c r="B586" s="22"/>
    </row>
    <row r="587">
      <c r="B587" s="22"/>
    </row>
    <row r="588">
      <c r="B588" s="22"/>
    </row>
    <row r="589">
      <c r="B589" s="22"/>
    </row>
    <row r="590">
      <c r="B590" s="22"/>
    </row>
    <row r="591">
      <c r="B591" s="22"/>
    </row>
    <row r="592">
      <c r="B592" s="22"/>
    </row>
    <row r="593">
      <c r="B593" s="22"/>
    </row>
    <row r="594">
      <c r="B594" s="22"/>
    </row>
    <row r="595">
      <c r="B595" s="22"/>
    </row>
    <row r="596">
      <c r="B596" s="22"/>
    </row>
    <row r="597">
      <c r="B597" s="22"/>
    </row>
    <row r="598">
      <c r="B598" s="22"/>
    </row>
    <row r="599">
      <c r="B599" s="22"/>
    </row>
    <row r="600">
      <c r="B600" s="22"/>
    </row>
    <row r="601">
      <c r="B601" s="22"/>
    </row>
    <row r="602">
      <c r="B602" s="22"/>
    </row>
    <row r="603">
      <c r="B603" s="22"/>
    </row>
    <row r="604">
      <c r="B604" s="22"/>
    </row>
    <row r="605">
      <c r="B605" s="22"/>
    </row>
    <row r="606">
      <c r="B606" s="22"/>
    </row>
    <row r="607">
      <c r="B607" s="22"/>
    </row>
    <row r="608">
      <c r="B608" s="22"/>
    </row>
    <row r="609">
      <c r="B609" s="22"/>
    </row>
    <row r="610">
      <c r="B610" s="22"/>
    </row>
    <row r="611">
      <c r="B611" s="22"/>
    </row>
    <row r="612">
      <c r="B612" s="22"/>
    </row>
    <row r="613">
      <c r="B613" s="22"/>
    </row>
    <row r="614">
      <c r="B614" s="22"/>
    </row>
    <row r="615">
      <c r="B615" s="22"/>
    </row>
    <row r="616">
      <c r="B616" s="22"/>
    </row>
    <row r="617">
      <c r="B617" s="22"/>
    </row>
    <row r="618">
      <c r="B618" s="22"/>
    </row>
    <row r="619">
      <c r="B619" s="22"/>
    </row>
    <row r="620">
      <c r="B620" s="22"/>
    </row>
    <row r="621">
      <c r="B621" s="22"/>
    </row>
    <row r="622">
      <c r="B622" s="22"/>
    </row>
    <row r="623">
      <c r="B623" s="22"/>
    </row>
    <row r="624">
      <c r="B624" s="22"/>
    </row>
    <row r="625">
      <c r="B625" s="22"/>
    </row>
    <row r="626">
      <c r="B626" s="22"/>
    </row>
    <row r="627">
      <c r="B627" s="22"/>
    </row>
    <row r="628">
      <c r="B628" s="22"/>
    </row>
    <row r="629">
      <c r="B629" s="22"/>
    </row>
    <row r="630">
      <c r="B630" s="22"/>
    </row>
    <row r="631">
      <c r="B631" s="22"/>
    </row>
    <row r="632">
      <c r="B632" s="22"/>
    </row>
    <row r="633">
      <c r="B633" s="22"/>
    </row>
    <row r="634">
      <c r="B634" s="22"/>
    </row>
    <row r="635">
      <c r="B635" s="22"/>
    </row>
    <row r="636">
      <c r="B636" s="22"/>
    </row>
    <row r="637">
      <c r="B637" s="22"/>
    </row>
    <row r="638">
      <c r="B638" s="22"/>
    </row>
    <row r="639">
      <c r="B639" s="22"/>
    </row>
    <row r="640">
      <c r="B640" s="22"/>
    </row>
    <row r="641">
      <c r="B641" s="22"/>
    </row>
    <row r="642">
      <c r="B642" s="22"/>
    </row>
    <row r="643">
      <c r="B643" s="22"/>
    </row>
    <row r="644">
      <c r="B644" s="22"/>
    </row>
    <row r="645">
      <c r="B645" s="22"/>
    </row>
    <row r="646">
      <c r="B646" s="22"/>
    </row>
    <row r="647">
      <c r="B647" s="22"/>
    </row>
    <row r="648">
      <c r="B648" s="22"/>
    </row>
    <row r="649">
      <c r="B649" s="22"/>
    </row>
    <row r="650">
      <c r="B650" s="22"/>
    </row>
    <row r="651">
      <c r="B651" s="22"/>
    </row>
    <row r="652">
      <c r="B652" s="22"/>
    </row>
    <row r="653">
      <c r="B653" s="22"/>
    </row>
    <row r="654">
      <c r="B654" s="22"/>
    </row>
    <row r="655">
      <c r="B655" s="22"/>
    </row>
    <row r="656">
      <c r="B656" s="22"/>
    </row>
    <row r="657">
      <c r="B657" s="22"/>
    </row>
    <row r="658">
      <c r="B658" s="22"/>
    </row>
    <row r="659">
      <c r="B659" s="22"/>
    </row>
    <row r="660">
      <c r="B660" s="22"/>
    </row>
    <row r="661">
      <c r="B661" s="22"/>
    </row>
    <row r="662">
      <c r="B662" s="22"/>
    </row>
    <row r="663">
      <c r="B663" s="22"/>
    </row>
    <row r="664">
      <c r="B664" s="22"/>
    </row>
    <row r="665">
      <c r="B665" s="22"/>
    </row>
    <row r="666">
      <c r="B666" s="22"/>
    </row>
    <row r="667">
      <c r="B667" s="22"/>
    </row>
    <row r="668">
      <c r="B668" s="22"/>
    </row>
    <row r="669">
      <c r="B669" s="22"/>
    </row>
    <row r="670">
      <c r="B670" s="22"/>
    </row>
    <row r="671">
      <c r="B671" s="22"/>
    </row>
    <row r="672">
      <c r="B672" s="22"/>
    </row>
    <row r="673">
      <c r="B673" s="22"/>
    </row>
    <row r="674">
      <c r="B674" s="22"/>
    </row>
    <row r="675">
      <c r="B675" s="22"/>
    </row>
    <row r="676">
      <c r="B676" s="22"/>
    </row>
    <row r="677">
      <c r="B677" s="22"/>
    </row>
    <row r="678">
      <c r="B678" s="22"/>
    </row>
    <row r="679">
      <c r="B679" s="22"/>
    </row>
    <row r="680">
      <c r="B680" s="22"/>
    </row>
    <row r="681">
      <c r="B681" s="22"/>
    </row>
    <row r="682">
      <c r="B682" s="22"/>
    </row>
    <row r="683">
      <c r="B683" s="22"/>
    </row>
    <row r="684">
      <c r="B684" s="22"/>
    </row>
    <row r="685">
      <c r="B685" s="22"/>
    </row>
    <row r="686">
      <c r="B686" s="22"/>
    </row>
    <row r="687">
      <c r="B687" s="22"/>
    </row>
    <row r="688">
      <c r="B688" s="22"/>
    </row>
    <row r="689">
      <c r="B689" s="22"/>
    </row>
    <row r="690">
      <c r="B690" s="22"/>
    </row>
    <row r="691">
      <c r="B691" s="22"/>
    </row>
    <row r="692">
      <c r="B692" s="22"/>
    </row>
    <row r="693">
      <c r="B693" s="22"/>
    </row>
    <row r="694">
      <c r="B694" s="22"/>
    </row>
    <row r="695">
      <c r="B695" s="22"/>
    </row>
    <row r="696">
      <c r="B696" s="22"/>
    </row>
    <row r="697">
      <c r="B697" s="22"/>
    </row>
    <row r="698">
      <c r="B698" s="22"/>
    </row>
    <row r="699">
      <c r="B699" s="22"/>
    </row>
    <row r="700">
      <c r="B700" s="22"/>
    </row>
    <row r="701">
      <c r="B701" s="22"/>
    </row>
    <row r="702">
      <c r="B702" s="22"/>
    </row>
    <row r="703">
      <c r="B703" s="22"/>
    </row>
    <row r="704">
      <c r="B704" s="22"/>
    </row>
    <row r="705">
      <c r="B705" s="22"/>
    </row>
    <row r="706">
      <c r="B706" s="22"/>
    </row>
    <row r="707">
      <c r="B707" s="22"/>
    </row>
    <row r="708">
      <c r="B708" s="22"/>
    </row>
    <row r="709">
      <c r="B709" s="22"/>
    </row>
    <row r="710">
      <c r="B710" s="22"/>
    </row>
    <row r="711">
      <c r="B711" s="22"/>
    </row>
    <row r="712">
      <c r="B712" s="22"/>
    </row>
    <row r="713">
      <c r="B713" s="22"/>
    </row>
    <row r="714">
      <c r="B714" s="22"/>
    </row>
    <row r="715">
      <c r="B715" s="22"/>
    </row>
    <row r="716">
      <c r="B716" s="22"/>
    </row>
    <row r="717">
      <c r="B717" s="22"/>
    </row>
    <row r="718">
      <c r="B718" s="22"/>
    </row>
    <row r="719">
      <c r="B719" s="22"/>
    </row>
    <row r="720">
      <c r="B720" s="22"/>
    </row>
    <row r="721">
      <c r="B721" s="22"/>
    </row>
    <row r="722">
      <c r="B722" s="22"/>
    </row>
    <row r="723">
      <c r="B723" s="22"/>
    </row>
    <row r="724">
      <c r="B724" s="22"/>
    </row>
    <row r="725">
      <c r="B725" s="22"/>
    </row>
    <row r="726">
      <c r="B726" s="22"/>
    </row>
    <row r="727">
      <c r="B727" s="22"/>
    </row>
    <row r="728">
      <c r="B728" s="22"/>
    </row>
    <row r="729">
      <c r="B729" s="22"/>
    </row>
    <row r="730">
      <c r="B730" s="22"/>
    </row>
    <row r="731">
      <c r="B731" s="22"/>
    </row>
    <row r="732">
      <c r="B732" s="22"/>
    </row>
    <row r="733">
      <c r="B733" s="22"/>
    </row>
    <row r="734">
      <c r="B734" s="22"/>
    </row>
    <row r="735">
      <c r="B735" s="22"/>
    </row>
    <row r="736">
      <c r="B736" s="22"/>
    </row>
    <row r="737">
      <c r="B737" s="22"/>
    </row>
    <row r="738">
      <c r="B738" s="22"/>
    </row>
    <row r="739">
      <c r="B739" s="22"/>
    </row>
    <row r="740">
      <c r="B740" s="22"/>
    </row>
    <row r="741">
      <c r="B741" s="22"/>
    </row>
    <row r="742">
      <c r="B742" s="22"/>
    </row>
    <row r="743">
      <c r="B743" s="22"/>
    </row>
    <row r="744">
      <c r="B744" s="22"/>
    </row>
    <row r="745">
      <c r="B745" s="22"/>
    </row>
    <row r="746">
      <c r="B746" s="22"/>
    </row>
    <row r="747">
      <c r="B747" s="22"/>
    </row>
    <row r="748">
      <c r="B748" s="22"/>
    </row>
    <row r="749">
      <c r="B749" s="22"/>
    </row>
    <row r="750">
      <c r="B750" s="22"/>
    </row>
    <row r="751">
      <c r="B751" s="22"/>
    </row>
    <row r="752">
      <c r="B752" s="22"/>
    </row>
    <row r="753">
      <c r="B753" s="22"/>
    </row>
    <row r="754">
      <c r="B754" s="22"/>
    </row>
    <row r="755">
      <c r="B755" s="22"/>
    </row>
    <row r="756">
      <c r="B756" s="22"/>
    </row>
    <row r="757">
      <c r="B757" s="22"/>
    </row>
    <row r="758">
      <c r="B758" s="22"/>
    </row>
    <row r="759">
      <c r="B759" s="22"/>
    </row>
    <row r="760">
      <c r="B760" s="22"/>
    </row>
    <row r="761">
      <c r="B761" s="22"/>
    </row>
    <row r="762">
      <c r="B762" s="22"/>
    </row>
    <row r="763">
      <c r="B763" s="22"/>
    </row>
    <row r="764">
      <c r="B764" s="22"/>
    </row>
    <row r="765">
      <c r="B765" s="22"/>
    </row>
    <row r="766">
      <c r="B766" s="22"/>
    </row>
    <row r="767">
      <c r="B767" s="22"/>
    </row>
    <row r="768">
      <c r="B768" s="22"/>
    </row>
    <row r="769">
      <c r="B769" s="22"/>
    </row>
    <row r="770">
      <c r="B770" s="22"/>
    </row>
    <row r="771">
      <c r="B771" s="22"/>
    </row>
    <row r="772">
      <c r="B772" s="22"/>
    </row>
    <row r="773">
      <c r="B773" s="22"/>
    </row>
    <row r="774">
      <c r="B774" s="22"/>
    </row>
    <row r="775">
      <c r="B775" s="22"/>
    </row>
    <row r="776">
      <c r="B776" s="22"/>
    </row>
    <row r="777">
      <c r="B777" s="22"/>
    </row>
    <row r="778">
      <c r="B778" s="22"/>
    </row>
    <row r="779">
      <c r="B779" s="22"/>
    </row>
    <row r="780">
      <c r="B780" s="22"/>
    </row>
    <row r="781">
      <c r="B781" s="22"/>
    </row>
    <row r="782">
      <c r="B782" s="22"/>
    </row>
    <row r="783">
      <c r="B783" s="22"/>
    </row>
    <row r="784">
      <c r="B784" s="22"/>
    </row>
    <row r="785">
      <c r="B785" s="22"/>
    </row>
    <row r="786">
      <c r="B786" s="22"/>
    </row>
    <row r="787">
      <c r="B787" s="22"/>
    </row>
    <row r="788">
      <c r="B788" s="22"/>
    </row>
    <row r="789">
      <c r="B789" s="22"/>
    </row>
    <row r="790">
      <c r="B790" s="22"/>
    </row>
    <row r="791">
      <c r="B791" s="22"/>
    </row>
    <row r="792">
      <c r="B792" s="22"/>
    </row>
    <row r="793">
      <c r="B793" s="22"/>
    </row>
    <row r="794">
      <c r="B794" s="22"/>
    </row>
    <row r="795">
      <c r="B795" s="22"/>
    </row>
    <row r="796">
      <c r="B796" s="22"/>
    </row>
    <row r="797">
      <c r="B797" s="22"/>
    </row>
    <row r="798">
      <c r="B798" s="22"/>
    </row>
    <row r="799">
      <c r="B799" s="22"/>
    </row>
    <row r="800">
      <c r="B800" s="22"/>
    </row>
    <row r="801">
      <c r="B801" s="22"/>
    </row>
    <row r="802">
      <c r="B802" s="22"/>
    </row>
    <row r="803">
      <c r="B803" s="22"/>
    </row>
    <row r="804">
      <c r="B804" s="22"/>
    </row>
    <row r="805">
      <c r="B805" s="22"/>
    </row>
    <row r="806">
      <c r="B806" s="22"/>
    </row>
    <row r="807">
      <c r="B807" s="22"/>
    </row>
    <row r="808">
      <c r="B808" s="22"/>
    </row>
    <row r="809">
      <c r="B809" s="22"/>
    </row>
    <row r="810">
      <c r="B810" s="22"/>
    </row>
    <row r="811">
      <c r="B811" s="22"/>
    </row>
    <row r="812">
      <c r="B812" s="22"/>
    </row>
    <row r="813">
      <c r="B813" s="22"/>
    </row>
    <row r="814">
      <c r="B814" s="22"/>
    </row>
    <row r="815">
      <c r="B815" s="22"/>
    </row>
    <row r="816">
      <c r="B816" s="22"/>
    </row>
    <row r="817">
      <c r="B817" s="22"/>
    </row>
    <row r="818">
      <c r="B818" s="22"/>
    </row>
    <row r="819">
      <c r="B819" s="22"/>
    </row>
    <row r="820">
      <c r="B820" s="22"/>
    </row>
    <row r="821">
      <c r="B821" s="22"/>
    </row>
    <row r="822">
      <c r="B822" s="22"/>
    </row>
    <row r="823">
      <c r="B823" s="22"/>
    </row>
    <row r="824">
      <c r="B824" s="22"/>
    </row>
    <row r="825">
      <c r="B825" s="22"/>
    </row>
    <row r="826">
      <c r="B826" s="22"/>
    </row>
    <row r="827">
      <c r="B827" s="22"/>
    </row>
    <row r="828">
      <c r="B828" s="22"/>
    </row>
    <row r="829">
      <c r="B829" s="22"/>
    </row>
    <row r="830">
      <c r="B830" s="22"/>
    </row>
    <row r="831">
      <c r="B831" s="22"/>
    </row>
    <row r="832">
      <c r="B832" s="22"/>
    </row>
    <row r="833">
      <c r="B833" s="22"/>
    </row>
    <row r="834">
      <c r="B834" s="22"/>
    </row>
    <row r="835">
      <c r="B835" s="22"/>
    </row>
    <row r="836">
      <c r="B836" s="22"/>
    </row>
    <row r="837">
      <c r="B837" s="22"/>
    </row>
    <row r="838">
      <c r="B838" s="22"/>
    </row>
    <row r="839">
      <c r="B839" s="22"/>
    </row>
    <row r="840">
      <c r="B840" s="22"/>
    </row>
    <row r="841">
      <c r="B841" s="22"/>
    </row>
    <row r="842">
      <c r="B842" s="22"/>
    </row>
    <row r="843">
      <c r="B843" s="22"/>
    </row>
    <row r="844">
      <c r="B844" s="22"/>
    </row>
    <row r="845">
      <c r="B845" s="22"/>
    </row>
    <row r="846">
      <c r="B846" s="22"/>
    </row>
    <row r="847">
      <c r="B847" s="22"/>
    </row>
    <row r="848">
      <c r="B848" s="22"/>
    </row>
    <row r="849">
      <c r="B849" s="22"/>
    </row>
    <row r="850">
      <c r="B850" s="22"/>
    </row>
    <row r="851">
      <c r="B851" s="22"/>
    </row>
    <row r="852">
      <c r="B852" s="22"/>
    </row>
    <row r="853">
      <c r="B853" s="22"/>
    </row>
    <row r="854">
      <c r="B854" s="22"/>
    </row>
    <row r="855">
      <c r="B855" s="22"/>
    </row>
    <row r="856">
      <c r="B856" s="22"/>
    </row>
    <row r="857">
      <c r="B857" s="22"/>
    </row>
    <row r="858">
      <c r="B858" s="22"/>
    </row>
    <row r="859">
      <c r="B859" s="22"/>
    </row>
    <row r="860">
      <c r="B860" s="22"/>
    </row>
    <row r="861">
      <c r="B861" s="22"/>
    </row>
    <row r="862">
      <c r="B862" s="22"/>
    </row>
    <row r="863">
      <c r="B863" s="22"/>
    </row>
    <row r="864">
      <c r="B864" s="22"/>
    </row>
    <row r="865">
      <c r="B865" s="22"/>
    </row>
    <row r="866">
      <c r="B866" s="22"/>
    </row>
    <row r="867">
      <c r="B867" s="22"/>
    </row>
    <row r="868">
      <c r="B868" s="22"/>
    </row>
    <row r="869">
      <c r="B869" s="22"/>
    </row>
    <row r="870">
      <c r="B870" s="22"/>
    </row>
    <row r="871">
      <c r="B871" s="22"/>
    </row>
    <row r="872">
      <c r="B872" s="22"/>
    </row>
    <row r="873">
      <c r="B873" s="22"/>
    </row>
    <row r="874">
      <c r="B874" s="22"/>
    </row>
    <row r="875">
      <c r="B875" s="22"/>
    </row>
    <row r="876">
      <c r="B876" s="22"/>
    </row>
    <row r="877">
      <c r="B877" s="22"/>
    </row>
    <row r="878">
      <c r="B878" s="22"/>
    </row>
    <row r="879">
      <c r="B879" s="22"/>
    </row>
    <row r="880">
      <c r="B880" s="22"/>
    </row>
    <row r="881">
      <c r="B881" s="22"/>
    </row>
    <row r="882">
      <c r="B882" s="22"/>
    </row>
    <row r="883">
      <c r="B883" s="22"/>
    </row>
    <row r="884">
      <c r="B884" s="22"/>
    </row>
    <row r="885">
      <c r="B885" s="22"/>
    </row>
    <row r="886">
      <c r="B886" s="22"/>
    </row>
    <row r="887">
      <c r="B887" s="22"/>
    </row>
    <row r="888">
      <c r="B888" s="22"/>
    </row>
    <row r="889">
      <c r="B889" s="22"/>
    </row>
    <row r="890">
      <c r="B890" s="22"/>
    </row>
    <row r="891">
      <c r="B891" s="22"/>
    </row>
    <row r="892">
      <c r="B892" s="22"/>
    </row>
    <row r="893">
      <c r="B893" s="22"/>
    </row>
    <row r="894">
      <c r="B894" s="22"/>
    </row>
    <row r="895">
      <c r="B895" s="22"/>
    </row>
    <row r="896">
      <c r="B896" s="22"/>
    </row>
    <row r="897">
      <c r="B897" s="22"/>
    </row>
    <row r="898">
      <c r="B898" s="22"/>
    </row>
    <row r="899">
      <c r="B899" s="22"/>
    </row>
    <row r="900">
      <c r="B900" s="22"/>
    </row>
    <row r="901">
      <c r="B901" s="22"/>
    </row>
    <row r="902">
      <c r="B902" s="22"/>
    </row>
    <row r="903">
      <c r="B903" s="22"/>
    </row>
    <row r="904">
      <c r="B904" s="22"/>
    </row>
    <row r="905">
      <c r="B905" s="22"/>
    </row>
    <row r="906">
      <c r="B906" s="22"/>
    </row>
    <row r="907">
      <c r="B907" s="22"/>
    </row>
    <row r="908">
      <c r="B908" s="22"/>
    </row>
    <row r="909">
      <c r="B909" s="22"/>
    </row>
    <row r="910">
      <c r="B910" s="22"/>
    </row>
    <row r="911">
      <c r="B911" s="22"/>
    </row>
    <row r="912">
      <c r="B912" s="22"/>
    </row>
    <row r="913">
      <c r="B913" s="22"/>
    </row>
    <row r="914">
      <c r="B914" s="22"/>
    </row>
    <row r="915">
      <c r="B915" s="22"/>
    </row>
    <row r="916">
      <c r="B916" s="22"/>
    </row>
    <row r="917">
      <c r="B917" s="22"/>
    </row>
    <row r="918">
      <c r="B918" s="22"/>
    </row>
    <row r="919">
      <c r="B919" s="22"/>
    </row>
    <row r="920">
      <c r="B920" s="22"/>
    </row>
    <row r="921">
      <c r="B921" s="22"/>
    </row>
    <row r="922">
      <c r="B922" s="22"/>
    </row>
    <row r="923">
      <c r="B923" s="22"/>
    </row>
    <row r="924">
      <c r="B924" s="22"/>
    </row>
    <row r="925">
      <c r="B925" s="22"/>
    </row>
    <row r="926">
      <c r="B926" s="22"/>
    </row>
    <row r="927">
      <c r="B927" s="22"/>
    </row>
    <row r="928">
      <c r="B928" s="22"/>
    </row>
    <row r="929">
      <c r="B929" s="22"/>
    </row>
    <row r="930">
      <c r="B930" s="22"/>
    </row>
    <row r="931">
      <c r="B931" s="22"/>
    </row>
    <row r="932">
      <c r="B932" s="22"/>
    </row>
    <row r="933">
      <c r="B933" s="22"/>
    </row>
    <row r="934">
      <c r="B934" s="22"/>
    </row>
    <row r="935">
      <c r="B935" s="22"/>
    </row>
    <row r="936">
      <c r="B936" s="22"/>
    </row>
    <row r="937">
      <c r="B937" s="22"/>
    </row>
    <row r="938">
      <c r="B938" s="22"/>
    </row>
    <row r="939">
      <c r="B939" s="22"/>
    </row>
    <row r="940">
      <c r="B940" s="22"/>
    </row>
    <row r="941">
      <c r="B941" s="22"/>
    </row>
    <row r="942">
      <c r="B942" s="22"/>
    </row>
    <row r="943">
      <c r="B943" s="22"/>
    </row>
    <row r="944">
      <c r="B944" s="22"/>
    </row>
    <row r="945">
      <c r="B945" s="22"/>
    </row>
    <row r="946">
      <c r="B946" s="22"/>
    </row>
    <row r="947">
      <c r="B947" s="22"/>
    </row>
    <row r="948">
      <c r="B948" s="22"/>
    </row>
    <row r="949">
      <c r="B949" s="22"/>
    </row>
    <row r="950">
      <c r="B950" s="22"/>
    </row>
    <row r="951">
      <c r="B951" s="22"/>
    </row>
    <row r="952">
      <c r="B952" s="22"/>
    </row>
    <row r="953">
      <c r="B953" s="22"/>
    </row>
    <row r="954">
      <c r="B954" s="22"/>
    </row>
    <row r="955">
      <c r="B955" s="22"/>
    </row>
    <row r="956">
      <c r="B956" s="22"/>
    </row>
    <row r="957">
      <c r="B957" s="22"/>
    </row>
    <row r="958">
      <c r="B958" s="22"/>
    </row>
    <row r="959">
      <c r="B959" s="22"/>
    </row>
    <row r="960">
      <c r="B960" s="22"/>
    </row>
    <row r="961">
      <c r="B961" s="22"/>
    </row>
    <row r="962">
      <c r="B962" s="22"/>
    </row>
    <row r="963">
      <c r="B963" s="22"/>
    </row>
    <row r="964">
      <c r="B964" s="22"/>
    </row>
    <row r="965">
      <c r="B965" s="22"/>
    </row>
    <row r="966">
      <c r="B966" s="22"/>
    </row>
    <row r="967">
      <c r="B967" s="22"/>
    </row>
    <row r="968">
      <c r="B968" s="22"/>
    </row>
    <row r="969">
      <c r="B969" s="22"/>
    </row>
    <row r="970">
      <c r="B970" s="22"/>
    </row>
    <row r="971">
      <c r="B971" s="22"/>
    </row>
    <row r="972">
      <c r="B972" s="22"/>
    </row>
    <row r="973">
      <c r="B973" s="22"/>
    </row>
    <row r="974">
      <c r="B974" s="22"/>
    </row>
    <row r="975">
      <c r="B975" s="22"/>
    </row>
    <row r="976">
      <c r="B976" s="22"/>
    </row>
    <row r="977">
      <c r="B977" s="22"/>
    </row>
    <row r="978">
      <c r="B978" s="22"/>
    </row>
    <row r="979">
      <c r="B979" s="22"/>
    </row>
    <row r="980">
      <c r="B980" s="22"/>
    </row>
    <row r="981">
      <c r="B981" s="22"/>
    </row>
    <row r="982">
      <c r="B982" s="22"/>
    </row>
    <row r="983">
      <c r="B983" s="22"/>
    </row>
    <row r="984">
      <c r="B984" s="22"/>
    </row>
    <row r="985">
      <c r="B985" s="22"/>
    </row>
    <row r="986">
      <c r="B986" s="22"/>
    </row>
    <row r="987">
      <c r="B987" s="22"/>
    </row>
    <row r="988">
      <c r="B988" s="22"/>
    </row>
    <row r="989">
      <c r="B989" s="22"/>
    </row>
    <row r="990">
      <c r="B990" s="22"/>
    </row>
    <row r="991">
      <c r="B991" s="22"/>
    </row>
    <row r="992">
      <c r="B992" s="22"/>
    </row>
    <row r="993">
      <c r="B993" s="22"/>
    </row>
    <row r="994">
      <c r="B994" s="22"/>
    </row>
    <row r="995">
      <c r="B995" s="22"/>
    </row>
    <row r="996">
      <c r="B996" s="22"/>
    </row>
    <row r="997">
      <c r="B997" s="22"/>
    </row>
    <row r="998">
      <c r="B998" s="22"/>
    </row>
    <row r="999">
      <c r="B999" s="22"/>
    </row>
    <row r="1000">
      <c r="B1000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0</v>
      </c>
      <c r="B1" s="3" t="s">
        <v>1</v>
      </c>
      <c r="C1" s="3" t="s">
        <v>2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6" t="s">
        <v>69</v>
      </c>
      <c r="J1" s="6" t="s">
        <v>70</v>
      </c>
      <c r="K1" s="12" t="s">
        <v>71</v>
      </c>
      <c r="L1" s="6" t="s">
        <v>72</v>
      </c>
      <c r="M1" s="6" t="s">
        <v>73</v>
      </c>
      <c r="N1" s="6" t="s">
        <v>74</v>
      </c>
      <c r="O1" s="6" t="s">
        <v>75</v>
      </c>
      <c r="P1" s="6" t="s">
        <v>76</v>
      </c>
      <c r="Q1" s="6" t="s">
        <v>77</v>
      </c>
      <c r="R1" s="6" t="s">
        <v>78</v>
      </c>
      <c r="S1" s="6" t="s">
        <v>79</v>
      </c>
      <c r="T1" s="7" t="s">
        <v>80</v>
      </c>
      <c r="U1" s="7" t="s">
        <v>81</v>
      </c>
      <c r="V1" s="7" t="s">
        <v>82</v>
      </c>
      <c r="W1" s="7" t="s">
        <v>62</v>
      </c>
      <c r="X1" s="7" t="s">
        <v>63</v>
      </c>
    </row>
    <row r="2">
      <c r="A2" s="8">
        <v>40179.0</v>
      </c>
      <c r="B2" s="9">
        <f>IFERROR(__xludf.DUMMYFUNCTION("IMPORTRANGE(""https://docs.google.com/spreadsheets/d/1oPTPmoJ9phtMOkp-nMB7WHnPESomLzqUj9t0gcE9bYA"",""Current Region!E2:E130"")"),192.0)</f>
        <v>192</v>
      </c>
      <c r="C2" s="3" t="s">
        <v>64</v>
      </c>
      <c r="D2" s="3" t="s">
        <v>26</v>
      </c>
      <c r="E2" s="3" t="s">
        <v>26</v>
      </c>
      <c r="F2" s="3" t="s">
        <v>26</v>
      </c>
      <c r="G2" s="3" t="s">
        <v>26</v>
      </c>
      <c r="H2" s="3" t="s">
        <v>26</v>
      </c>
      <c r="I2" s="3" t="s">
        <v>26</v>
      </c>
      <c r="J2" s="26" t="s">
        <v>26</v>
      </c>
      <c r="K2" s="26" t="s">
        <v>26</v>
      </c>
      <c r="L2" s="3" t="s">
        <v>26</v>
      </c>
      <c r="M2" s="3" t="s">
        <v>26</v>
      </c>
      <c r="N2" s="3" t="s">
        <v>26</v>
      </c>
      <c r="O2" s="3" t="s">
        <v>26</v>
      </c>
      <c r="P2" s="3" t="s">
        <v>26</v>
      </c>
      <c r="Q2" s="3" t="s">
        <v>26</v>
      </c>
      <c r="R2" s="3" t="s">
        <v>26</v>
      </c>
      <c r="S2" s="3" t="s">
        <v>26</v>
      </c>
      <c r="T2" s="27" t="s">
        <v>26</v>
      </c>
      <c r="U2" s="27" t="s">
        <v>26</v>
      </c>
      <c r="V2" s="27" t="s">
        <v>26</v>
      </c>
      <c r="W2" s="28" t="s">
        <v>26</v>
      </c>
      <c r="X2" s="28" t="s">
        <v>26</v>
      </c>
    </row>
    <row r="3">
      <c r="A3" s="8">
        <v>40210.0</v>
      </c>
      <c r="B3" s="9">
        <f>IFERROR(__xludf.DUMMYFUNCTION("""COMPUTED_VALUE"""),388.0)</f>
        <v>388</v>
      </c>
      <c r="C3" s="3" t="s">
        <v>65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26" t="s">
        <v>26</v>
      </c>
      <c r="K3" s="26" t="s">
        <v>26</v>
      </c>
      <c r="L3" s="3" t="s">
        <v>26</v>
      </c>
      <c r="M3" s="3" t="s">
        <v>26</v>
      </c>
      <c r="N3" s="3" t="s">
        <v>26</v>
      </c>
      <c r="O3" s="3" t="s">
        <v>26</v>
      </c>
      <c r="P3" s="3" t="s">
        <v>26</v>
      </c>
      <c r="Q3" s="3" t="s">
        <v>26</v>
      </c>
      <c r="R3" s="3" t="s">
        <v>26</v>
      </c>
      <c r="S3" s="3" t="s">
        <v>26</v>
      </c>
      <c r="T3" s="27" t="s">
        <v>26</v>
      </c>
      <c r="U3" s="27" t="s">
        <v>26</v>
      </c>
      <c r="V3" s="27" t="s">
        <v>26</v>
      </c>
      <c r="W3" s="28" t="s">
        <v>26</v>
      </c>
      <c r="X3" s="28" t="s">
        <v>26</v>
      </c>
    </row>
    <row r="4">
      <c r="A4" s="8">
        <v>40238.0</v>
      </c>
      <c r="B4" s="9">
        <f>IFERROR(__xludf.DUMMYFUNCTION("""COMPUTED_VALUE"""),223.0)</f>
        <v>223</v>
      </c>
      <c r="C4" s="3" t="s">
        <v>66</v>
      </c>
      <c r="D4" s="3" t="s">
        <v>26</v>
      </c>
      <c r="E4" s="3" t="s">
        <v>26</v>
      </c>
      <c r="F4" s="3" t="s">
        <v>26</v>
      </c>
      <c r="G4" s="3" t="s">
        <v>26</v>
      </c>
      <c r="H4" s="3" t="s">
        <v>26</v>
      </c>
      <c r="I4" s="3" t="s">
        <v>26</v>
      </c>
      <c r="J4" s="26" t="s">
        <v>26</v>
      </c>
      <c r="K4" s="26" t="s">
        <v>26</v>
      </c>
      <c r="L4" s="3" t="s">
        <v>26</v>
      </c>
      <c r="M4" s="3" t="s">
        <v>26</v>
      </c>
      <c r="N4" s="3" t="s">
        <v>26</v>
      </c>
      <c r="O4" s="3" t="s">
        <v>26</v>
      </c>
      <c r="P4" s="3" t="s">
        <v>26</v>
      </c>
      <c r="Q4" s="3" t="s">
        <v>26</v>
      </c>
      <c r="R4" s="3" t="s">
        <v>26</v>
      </c>
      <c r="S4" s="3" t="s">
        <v>26</v>
      </c>
      <c r="T4" s="27" t="s">
        <v>26</v>
      </c>
      <c r="U4" s="27" t="s">
        <v>26</v>
      </c>
      <c r="V4" s="27" t="s">
        <v>26</v>
      </c>
      <c r="W4" s="28" t="s">
        <v>26</v>
      </c>
      <c r="X4" s="28" t="s">
        <v>26</v>
      </c>
    </row>
    <row r="5">
      <c r="A5" s="8">
        <v>40269.0</v>
      </c>
      <c r="B5" s="9">
        <f>IFERROR(__xludf.DUMMYFUNCTION("""COMPUTED_VALUE"""),242.0)</f>
        <v>242</v>
      </c>
      <c r="C5" s="3" t="s">
        <v>67</v>
      </c>
      <c r="D5" s="3" t="s">
        <v>26</v>
      </c>
      <c r="E5" s="3" t="s">
        <v>26</v>
      </c>
      <c r="F5" s="3" t="s">
        <v>26</v>
      </c>
      <c r="G5" s="3" t="s">
        <v>26</v>
      </c>
      <c r="H5" s="3" t="s">
        <v>26</v>
      </c>
      <c r="I5" s="3" t="s">
        <v>26</v>
      </c>
      <c r="J5" s="26" t="s">
        <v>26</v>
      </c>
      <c r="K5" s="26" t="s">
        <v>26</v>
      </c>
      <c r="L5" s="3" t="s">
        <v>26</v>
      </c>
      <c r="M5" s="3" t="s">
        <v>26</v>
      </c>
      <c r="N5" s="3" t="s">
        <v>26</v>
      </c>
      <c r="O5" s="3" t="s">
        <v>26</v>
      </c>
      <c r="P5" s="3" t="s">
        <v>26</v>
      </c>
      <c r="Q5" s="3" t="s">
        <v>26</v>
      </c>
      <c r="R5" s="3" t="s">
        <v>26</v>
      </c>
      <c r="S5" s="3" t="s">
        <v>26</v>
      </c>
      <c r="T5" s="27" t="s">
        <v>26</v>
      </c>
      <c r="U5" s="27" t="s">
        <v>26</v>
      </c>
      <c r="V5" s="27" t="s">
        <v>26</v>
      </c>
      <c r="W5" s="28" t="s">
        <v>26</v>
      </c>
      <c r="X5" s="28" t="s">
        <v>26</v>
      </c>
    </row>
    <row r="6">
      <c r="A6" s="8">
        <v>40299.0</v>
      </c>
      <c r="B6" s="9">
        <f>IFERROR(__xludf.DUMMYFUNCTION("""COMPUTED_VALUE"""),495.0)</f>
        <v>495</v>
      </c>
      <c r="C6" s="3" t="s">
        <v>68</v>
      </c>
      <c r="D6" s="3" t="s">
        <v>26</v>
      </c>
      <c r="E6" s="3" t="s">
        <v>26</v>
      </c>
      <c r="F6" s="3" t="s">
        <v>26</v>
      </c>
      <c r="G6" s="3" t="s">
        <v>26</v>
      </c>
      <c r="H6" s="3" t="s">
        <v>26</v>
      </c>
      <c r="I6" s="3" t="s">
        <v>26</v>
      </c>
      <c r="J6" s="26" t="s">
        <v>26</v>
      </c>
      <c r="K6" s="26" t="s">
        <v>26</v>
      </c>
      <c r="L6" s="3" t="s">
        <v>26</v>
      </c>
      <c r="M6" s="3" t="s">
        <v>26</v>
      </c>
      <c r="N6" s="3" t="s">
        <v>26</v>
      </c>
      <c r="O6" s="3" t="s">
        <v>26</v>
      </c>
      <c r="P6" s="3" t="s">
        <v>26</v>
      </c>
      <c r="Q6" s="3" t="s">
        <v>26</v>
      </c>
      <c r="R6" s="3" t="s">
        <v>26</v>
      </c>
      <c r="S6" s="3" t="s">
        <v>26</v>
      </c>
      <c r="T6" s="27" t="s">
        <v>26</v>
      </c>
      <c r="U6" s="27" t="s">
        <v>26</v>
      </c>
      <c r="V6" s="27" t="s">
        <v>26</v>
      </c>
      <c r="W6" s="28" t="s">
        <v>26</v>
      </c>
      <c r="X6" s="28" t="s">
        <v>26</v>
      </c>
    </row>
    <row r="7">
      <c r="A7" s="8">
        <v>40330.0</v>
      </c>
      <c r="B7" s="9">
        <f>IFERROR(__xludf.DUMMYFUNCTION("""COMPUTED_VALUE"""),296.0)</f>
        <v>296</v>
      </c>
      <c r="C7" s="3" t="s">
        <v>69</v>
      </c>
      <c r="D7" s="3" t="s">
        <v>26</v>
      </c>
      <c r="E7" s="3" t="s">
        <v>26</v>
      </c>
      <c r="F7" s="3" t="s">
        <v>26</v>
      </c>
      <c r="G7" s="3" t="s">
        <v>26</v>
      </c>
      <c r="H7" s="3" t="s">
        <v>26</v>
      </c>
      <c r="I7" s="3" t="s">
        <v>26</v>
      </c>
      <c r="J7" s="26" t="s">
        <v>26</v>
      </c>
      <c r="K7" s="26" t="s">
        <v>26</v>
      </c>
      <c r="L7" s="3" t="s">
        <v>26</v>
      </c>
      <c r="M7" s="3" t="s">
        <v>26</v>
      </c>
      <c r="N7" s="3" t="s">
        <v>26</v>
      </c>
      <c r="O7" s="3" t="s">
        <v>26</v>
      </c>
      <c r="P7" s="3" t="s">
        <v>26</v>
      </c>
      <c r="Q7" s="3" t="s">
        <v>26</v>
      </c>
      <c r="R7" s="3" t="s">
        <v>26</v>
      </c>
      <c r="S7" s="3" t="s">
        <v>26</v>
      </c>
      <c r="T7" s="27" t="s">
        <v>26</v>
      </c>
      <c r="U7" s="27" t="s">
        <v>26</v>
      </c>
      <c r="V7" s="27" t="s">
        <v>26</v>
      </c>
      <c r="W7" s="28" t="s">
        <v>26</v>
      </c>
      <c r="X7" s="28" t="s">
        <v>26</v>
      </c>
    </row>
    <row r="8">
      <c r="A8" s="8">
        <v>40360.0</v>
      </c>
      <c r="B8" s="9">
        <f>IFERROR(__xludf.DUMMYFUNCTION("""COMPUTED_VALUE"""),257.0)</f>
        <v>257</v>
      </c>
      <c r="C8" s="3" t="s">
        <v>70</v>
      </c>
      <c r="D8" s="3" t="s">
        <v>26</v>
      </c>
      <c r="E8" s="3" t="s">
        <v>26</v>
      </c>
      <c r="F8" s="3" t="s">
        <v>26</v>
      </c>
      <c r="G8" s="3" t="s">
        <v>26</v>
      </c>
      <c r="H8" s="3" t="s">
        <v>26</v>
      </c>
      <c r="I8" s="3" t="s">
        <v>26</v>
      </c>
      <c r="J8" s="26" t="s">
        <v>26</v>
      </c>
      <c r="K8" s="26" t="s">
        <v>26</v>
      </c>
      <c r="L8" s="3" t="s">
        <v>26</v>
      </c>
      <c r="M8" s="3" t="s">
        <v>26</v>
      </c>
      <c r="N8" s="3" t="s">
        <v>26</v>
      </c>
      <c r="O8" s="3" t="s">
        <v>26</v>
      </c>
      <c r="P8" s="3" t="s">
        <v>26</v>
      </c>
      <c r="Q8" s="3" t="s">
        <v>26</v>
      </c>
      <c r="R8" s="3" t="s">
        <v>26</v>
      </c>
      <c r="S8" s="3" t="s">
        <v>26</v>
      </c>
      <c r="T8" s="27" t="s">
        <v>26</v>
      </c>
      <c r="U8" s="27" t="s">
        <v>26</v>
      </c>
      <c r="V8" s="27" t="s">
        <v>26</v>
      </c>
      <c r="W8" s="28" t="s">
        <v>26</v>
      </c>
      <c r="X8" s="28" t="s">
        <v>26</v>
      </c>
    </row>
    <row r="9">
      <c r="A9" s="8">
        <v>40391.0</v>
      </c>
      <c r="B9" s="9">
        <f>IFERROR(__xludf.DUMMYFUNCTION("""COMPUTED_VALUE"""),208.0)</f>
        <v>208</v>
      </c>
      <c r="C9" s="3" t="s">
        <v>71</v>
      </c>
      <c r="D9" s="3" t="s">
        <v>26</v>
      </c>
      <c r="E9" s="3" t="s">
        <v>26</v>
      </c>
      <c r="F9" s="3" t="s">
        <v>26</v>
      </c>
      <c r="G9" s="3" t="s">
        <v>26</v>
      </c>
      <c r="H9" s="3" t="s">
        <v>26</v>
      </c>
      <c r="I9" s="3" t="s">
        <v>26</v>
      </c>
      <c r="J9" s="26" t="s">
        <v>26</v>
      </c>
      <c r="K9" s="26" t="s">
        <v>26</v>
      </c>
      <c r="L9" s="3" t="s">
        <v>26</v>
      </c>
      <c r="M9" s="3" t="s">
        <v>26</v>
      </c>
      <c r="N9" s="3" t="s">
        <v>26</v>
      </c>
      <c r="O9" s="3" t="s">
        <v>26</v>
      </c>
      <c r="P9" s="3" t="s">
        <v>26</v>
      </c>
      <c r="Q9" s="3" t="s">
        <v>26</v>
      </c>
      <c r="R9" s="3" t="s">
        <v>26</v>
      </c>
      <c r="S9" s="3" t="s">
        <v>26</v>
      </c>
      <c r="T9" s="27" t="s">
        <v>26</v>
      </c>
      <c r="U9" s="27" t="s">
        <v>26</v>
      </c>
      <c r="V9" s="27" t="s">
        <v>26</v>
      </c>
      <c r="W9" s="28" t="s">
        <v>26</v>
      </c>
      <c r="X9" s="28" t="s">
        <v>26</v>
      </c>
    </row>
    <row r="10">
      <c r="A10" s="8">
        <v>40422.0</v>
      </c>
      <c r="B10" s="9">
        <f>IFERROR(__xludf.DUMMYFUNCTION("""COMPUTED_VALUE"""),1067.0)</f>
        <v>1067</v>
      </c>
      <c r="C10" s="3" t="s">
        <v>72</v>
      </c>
      <c r="D10" s="3" t="s">
        <v>26</v>
      </c>
      <c r="E10" s="3" t="s">
        <v>26</v>
      </c>
      <c r="F10" s="3" t="s">
        <v>26</v>
      </c>
      <c r="G10" s="3" t="s">
        <v>26</v>
      </c>
      <c r="H10" s="3" t="s">
        <v>26</v>
      </c>
      <c r="I10" s="3" t="s">
        <v>26</v>
      </c>
      <c r="J10" s="26" t="s">
        <v>26</v>
      </c>
      <c r="K10" s="26" t="s">
        <v>26</v>
      </c>
      <c r="L10" s="3" t="s">
        <v>26</v>
      </c>
      <c r="M10" s="3" t="s">
        <v>26</v>
      </c>
      <c r="N10" s="3" t="s">
        <v>26</v>
      </c>
      <c r="O10" s="3" t="s">
        <v>26</v>
      </c>
      <c r="P10" s="3" t="s">
        <v>26</v>
      </c>
      <c r="Q10" s="3" t="s">
        <v>26</v>
      </c>
      <c r="R10" s="3" t="s">
        <v>26</v>
      </c>
      <c r="S10" s="3" t="s">
        <v>26</v>
      </c>
      <c r="T10" s="27" t="s">
        <v>26</v>
      </c>
      <c r="U10" s="27" t="s">
        <v>26</v>
      </c>
      <c r="V10" s="27" t="s">
        <v>26</v>
      </c>
      <c r="W10" s="28" t="s">
        <v>26</v>
      </c>
      <c r="X10" s="28" t="s">
        <v>26</v>
      </c>
    </row>
    <row r="11">
      <c r="A11" s="8">
        <v>40452.0</v>
      </c>
      <c r="B11" s="9">
        <f>IFERROR(__xludf.DUMMYFUNCTION("""COMPUTED_VALUE"""),533.0)</f>
        <v>533</v>
      </c>
      <c r="C11" s="3" t="s">
        <v>73</v>
      </c>
      <c r="D11" s="3" t="s">
        <v>26</v>
      </c>
      <c r="E11" s="3" t="s">
        <v>26</v>
      </c>
      <c r="F11" s="3" t="s">
        <v>26</v>
      </c>
      <c r="G11" s="3" t="s">
        <v>26</v>
      </c>
      <c r="H11" s="3" t="s">
        <v>26</v>
      </c>
      <c r="I11" s="3" t="s">
        <v>26</v>
      </c>
      <c r="J11" s="26" t="s">
        <v>26</v>
      </c>
      <c r="K11" s="26" t="s">
        <v>26</v>
      </c>
      <c r="L11" s="3" t="s">
        <v>26</v>
      </c>
      <c r="M11" s="3" t="s">
        <v>26</v>
      </c>
      <c r="N11" s="3" t="s">
        <v>26</v>
      </c>
      <c r="O11" s="3" t="s">
        <v>26</v>
      </c>
      <c r="P11" s="3" t="s">
        <v>26</v>
      </c>
      <c r="Q11" s="3" t="s">
        <v>26</v>
      </c>
      <c r="R11" s="3" t="s">
        <v>26</v>
      </c>
      <c r="S11" s="3" t="s">
        <v>26</v>
      </c>
      <c r="T11" s="27" t="s">
        <v>26</v>
      </c>
      <c r="U11" s="27" t="s">
        <v>26</v>
      </c>
      <c r="V11" s="27" t="s">
        <v>26</v>
      </c>
      <c r="W11" s="28" t="s">
        <v>26</v>
      </c>
      <c r="X11" s="28" t="s">
        <v>26</v>
      </c>
    </row>
    <row r="12">
      <c r="A12" s="8">
        <v>40483.0</v>
      </c>
      <c r="B12" s="9">
        <f>IFERROR(__xludf.DUMMYFUNCTION("""COMPUTED_VALUE"""),823.0)</f>
        <v>823</v>
      </c>
      <c r="C12" s="3" t="s">
        <v>74</v>
      </c>
      <c r="D12" s="3" t="s">
        <v>26</v>
      </c>
      <c r="E12" s="3" t="s">
        <v>26</v>
      </c>
      <c r="F12" s="3" t="s">
        <v>26</v>
      </c>
      <c r="G12" s="3" t="s">
        <v>26</v>
      </c>
      <c r="H12" s="3" t="s">
        <v>26</v>
      </c>
      <c r="I12" s="3" t="s">
        <v>26</v>
      </c>
      <c r="J12" s="26" t="s">
        <v>26</v>
      </c>
      <c r="K12" s="26" t="s">
        <v>26</v>
      </c>
      <c r="L12" s="3" t="s">
        <v>26</v>
      </c>
      <c r="M12" s="3" t="s">
        <v>26</v>
      </c>
      <c r="N12" s="3" t="s">
        <v>26</v>
      </c>
      <c r="O12" s="3" t="s">
        <v>26</v>
      </c>
      <c r="P12" s="3" t="s">
        <v>26</v>
      </c>
      <c r="Q12" s="3" t="s">
        <v>26</v>
      </c>
      <c r="R12" s="3" t="s">
        <v>26</v>
      </c>
      <c r="S12" s="3" t="s">
        <v>26</v>
      </c>
      <c r="T12" s="27" t="s">
        <v>26</v>
      </c>
      <c r="U12" s="27" t="s">
        <v>26</v>
      </c>
      <c r="V12" s="27" t="s">
        <v>26</v>
      </c>
      <c r="W12" s="28" t="s">
        <v>26</v>
      </c>
      <c r="X12" s="28" t="s">
        <v>26</v>
      </c>
    </row>
    <row r="13">
      <c r="A13" s="8">
        <v>40513.0</v>
      </c>
      <c r="B13" s="9">
        <f>IFERROR(__xludf.DUMMYFUNCTION("""COMPUTED_VALUE"""),487.0)</f>
        <v>487</v>
      </c>
      <c r="C13" s="3" t="s">
        <v>75</v>
      </c>
      <c r="D13" s="3" t="s">
        <v>26</v>
      </c>
      <c r="E13" s="3" t="s">
        <v>26</v>
      </c>
      <c r="F13" s="3" t="s">
        <v>26</v>
      </c>
      <c r="G13" s="3" t="s">
        <v>26</v>
      </c>
      <c r="H13" s="3" t="s">
        <v>26</v>
      </c>
      <c r="I13" s="3" t="s">
        <v>26</v>
      </c>
      <c r="J13" s="26" t="s">
        <v>26</v>
      </c>
      <c r="K13" s="26" t="s">
        <v>26</v>
      </c>
      <c r="L13" s="3" t="s">
        <v>26</v>
      </c>
      <c r="M13" s="3" t="s">
        <v>26</v>
      </c>
      <c r="N13" s="3" t="s">
        <v>26</v>
      </c>
      <c r="O13" s="3" t="s">
        <v>26</v>
      </c>
      <c r="P13" s="3" t="s">
        <v>26</v>
      </c>
      <c r="Q13" s="3" t="s">
        <v>26</v>
      </c>
      <c r="R13" s="3" t="s">
        <v>26</v>
      </c>
      <c r="S13" s="3" t="s">
        <v>26</v>
      </c>
      <c r="T13" s="27" t="s">
        <v>26</v>
      </c>
      <c r="U13" s="27" t="s">
        <v>26</v>
      </c>
      <c r="V13" s="27" t="s">
        <v>26</v>
      </c>
      <c r="W13" s="28" t="s">
        <v>26</v>
      </c>
      <c r="X13" s="28" t="s">
        <v>26</v>
      </c>
    </row>
    <row r="14">
      <c r="A14" s="8">
        <v>40544.0</v>
      </c>
      <c r="B14" s="9">
        <f>IFERROR(__xludf.DUMMYFUNCTION("""COMPUTED_VALUE"""),191.0)</f>
        <v>191</v>
      </c>
      <c r="C14" s="3" t="s">
        <v>76</v>
      </c>
      <c r="D14" s="3" t="s">
        <v>26</v>
      </c>
      <c r="E14" s="3" t="s">
        <v>26</v>
      </c>
      <c r="F14" s="3" t="s">
        <v>26</v>
      </c>
      <c r="G14" s="3" t="s">
        <v>26</v>
      </c>
      <c r="H14" s="3" t="s">
        <v>26</v>
      </c>
      <c r="I14" s="3" t="s">
        <v>26</v>
      </c>
      <c r="J14" s="26" t="s">
        <v>26</v>
      </c>
      <c r="K14" s="26" t="s">
        <v>26</v>
      </c>
      <c r="L14" s="3" t="s">
        <v>26</v>
      </c>
      <c r="M14" s="3" t="s">
        <v>26</v>
      </c>
      <c r="N14" s="3" t="s">
        <v>26</v>
      </c>
      <c r="O14" s="3" t="s">
        <v>26</v>
      </c>
      <c r="P14" s="3" t="s">
        <v>26</v>
      </c>
      <c r="Q14" s="3" t="s">
        <v>26</v>
      </c>
      <c r="R14" s="3" t="s">
        <v>26</v>
      </c>
      <c r="S14" s="3" t="s">
        <v>26</v>
      </c>
      <c r="T14" s="27" t="s">
        <v>26</v>
      </c>
      <c r="U14" s="27" t="s">
        <v>26</v>
      </c>
      <c r="V14" s="27" t="s">
        <v>26</v>
      </c>
      <c r="W14" s="28" t="s">
        <v>26</v>
      </c>
      <c r="X14" s="28" t="s">
        <v>26</v>
      </c>
    </row>
    <row r="15">
      <c r="A15" s="8">
        <v>40575.0</v>
      </c>
      <c r="B15" s="9">
        <f>IFERROR(__xludf.DUMMYFUNCTION("""COMPUTED_VALUE"""),1225.0)</f>
        <v>1225</v>
      </c>
      <c r="C15" s="3" t="s">
        <v>77</v>
      </c>
      <c r="D15" s="3" t="s">
        <v>26</v>
      </c>
      <c r="E15" s="3" t="s">
        <v>26</v>
      </c>
      <c r="F15" s="3" t="s">
        <v>26</v>
      </c>
      <c r="G15" s="3" t="s">
        <v>26</v>
      </c>
      <c r="H15" s="3" t="s">
        <v>26</v>
      </c>
      <c r="I15" s="3" t="s">
        <v>26</v>
      </c>
      <c r="J15" s="26" t="s">
        <v>26</v>
      </c>
      <c r="K15" s="26" t="s">
        <v>26</v>
      </c>
      <c r="L15" s="3" t="s">
        <v>26</v>
      </c>
      <c r="M15" s="3" t="s">
        <v>26</v>
      </c>
      <c r="N15" s="3" t="s">
        <v>26</v>
      </c>
      <c r="O15" s="3" t="s">
        <v>26</v>
      </c>
      <c r="P15" s="3" t="s">
        <v>26</v>
      </c>
      <c r="Q15" s="3" t="s">
        <v>26</v>
      </c>
      <c r="R15" s="3" t="s">
        <v>26</v>
      </c>
      <c r="S15" s="3" t="s">
        <v>26</v>
      </c>
      <c r="T15" s="27" t="s">
        <v>26</v>
      </c>
      <c r="U15" s="27" t="s">
        <v>26</v>
      </c>
      <c r="V15" s="27" t="s">
        <v>26</v>
      </c>
      <c r="W15" s="28" t="s">
        <v>26</v>
      </c>
      <c r="X15" s="28" t="s">
        <v>26</v>
      </c>
    </row>
    <row r="16">
      <c r="A16" s="8">
        <v>40603.0</v>
      </c>
      <c r="B16" s="9">
        <f>IFERROR(__xludf.DUMMYFUNCTION("""COMPUTED_VALUE"""),619.0)</f>
        <v>619</v>
      </c>
      <c r="C16" s="3" t="s">
        <v>78</v>
      </c>
      <c r="D16" s="3" t="s">
        <v>26</v>
      </c>
      <c r="E16" s="3" t="s">
        <v>26</v>
      </c>
      <c r="F16" s="3" t="s">
        <v>26</v>
      </c>
      <c r="G16" s="3" t="s">
        <v>26</v>
      </c>
      <c r="H16" s="3" t="s">
        <v>26</v>
      </c>
      <c r="I16" s="3" t="s">
        <v>26</v>
      </c>
      <c r="J16" s="26" t="s">
        <v>26</v>
      </c>
      <c r="K16" s="26" t="s">
        <v>26</v>
      </c>
      <c r="L16" s="3" t="s">
        <v>26</v>
      </c>
      <c r="M16" s="3" t="s">
        <v>26</v>
      </c>
      <c r="N16" s="3" t="s">
        <v>26</v>
      </c>
      <c r="O16" s="3" t="s">
        <v>26</v>
      </c>
      <c r="P16" s="3" t="s">
        <v>26</v>
      </c>
      <c r="Q16" s="3" t="s">
        <v>26</v>
      </c>
      <c r="R16" s="3" t="s">
        <v>26</v>
      </c>
      <c r="S16" s="3" t="s">
        <v>26</v>
      </c>
      <c r="T16" s="27" t="s">
        <v>26</v>
      </c>
      <c r="U16" s="27" t="s">
        <v>26</v>
      </c>
      <c r="V16" s="27" t="s">
        <v>26</v>
      </c>
      <c r="W16" s="28" t="s">
        <v>26</v>
      </c>
      <c r="X16" s="28" t="s">
        <v>26</v>
      </c>
    </row>
    <row r="17">
      <c r="A17" s="8">
        <v>40634.0</v>
      </c>
      <c r="B17" s="9">
        <f>IFERROR(__xludf.DUMMYFUNCTION("""COMPUTED_VALUE"""),556.0)</f>
        <v>556</v>
      </c>
      <c r="C17" s="3" t="s">
        <v>79</v>
      </c>
      <c r="D17" s="3" t="s">
        <v>26</v>
      </c>
      <c r="E17" s="3" t="s">
        <v>26</v>
      </c>
      <c r="F17" s="3" t="s">
        <v>26</v>
      </c>
      <c r="G17" s="3" t="s">
        <v>26</v>
      </c>
      <c r="H17" s="3" t="s">
        <v>26</v>
      </c>
      <c r="I17" s="3" t="s">
        <v>26</v>
      </c>
      <c r="J17" s="26" t="s">
        <v>26</v>
      </c>
      <c r="K17" s="26" t="s">
        <v>26</v>
      </c>
      <c r="L17" s="3" t="s">
        <v>26</v>
      </c>
      <c r="M17" s="3" t="s">
        <v>26</v>
      </c>
      <c r="N17" s="3" t="s">
        <v>26</v>
      </c>
      <c r="O17" s="3" t="s">
        <v>26</v>
      </c>
      <c r="P17" s="3" t="s">
        <v>26</v>
      </c>
      <c r="Q17" s="3" t="s">
        <v>26</v>
      </c>
      <c r="R17" s="3" t="s">
        <v>26</v>
      </c>
      <c r="S17" s="3" t="s">
        <v>26</v>
      </c>
      <c r="T17" s="27" t="s">
        <v>26</v>
      </c>
      <c r="U17" s="27" t="s">
        <v>26</v>
      </c>
      <c r="V17" s="27" t="s">
        <v>26</v>
      </c>
      <c r="W17" s="28" t="s">
        <v>26</v>
      </c>
      <c r="X17" s="28" t="s">
        <v>26</v>
      </c>
    </row>
    <row r="18">
      <c r="A18" s="8">
        <v>40664.0</v>
      </c>
      <c r="B18" s="9">
        <f>IFERROR(__xludf.DUMMYFUNCTION("""COMPUTED_VALUE"""),383.0)</f>
        <v>383</v>
      </c>
      <c r="C18" s="3" t="s">
        <v>80</v>
      </c>
      <c r="D18" s="3" t="s">
        <v>26</v>
      </c>
      <c r="E18" s="3" t="s">
        <v>26</v>
      </c>
      <c r="F18" s="3" t="s">
        <v>26</v>
      </c>
      <c r="G18" s="3" t="s">
        <v>26</v>
      </c>
      <c r="H18" s="3" t="s">
        <v>26</v>
      </c>
      <c r="I18" s="3" t="s">
        <v>26</v>
      </c>
      <c r="J18" s="26" t="s">
        <v>26</v>
      </c>
      <c r="K18" s="26" t="s">
        <v>26</v>
      </c>
      <c r="L18" s="3" t="s">
        <v>26</v>
      </c>
      <c r="M18" s="3" t="s">
        <v>26</v>
      </c>
      <c r="N18" s="3" t="s">
        <v>26</v>
      </c>
      <c r="O18" s="3" t="s">
        <v>26</v>
      </c>
      <c r="P18" s="3" t="s">
        <v>26</v>
      </c>
      <c r="Q18" s="3" t="s">
        <v>26</v>
      </c>
      <c r="R18" s="3" t="s">
        <v>26</v>
      </c>
      <c r="S18" s="3" t="s">
        <v>26</v>
      </c>
      <c r="T18" s="27" t="s">
        <v>26</v>
      </c>
      <c r="U18" s="27" t="s">
        <v>26</v>
      </c>
      <c r="V18" s="27" t="s">
        <v>26</v>
      </c>
      <c r="W18" s="28" t="s">
        <v>26</v>
      </c>
      <c r="X18" s="28" t="s">
        <v>26</v>
      </c>
    </row>
    <row r="19">
      <c r="A19" s="8">
        <v>40695.0</v>
      </c>
      <c r="B19" s="9">
        <f>IFERROR(__xludf.DUMMYFUNCTION("""COMPUTED_VALUE"""),504.0)</f>
        <v>504</v>
      </c>
      <c r="C19" s="3" t="s">
        <v>81</v>
      </c>
      <c r="D19" s="3" t="s">
        <v>26</v>
      </c>
      <c r="E19" s="3" t="s">
        <v>26</v>
      </c>
      <c r="F19" s="3" t="s">
        <v>26</v>
      </c>
      <c r="G19" s="3" t="s">
        <v>26</v>
      </c>
      <c r="H19" s="3" t="s">
        <v>26</v>
      </c>
      <c r="I19" s="3" t="s">
        <v>26</v>
      </c>
      <c r="J19" s="26" t="s">
        <v>26</v>
      </c>
      <c r="K19" s="26" t="s">
        <v>26</v>
      </c>
      <c r="L19" s="3" t="s">
        <v>26</v>
      </c>
      <c r="M19" s="3" t="s">
        <v>26</v>
      </c>
      <c r="N19" s="3" t="s">
        <v>26</v>
      </c>
      <c r="O19" s="3" t="s">
        <v>26</v>
      </c>
      <c r="P19" s="3" t="s">
        <v>26</v>
      </c>
      <c r="Q19" s="3" t="s">
        <v>26</v>
      </c>
      <c r="R19" s="3" t="s">
        <v>26</v>
      </c>
      <c r="S19" s="3" t="s">
        <v>26</v>
      </c>
      <c r="T19" s="27" t="s">
        <v>26</v>
      </c>
      <c r="U19" s="27" t="s">
        <v>26</v>
      </c>
      <c r="V19" s="27" t="s">
        <v>26</v>
      </c>
      <c r="W19" s="28" t="s">
        <v>26</v>
      </c>
      <c r="X19" s="28" t="s">
        <v>26</v>
      </c>
    </row>
    <row r="20">
      <c r="A20" s="8">
        <v>40725.0</v>
      </c>
      <c r="B20" s="9">
        <f>IFERROR(__xludf.DUMMYFUNCTION("""COMPUTED_VALUE"""),1389.0)</f>
        <v>1389</v>
      </c>
      <c r="C20" s="3" t="s">
        <v>82</v>
      </c>
      <c r="D20" s="3" t="s">
        <v>26</v>
      </c>
      <c r="E20" s="3" t="s">
        <v>26</v>
      </c>
      <c r="F20" s="3" t="s">
        <v>26</v>
      </c>
      <c r="G20" s="3" t="s">
        <v>26</v>
      </c>
      <c r="H20" s="3" t="s">
        <v>26</v>
      </c>
      <c r="I20" s="3" t="s">
        <v>26</v>
      </c>
      <c r="J20" s="26" t="s">
        <v>26</v>
      </c>
      <c r="K20" s="26" t="s">
        <v>26</v>
      </c>
      <c r="L20" s="3" t="s">
        <v>26</v>
      </c>
      <c r="M20" s="3" t="s">
        <v>26</v>
      </c>
      <c r="N20" s="3" t="s">
        <v>26</v>
      </c>
      <c r="O20" s="3" t="s">
        <v>26</v>
      </c>
      <c r="P20" s="3" t="s">
        <v>26</v>
      </c>
      <c r="Q20" s="3" t="s">
        <v>26</v>
      </c>
      <c r="R20" s="3" t="s">
        <v>26</v>
      </c>
      <c r="S20" s="3" t="s">
        <v>26</v>
      </c>
      <c r="T20" s="27" t="s">
        <v>26</v>
      </c>
      <c r="U20" s="27" t="s">
        <v>26</v>
      </c>
      <c r="V20" s="27" t="s">
        <v>26</v>
      </c>
      <c r="W20" s="28" t="s">
        <v>26</v>
      </c>
      <c r="X20" s="28" t="s">
        <v>26</v>
      </c>
    </row>
    <row r="21">
      <c r="A21" s="8">
        <v>40756.0</v>
      </c>
      <c r="B21" s="9">
        <f>IFERROR(__xludf.DUMMYFUNCTION("""COMPUTED_VALUE"""),362.0)</f>
        <v>362</v>
      </c>
      <c r="C21" s="29" t="s">
        <v>64</v>
      </c>
      <c r="D21" s="29">
        <v>3752.58607411527</v>
      </c>
      <c r="E21" s="29">
        <v>440.097112553848</v>
      </c>
      <c r="F21" s="29">
        <v>133.0</v>
      </c>
      <c r="G21" s="29">
        <v>466.810167645568</v>
      </c>
      <c r="H21" s="29">
        <v>392.5</v>
      </c>
      <c r="I21" s="29">
        <v>322.94661939693</v>
      </c>
      <c r="J21" s="30">
        <v>659.388788325939</v>
      </c>
      <c r="K21" s="30">
        <v>487.0</v>
      </c>
      <c r="L21" s="29">
        <v>487.0</v>
      </c>
      <c r="M21" s="29">
        <v>1984.0</v>
      </c>
      <c r="N21" s="29">
        <v>356.632721754833</v>
      </c>
      <c r="O21" s="29">
        <v>466.810167645568</v>
      </c>
      <c r="P21" s="29">
        <v>396.13076348521</v>
      </c>
      <c r="Q21" s="29">
        <v>22.3248870604591</v>
      </c>
      <c r="R21" s="29">
        <v>487.0</v>
      </c>
      <c r="S21" s="29">
        <v>487.0</v>
      </c>
      <c r="T21" s="23">
        <v>459.5</v>
      </c>
      <c r="U21" s="23">
        <v>314.861198545025</v>
      </c>
      <c r="V21" s="23">
        <v>608.497311066742</v>
      </c>
      <c r="W21" s="24">
        <v>314.861198545025</v>
      </c>
      <c r="X21" s="24">
        <v>608.497311066742</v>
      </c>
    </row>
    <row r="22">
      <c r="A22" s="8">
        <v>40787.0</v>
      </c>
      <c r="B22" s="9">
        <f>IFERROR(__xludf.DUMMYFUNCTION("""COMPUTED_VALUE"""),485.0)</f>
        <v>485</v>
      </c>
      <c r="C22" s="29" t="s">
        <v>65</v>
      </c>
      <c r="D22" s="29">
        <v>6441.70849369318</v>
      </c>
      <c r="E22" s="29">
        <v>428.463279266033</v>
      </c>
      <c r="F22" s="29">
        <v>133.0</v>
      </c>
      <c r="G22" s="29">
        <v>457.101653659554</v>
      </c>
      <c r="H22" s="29">
        <v>499.5</v>
      </c>
      <c r="I22" s="29">
        <v>508.44661939693</v>
      </c>
      <c r="J22" s="30">
        <v>641.377066894824</v>
      </c>
      <c r="K22" s="30">
        <v>489.0</v>
      </c>
      <c r="L22" s="29">
        <v>673.32111657472</v>
      </c>
      <c r="M22" s="29">
        <v>1661.0</v>
      </c>
      <c r="N22" s="29">
        <v>461.502760146403</v>
      </c>
      <c r="O22" s="29">
        <v>457.101653659554</v>
      </c>
      <c r="P22" s="29">
        <v>239.762408146336</v>
      </c>
      <c r="Q22" s="29">
        <v>70.0124031226251</v>
      </c>
      <c r="R22" s="29">
        <v>490.0</v>
      </c>
      <c r="S22" s="29">
        <v>490.0</v>
      </c>
      <c r="T22" s="23">
        <v>490.0</v>
      </c>
      <c r="U22" s="23">
        <v>316.938838078801</v>
      </c>
      <c r="V22" s="23">
        <v>508.018419489538</v>
      </c>
      <c r="W22" s="24">
        <v>316.938838078801</v>
      </c>
      <c r="X22" s="24">
        <v>508.018419489538</v>
      </c>
    </row>
    <row r="23">
      <c r="A23" s="8">
        <v>40817.0</v>
      </c>
      <c r="B23" s="9">
        <f>IFERROR(__xludf.DUMMYFUNCTION("""COMPUTED_VALUE"""),376.0)</f>
        <v>376</v>
      </c>
      <c r="C23" s="29" t="s">
        <v>66</v>
      </c>
      <c r="D23" s="29">
        <v>6196.99416250687</v>
      </c>
      <c r="E23" s="29">
        <v>331.514668534239</v>
      </c>
      <c r="F23" s="29">
        <v>133.0</v>
      </c>
      <c r="G23" s="29">
        <v>550.222138401942</v>
      </c>
      <c r="H23" s="29">
        <v>515.5</v>
      </c>
      <c r="I23" s="29">
        <v>547.44661939693</v>
      </c>
      <c r="J23" s="26">
        <v>636.597599137391</v>
      </c>
      <c r="K23" s="30">
        <v>504.0</v>
      </c>
      <c r="L23" s="29">
        <v>537.770899627221</v>
      </c>
      <c r="M23" s="29">
        <v>1690.0</v>
      </c>
      <c r="N23" s="29">
        <v>359.615705626099</v>
      </c>
      <c r="O23" s="29">
        <v>550.222138401942</v>
      </c>
      <c r="P23" s="29">
        <v>379.299874470407</v>
      </c>
      <c r="Q23" s="29">
        <v>75.9005688465151</v>
      </c>
      <c r="R23" s="29">
        <v>499.0</v>
      </c>
      <c r="S23" s="29">
        <v>499.0</v>
      </c>
      <c r="T23" s="23">
        <v>499.0</v>
      </c>
      <c r="U23" s="23">
        <v>339.0</v>
      </c>
      <c r="V23" s="23" t="s">
        <v>26</v>
      </c>
      <c r="W23" s="24">
        <v>339.0</v>
      </c>
      <c r="X23" s="28" t="s">
        <v>26</v>
      </c>
    </row>
    <row r="24">
      <c r="A24" s="8">
        <v>40848.0</v>
      </c>
      <c r="B24" s="9">
        <f>IFERROR(__xludf.DUMMYFUNCTION("""COMPUTED_VALUE"""),420.0)</f>
        <v>420</v>
      </c>
      <c r="C24" s="29" t="s">
        <v>67</v>
      </c>
      <c r="D24" s="29">
        <v>6647.11891078667</v>
      </c>
      <c r="E24" s="29">
        <v>414.776416574486</v>
      </c>
      <c r="F24" s="29">
        <v>94.0</v>
      </c>
      <c r="G24" s="29">
        <v>482.604002144403</v>
      </c>
      <c r="H24" s="29">
        <v>545.75</v>
      </c>
      <c r="I24" s="29">
        <v>681.69661939693</v>
      </c>
      <c r="J24" s="26">
        <v>617.651229773484</v>
      </c>
      <c r="K24" s="30">
        <v>483.0</v>
      </c>
      <c r="L24" s="29">
        <v>971.790391501999</v>
      </c>
      <c r="M24" s="29">
        <v>610.0</v>
      </c>
      <c r="N24" s="29">
        <v>381.679650644565</v>
      </c>
      <c r="O24" s="29">
        <v>482.604002144403</v>
      </c>
      <c r="P24" s="29">
        <v>486.682639941551</v>
      </c>
      <c r="Q24" s="29">
        <v>369.3874000589</v>
      </c>
      <c r="R24" s="29">
        <v>478.0</v>
      </c>
      <c r="S24" s="29">
        <v>478.0</v>
      </c>
      <c r="T24" s="23">
        <v>478.0</v>
      </c>
      <c r="U24" s="23">
        <v>438.0</v>
      </c>
      <c r="V24" s="23" t="s">
        <v>26</v>
      </c>
      <c r="W24" s="24">
        <v>438.0</v>
      </c>
      <c r="X24" s="28" t="s">
        <v>26</v>
      </c>
    </row>
    <row r="25">
      <c r="A25" s="8">
        <v>40878.0</v>
      </c>
      <c r="B25" s="9">
        <f>IFERROR(__xludf.DUMMYFUNCTION("""COMPUTED_VALUE"""),614.0)</f>
        <v>614</v>
      </c>
      <c r="C25" s="29" t="s">
        <v>68</v>
      </c>
      <c r="D25" s="29">
        <v>3980.90006509995</v>
      </c>
      <c r="E25" s="29">
        <v>525.411889997827</v>
      </c>
      <c r="F25" s="29">
        <v>94.0</v>
      </c>
      <c r="G25" s="29">
        <v>537.559398414799</v>
      </c>
      <c r="H25" s="29">
        <v>570.75</v>
      </c>
      <c r="I25" s="29">
        <v>715.69661939693</v>
      </c>
      <c r="J25" s="26">
        <v>635.506468363079</v>
      </c>
      <c r="K25" s="30">
        <v>474.0</v>
      </c>
      <c r="L25" s="29">
        <v>478.0</v>
      </c>
      <c r="M25" s="29">
        <v>631.0</v>
      </c>
      <c r="N25" s="29">
        <v>599.013252264352</v>
      </c>
      <c r="O25" s="29">
        <v>537.559398414799</v>
      </c>
      <c r="P25" s="29">
        <v>715.124007591548</v>
      </c>
      <c r="Q25" s="29">
        <v>53.2867629128518</v>
      </c>
      <c r="R25" s="29">
        <v>478.0</v>
      </c>
      <c r="S25" s="29">
        <v>478.0</v>
      </c>
      <c r="T25" s="23">
        <v>499.0</v>
      </c>
      <c r="U25" s="23">
        <v>461.0</v>
      </c>
      <c r="V25" s="23" t="s">
        <v>26</v>
      </c>
      <c r="W25" s="24">
        <v>461.0</v>
      </c>
      <c r="X25" s="28" t="s">
        <v>26</v>
      </c>
    </row>
    <row r="26">
      <c r="A26" s="8">
        <v>40909.0</v>
      </c>
      <c r="B26" s="9">
        <f>IFERROR(__xludf.DUMMYFUNCTION("""COMPUTED_VALUE"""),642.0)</f>
        <v>642</v>
      </c>
      <c r="C26" s="29" t="s">
        <v>69</v>
      </c>
      <c r="D26" s="29">
        <v>5178.65102843801</v>
      </c>
      <c r="E26" s="29">
        <v>430.744423047958</v>
      </c>
      <c r="F26" s="29">
        <v>132.0</v>
      </c>
      <c r="G26" s="29">
        <v>510.79275554766</v>
      </c>
      <c r="H26" s="29">
        <v>577.25</v>
      </c>
      <c r="I26" s="29">
        <v>635.19661939693</v>
      </c>
      <c r="J26" s="30">
        <v>576.772148726956</v>
      </c>
      <c r="K26" s="30">
        <v>499.0</v>
      </c>
      <c r="L26" s="29">
        <v>478.0</v>
      </c>
      <c r="M26" s="29">
        <v>1573.0</v>
      </c>
      <c r="N26" s="29">
        <v>598.084022363507</v>
      </c>
      <c r="O26" s="29">
        <v>510.79275554766</v>
      </c>
      <c r="P26" s="29">
        <v>421.498807751786</v>
      </c>
      <c r="Q26" s="29">
        <v>43.0138223172173</v>
      </c>
      <c r="R26" s="29">
        <v>478.0</v>
      </c>
      <c r="S26" s="29">
        <v>478.0</v>
      </c>
      <c r="T26" s="23">
        <v>478.0</v>
      </c>
      <c r="U26" s="23">
        <v>359.137721413637</v>
      </c>
      <c r="V26" s="23">
        <v>1303.00263511417</v>
      </c>
      <c r="W26" s="24">
        <v>359.137721413637</v>
      </c>
      <c r="X26" s="24">
        <v>1303.00263511417</v>
      </c>
    </row>
    <row r="27">
      <c r="A27" s="8">
        <v>40940.0</v>
      </c>
      <c r="B27" s="9">
        <f>IFERROR(__xludf.DUMMYFUNCTION("""COMPUTED_VALUE"""),881.0)</f>
        <v>881</v>
      </c>
      <c r="C27" s="29" t="s">
        <v>70</v>
      </c>
      <c r="D27" s="29">
        <v>7080.64038253414</v>
      </c>
      <c r="E27" s="29">
        <v>389.398692000575</v>
      </c>
      <c r="F27" s="29">
        <v>123.0</v>
      </c>
      <c r="G27" s="29">
        <v>521.861231944776</v>
      </c>
      <c r="H27" s="29">
        <v>482.25</v>
      </c>
      <c r="I27" s="29">
        <v>449.19661939693</v>
      </c>
      <c r="J27" s="30">
        <v>495.539629861827</v>
      </c>
      <c r="K27" s="30">
        <v>476.0</v>
      </c>
      <c r="L27" s="29">
        <v>478.0</v>
      </c>
      <c r="M27" s="29">
        <v>6542.66666666667</v>
      </c>
      <c r="N27" s="29">
        <v>522.19516682251</v>
      </c>
      <c r="O27" s="29">
        <v>521.861231944776</v>
      </c>
      <c r="P27" s="29">
        <v>411.92583045702</v>
      </c>
      <c r="Q27" s="29">
        <v>34.077517122794</v>
      </c>
      <c r="R27" s="29">
        <v>478.0</v>
      </c>
      <c r="S27" s="29">
        <v>478.0</v>
      </c>
      <c r="T27" s="23">
        <v>377.5</v>
      </c>
      <c r="U27" s="23">
        <v>347.0</v>
      </c>
      <c r="V27" s="23">
        <v>1547.95400479575</v>
      </c>
      <c r="W27" s="24">
        <v>347.0</v>
      </c>
      <c r="X27" s="24">
        <v>1547.95400479575</v>
      </c>
    </row>
    <row r="28">
      <c r="A28" s="8">
        <v>40969.0</v>
      </c>
      <c r="B28" s="9">
        <f>IFERROR(__xludf.DUMMYFUNCTION("""COMPUTED_VALUE"""),680.0)</f>
        <v>680</v>
      </c>
      <c r="C28" s="29" t="s">
        <v>71</v>
      </c>
      <c r="D28" s="29">
        <v>6754.86337432362</v>
      </c>
      <c r="E28" s="29">
        <v>352.330105544301</v>
      </c>
      <c r="F28" s="29">
        <v>132.0</v>
      </c>
      <c r="G28" s="29">
        <v>504.352926324498</v>
      </c>
      <c r="H28" s="29">
        <v>323.5</v>
      </c>
      <c r="I28" s="29">
        <v>311.44661939693</v>
      </c>
      <c r="J28" s="30">
        <v>592.262909572333</v>
      </c>
      <c r="K28" s="30">
        <v>410.5</v>
      </c>
      <c r="L28" s="29">
        <v>401.5</v>
      </c>
      <c r="M28" s="29">
        <v>9488.0</v>
      </c>
      <c r="N28" s="29">
        <v>579.821963627221</v>
      </c>
      <c r="O28" s="29">
        <v>504.352926324498</v>
      </c>
      <c r="P28" s="29">
        <v>284.360896686508</v>
      </c>
      <c r="Q28" s="29">
        <v>1812.33767238944</v>
      </c>
      <c r="R28" s="29">
        <v>401.5</v>
      </c>
      <c r="S28" s="29">
        <v>401.5</v>
      </c>
      <c r="T28" s="23">
        <v>294.5</v>
      </c>
      <c r="U28" s="23">
        <v>374.100897346576</v>
      </c>
      <c r="V28" s="23">
        <v>1314.81156380882</v>
      </c>
      <c r="W28" s="24">
        <v>374.100897346576</v>
      </c>
      <c r="X28" s="24">
        <v>1314.81156380882</v>
      </c>
    </row>
    <row r="29">
      <c r="A29" s="8">
        <v>41000.0</v>
      </c>
      <c r="B29" s="9">
        <f>IFERROR(__xludf.DUMMYFUNCTION("""COMPUTED_VALUE"""),201.0)</f>
        <v>201</v>
      </c>
      <c r="C29" s="29" t="s">
        <v>72</v>
      </c>
      <c r="D29" s="29">
        <v>5326.18807559744</v>
      </c>
      <c r="E29" s="29">
        <v>206.055759719204</v>
      </c>
      <c r="F29" s="29">
        <v>132.0</v>
      </c>
      <c r="G29" s="29">
        <v>464.362056173941</v>
      </c>
      <c r="H29" s="29">
        <v>328.25</v>
      </c>
      <c r="I29" s="29">
        <v>279.69661939693</v>
      </c>
      <c r="J29" s="30">
        <v>517.685677093445</v>
      </c>
      <c r="K29" s="30">
        <v>384.0</v>
      </c>
      <c r="L29" s="29">
        <v>386.0</v>
      </c>
      <c r="M29" s="29">
        <v>8259.0</v>
      </c>
      <c r="N29" s="29">
        <v>455.908297564224</v>
      </c>
      <c r="O29" s="29">
        <v>464.362056173941</v>
      </c>
      <c r="P29" s="29">
        <v>220.669577135181</v>
      </c>
      <c r="Q29" s="29">
        <v>31.6984185178651</v>
      </c>
      <c r="R29" s="29">
        <v>386.0</v>
      </c>
      <c r="S29" s="29">
        <v>386.0</v>
      </c>
      <c r="T29" s="23">
        <v>285.0</v>
      </c>
      <c r="U29" s="23">
        <v>389.479280406839</v>
      </c>
      <c r="V29" s="23">
        <v>1768.6865403825</v>
      </c>
      <c r="W29" s="24">
        <v>389.479280406839</v>
      </c>
      <c r="X29" s="24">
        <v>1768.6865403825</v>
      </c>
    </row>
    <row r="30">
      <c r="A30" s="8">
        <v>41030.0</v>
      </c>
      <c r="B30" s="9">
        <f>IFERROR(__xludf.DUMMYFUNCTION("""COMPUTED_VALUE"""),318.0)</f>
        <v>318</v>
      </c>
      <c r="C30" s="29" t="s">
        <v>73</v>
      </c>
      <c r="D30" s="29">
        <v>4032.57269400347</v>
      </c>
      <c r="E30" s="29">
        <v>69.1871328037305</v>
      </c>
      <c r="F30" s="29">
        <v>649.274771531967</v>
      </c>
      <c r="G30" s="29">
        <v>225.42851796533</v>
      </c>
      <c r="H30" s="29">
        <v>200.25</v>
      </c>
      <c r="I30" s="29">
        <v>303.19661939693</v>
      </c>
      <c r="J30" s="30">
        <v>376.843283010406</v>
      </c>
      <c r="K30" s="30">
        <v>322.5</v>
      </c>
      <c r="L30" s="29">
        <v>331.5</v>
      </c>
      <c r="M30" s="29">
        <v>203.065188351358</v>
      </c>
      <c r="N30" s="29">
        <v>317.779909581016</v>
      </c>
      <c r="O30" s="29">
        <v>225.42851796533</v>
      </c>
      <c r="P30" s="29">
        <v>536.282020131988</v>
      </c>
      <c r="Q30" s="29">
        <v>243.575317747586</v>
      </c>
      <c r="R30" s="29">
        <v>274.364285714286</v>
      </c>
      <c r="S30" s="29">
        <v>406.528765889252</v>
      </c>
      <c r="T30" s="23">
        <v>294.5</v>
      </c>
      <c r="U30" s="23">
        <v>210.082575328557</v>
      </c>
      <c r="V30" s="23">
        <v>439.515436757064</v>
      </c>
      <c r="W30" s="24">
        <v>210.082575328557</v>
      </c>
      <c r="X30" s="24">
        <v>439.515436757064</v>
      </c>
    </row>
    <row r="31">
      <c r="A31" s="8">
        <v>41061.0</v>
      </c>
      <c r="B31" s="9">
        <f>IFERROR(__xludf.DUMMYFUNCTION("""COMPUTED_VALUE"""),7.0)</f>
        <v>7</v>
      </c>
      <c r="C31" s="29" t="s">
        <v>74</v>
      </c>
      <c r="D31" s="29">
        <v>5126.59998419346</v>
      </c>
      <c r="E31" s="29">
        <v>-0.387752544968862</v>
      </c>
      <c r="F31" s="29">
        <v>123.0</v>
      </c>
      <c r="G31" s="29">
        <v>91.0745033099039</v>
      </c>
      <c r="H31" s="29">
        <v>347.75</v>
      </c>
      <c r="I31" s="29">
        <v>348.19661939693</v>
      </c>
      <c r="J31" s="30">
        <v>424.86306501368</v>
      </c>
      <c r="K31" s="30">
        <v>265.5</v>
      </c>
      <c r="L31" s="29">
        <v>294.5</v>
      </c>
      <c r="M31" s="29">
        <v>193.0</v>
      </c>
      <c r="N31" s="29">
        <v>217.788516064699</v>
      </c>
      <c r="O31" s="29">
        <v>91.0745033099039</v>
      </c>
      <c r="P31" s="29">
        <v>37.8136208609993</v>
      </c>
      <c r="Q31" s="29">
        <v>39.2360445394396</v>
      </c>
      <c r="R31" s="29">
        <v>224.288571428571</v>
      </c>
      <c r="S31" s="29">
        <v>294.5</v>
      </c>
      <c r="T31" s="23">
        <v>227.0</v>
      </c>
      <c r="U31" s="23">
        <v>175.299739033152</v>
      </c>
      <c r="V31" s="23">
        <v>263.632445827099</v>
      </c>
      <c r="W31" s="24">
        <v>175.299739033152</v>
      </c>
      <c r="X31" s="24">
        <v>263.632445827099</v>
      </c>
    </row>
    <row r="32">
      <c r="A32" s="8">
        <v>41091.0</v>
      </c>
      <c r="B32" s="9">
        <f>IFERROR(__xludf.DUMMYFUNCTION("""COMPUTED_VALUE"""),123.0)</f>
        <v>123</v>
      </c>
      <c r="C32" s="29" t="s">
        <v>75</v>
      </c>
      <c r="D32" s="29">
        <v>5016.45624942011</v>
      </c>
      <c r="E32" s="29">
        <v>-38.3117679194645</v>
      </c>
      <c r="F32" s="29">
        <v>123.0</v>
      </c>
      <c r="G32" s="29">
        <v>246.012088023586</v>
      </c>
      <c r="H32" s="29">
        <v>324.0</v>
      </c>
      <c r="I32" s="29">
        <v>295.94661939693</v>
      </c>
      <c r="J32" s="30">
        <v>327.876695035036</v>
      </c>
      <c r="K32" s="30">
        <v>286.0</v>
      </c>
      <c r="L32" s="29">
        <v>285.0</v>
      </c>
      <c r="M32" s="29">
        <v>228.0</v>
      </c>
      <c r="N32" s="29">
        <v>196.759099504755</v>
      </c>
      <c r="O32" s="29">
        <v>246.012088023586</v>
      </c>
      <c r="P32" s="29">
        <v>64.3328992984741</v>
      </c>
      <c r="Q32" s="29">
        <v>125.910334815046</v>
      </c>
      <c r="R32" s="29">
        <v>189.331428571429</v>
      </c>
      <c r="S32" s="29">
        <v>285.0</v>
      </c>
      <c r="T32" s="23">
        <v>151.0</v>
      </c>
      <c r="U32" s="23">
        <v>196.379859866605</v>
      </c>
      <c r="V32" s="23">
        <v>223.203623188807</v>
      </c>
      <c r="W32" s="24">
        <v>196.379859866605</v>
      </c>
      <c r="X32" s="24">
        <v>223.203623188807</v>
      </c>
    </row>
    <row r="33">
      <c r="A33" s="8">
        <v>41122.0</v>
      </c>
      <c r="B33" s="9">
        <f>IFERROR(__xludf.DUMMYFUNCTION("""COMPUTED_VALUE"""),66.0)</f>
        <v>66</v>
      </c>
      <c r="C33" s="29" t="s">
        <v>76</v>
      </c>
      <c r="D33" s="29">
        <v>4359.24088418485</v>
      </c>
      <c r="E33" s="29">
        <v>-65.6854933025593</v>
      </c>
      <c r="F33" s="29">
        <v>94.0</v>
      </c>
      <c r="G33" s="29">
        <v>103.649390750641</v>
      </c>
      <c r="H33" s="29">
        <v>198.0</v>
      </c>
      <c r="I33" s="29">
        <v>190.94661939693</v>
      </c>
      <c r="J33" s="26">
        <v>222.010646530995</v>
      </c>
      <c r="K33" s="30">
        <v>203.5</v>
      </c>
      <c r="L33" s="29">
        <v>218.5</v>
      </c>
      <c r="M33" s="29">
        <v>82.0</v>
      </c>
      <c r="N33" s="29">
        <v>153.288588103149</v>
      </c>
      <c r="O33" s="29">
        <v>103.649390750641</v>
      </c>
      <c r="P33" s="29">
        <v>-1.52186928729952</v>
      </c>
      <c r="Q33" s="29">
        <v>55.4782702721082</v>
      </c>
      <c r="R33" s="29">
        <v>77.1714285714286</v>
      </c>
      <c r="S33" s="29">
        <v>218.5</v>
      </c>
      <c r="T33" s="23">
        <v>151.0</v>
      </c>
      <c r="U33" s="23">
        <v>163.767606290012</v>
      </c>
      <c r="V33" s="23" t="s">
        <v>26</v>
      </c>
      <c r="W33" s="24">
        <v>163.767606290012</v>
      </c>
      <c r="X33" s="28" t="s">
        <v>26</v>
      </c>
    </row>
    <row r="34">
      <c r="A34" s="8">
        <v>41153.0</v>
      </c>
      <c r="B34" s="9">
        <f>IFERROR(__xludf.DUMMYFUNCTION("""COMPUTED_VALUE"""),113.0)</f>
        <v>113</v>
      </c>
      <c r="C34" s="29" t="s">
        <v>77</v>
      </c>
      <c r="D34" s="29">
        <v>3809.36083483284</v>
      </c>
      <c r="E34" s="29">
        <v>-31.1831936009503</v>
      </c>
      <c r="F34" s="29">
        <v>94.0</v>
      </c>
      <c r="G34" s="29">
        <v>86.4663914217921</v>
      </c>
      <c r="H34" s="29">
        <v>174.75</v>
      </c>
      <c r="I34" s="29">
        <v>160.69661939693</v>
      </c>
      <c r="J34" s="30">
        <v>148.026498465609</v>
      </c>
      <c r="K34" s="30">
        <v>142.0</v>
      </c>
      <c r="L34" s="29">
        <v>152.0</v>
      </c>
      <c r="M34" s="29">
        <v>94.0702876995157</v>
      </c>
      <c r="N34" s="29">
        <v>152.573230267508</v>
      </c>
      <c r="O34" s="29">
        <v>86.4663914217921</v>
      </c>
      <c r="P34" s="29">
        <v>57.9893108623375</v>
      </c>
      <c r="Q34" s="29">
        <v>103.495596446773</v>
      </c>
      <c r="R34" s="29">
        <v>-14.6952380952381</v>
      </c>
      <c r="S34" s="29">
        <v>152.0</v>
      </c>
      <c r="T34" s="23">
        <v>138.5</v>
      </c>
      <c r="U34" s="23">
        <v>104.47549349082</v>
      </c>
      <c r="V34" s="23">
        <v>652.011385708146</v>
      </c>
      <c r="W34" s="24">
        <v>104.47549349082</v>
      </c>
      <c r="X34" s="24">
        <v>652.011385708146</v>
      </c>
    </row>
    <row r="35">
      <c r="A35" s="8">
        <v>41183.0</v>
      </c>
      <c r="B35" s="9">
        <f>IFERROR(__xludf.DUMMYFUNCTION("""COMPUTED_VALUE"""),133.0)</f>
        <v>133</v>
      </c>
      <c r="C35" s="29" t="s">
        <v>78</v>
      </c>
      <c r="D35" s="29">
        <v>5218.68402719036</v>
      </c>
      <c r="E35" s="29">
        <v>-4.66489713607734</v>
      </c>
      <c r="F35" s="29">
        <v>231.765153825701</v>
      </c>
      <c r="G35" s="29">
        <v>166.323905839948</v>
      </c>
      <c r="H35" s="29">
        <v>155.5</v>
      </c>
      <c r="I35" s="29">
        <v>113.44661939693</v>
      </c>
      <c r="J35" s="30">
        <v>84.0</v>
      </c>
      <c r="K35" s="30">
        <v>157.0</v>
      </c>
      <c r="L35" s="29">
        <v>151.0</v>
      </c>
      <c r="M35" s="29">
        <v>529.0</v>
      </c>
      <c r="N35" s="29">
        <v>114.474648439559</v>
      </c>
      <c r="O35" s="29">
        <v>166.323905839948</v>
      </c>
      <c r="P35" s="29">
        <v>59.3810643194956</v>
      </c>
      <c r="Q35" s="29">
        <v>81.4838374196311</v>
      </c>
      <c r="R35" s="29">
        <v>49.0</v>
      </c>
      <c r="S35" s="29">
        <v>151.0</v>
      </c>
      <c r="T35" s="23">
        <v>127.0</v>
      </c>
      <c r="U35" s="23">
        <v>124.774479920714</v>
      </c>
      <c r="V35" s="23">
        <v>129.0</v>
      </c>
      <c r="W35" s="24">
        <v>124.774479920714</v>
      </c>
      <c r="X35" s="24">
        <v>129.0</v>
      </c>
    </row>
    <row r="36">
      <c r="A36" s="8">
        <v>41214.0</v>
      </c>
      <c r="B36" s="9">
        <f>IFERROR(__xludf.DUMMYFUNCTION("""COMPUTED_VALUE"""),111.0)</f>
        <v>111</v>
      </c>
      <c r="C36" s="29" t="s">
        <v>79</v>
      </c>
      <c r="D36" s="29">
        <v>4446.24301519538</v>
      </c>
      <c r="E36" s="29">
        <v>17.0847698001919</v>
      </c>
      <c r="F36" s="29">
        <v>94.0</v>
      </c>
      <c r="G36" s="29">
        <v>73.4671606525613</v>
      </c>
      <c r="H36" s="29">
        <v>152.5</v>
      </c>
      <c r="I36" s="29">
        <v>99.19661939693</v>
      </c>
      <c r="J36" s="30">
        <v>103.239413850333</v>
      </c>
      <c r="K36" s="30">
        <v>163.5</v>
      </c>
      <c r="L36" s="29">
        <v>139.5</v>
      </c>
      <c r="M36" s="29">
        <v>61.0552348049741</v>
      </c>
      <c r="N36" s="29">
        <v>82.5648289105483</v>
      </c>
      <c r="O36" s="29">
        <v>73.4671606525613</v>
      </c>
      <c r="P36" s="29">
        <v>100.62602002304</v>
      </c>
      <c r="Q36" s="29">
        <v>139.329712696301</v>
      </c>
      <c r="R36" s="29">
        <v>23.7857142857143</v>
      </c>
      <c r="S36" s="29">
        <v>139.5</v>
      </c>
      <c r="T36" s="23">
        <v>121.0</v>
      </c>
      <c r="U36" s="23">
        <v>297.566756995108</v>
      </c>
      <c r="V36" s="23">
        <v>299.442221986449</v>
      </c>
      <c r="W36" s="24">
        <v>297.566756995108</v>
      </c>
      <c r="X36" s="24">
        <v>299.442221986449</v>
      </c>
    </row>
    <row r="37">
      <c r="A37" s="8">
        <v>41244.0</v>
      </c>
      <c r="B37" s="9">
        <f>IFERROR(__xludf.DUMMYFUNCTION("""COMPUTED_VALUE"""),76.0)</f>
        <v>76</v>
      </c>
      <c r="C37" s="29" t="s">
        <v>80</v>
      </c>
      <c r="D37" s="29">
        <v>4749.62692615734</v>
      </c>
      <c r="E37" s="29">
        <v>-8.7685320797616</v>
      </c>
      <c r="F37" s="29">
        <v>346.44740169029</v>
      </c>
      <c r="G37" s="29">
        <v>59.6868110022116</v>
      </c>
      <c r="H37" s="29">
        <v>120.0</v>
      </c>
      <c r="I37" s="29">
        <v>244.942368901633</v>
      </c>
      <c r="J37" s="30">
        <v>56.5</v>
      </c>
      <c r="K37" s="30">
        <v>134.0</v>
      </c>
      <c r="L37" s="29">
        <v>127.0</v>
      </c>
      <c r="M37" s="29">
        <v>84.1205457312977</v>
      </c>
      <c r="N37" s="29">
        <v>94.7190440408015</v>
      </c>
      <c r="O37" s="29">
        <v>59.6868110022116</v>
      </c>
      <c r="P37" s="29">
        <v>189.44060882777</v>
      </c>
      <c r="Q37" s="29">
        <v>85.1062379286636</v>
      </c>
      <c r="R37" s="29">
        <v>127.0</v>
      </c>
      <c r="S37" s="29">
        <v>127.0</v>
      </c>
      <c r="T37" s="23">
        <v>121.0</v>
      </c>
      <c r="U37" s="23">
        <v>214.91291189063</v>
      </c>
      <c r="V37" s="23">
        <v>214.0</v>
      </c>
      <c r="W37" s="24">
        <v>214.91291189063</v>
      </c>
      <c r="X37" s="24">
        <v>214.0</v>
      </c>
    </row>
    <row r="38">
      <c r="A38" s="8">
        <v>41275.0</v>
      </c>
      <c r="B38" s="9">
        <f>IFERROR(__xludf.DUMMYFUNCTION("""COMPUTED_VALUE"""),141.0)</f>
        <v>141</v>
      </c>
      <c r="C38" s="29" t="s">
        <v>81</v>
      </c>
      <c r="D38" s="29">
        <v>4251.57884918168</v>
      </c>
      <c r="E38" s="29">
        <v>168.597720060351</v>
      </c>
      <c r="F38" s="29">
        <v>136.351589128271</v>
      </c>
      <c r="G38" s="29">
        <v>60.0482096036102</v>
      </c>
      <c r="H38" s="29">
        <v>137.5</v>
      </c>
      <c r="I38" s="29">
        <v>57.94661939693</v>
      </c>
      <c r="J38" s="30">
        <v>93.8501588139901</v>
      </c>
      <c r="K38" s="30">
        <v>120.0</v>
      </c>
      <c r="L38" s="29">
        <v>127.0</v>
      </c>
      <c r="M38" s="29">
        <v>54.2713198266437</v>
      </c>
      <c r="N38" s="29">
        <v>60.2971681655257</v>
      </c>
      <c r="O38" s="29">
        <v>60.0482096036102</v>
      </c>
      <c r="P38" s="29">
        <v>89.5838271817699</v>
      </c>
      <c r="Q38" s="29">
        <v>68.291293072142</v>
      </c>
      <c r="R38" s="29">
        <v>127.0</v>
      </c>
      <c r="S38" s="29">
        <v>127.0</v>
      </c>
      <c r="T38" s="23">
        <v>121.0</v>
      </c>
      <c r="U38" s="23">
        <v>239.0</v>
      </c>
      <c r="V38" s="23">
        <v>107.198571071119</v>
      </c>
      <c r="W38" s="24">
        <v>239.0</v>
      </c>
      <c r="X38" s="24">
        <v>107.198571071119</v>
      </c>
    </row>
    <row r="39">
      <c r="A39" s="8">
        <v>41306.0</v>
      </c>
      <c r="B39" s="9">
        <f>IFERROR(__xludf.DUMMYFUNCTION("""COMPUTED_VALUE"""),42.0)</f>
        <v>42</v>
      </c>
      <c r="C39" s="29" t="s">
        <v>82</v>
      </c>
      <c r="D39" s="29">
        <v>2401.08563775696</v>
      </c>
      <c r="E39" s="29">
        <v>-73.677170687956</v>
      </c>
      <c r="F39" s="29">
        <v>89.0</v>
      </c>
      <c r="G39" s="29">
        <v>48.9373354777361</v>
      </c>
      <c r="H39" s="29">
        <v>91.25</v>
      </c>
      <c r="I39" s="29">
        <v>11.69661939693</v>
      </c>
      <c r="J39" s="30">
        <v>51.2509902094978</v>
      </c>
      <c r="K39" s="30">
        <v>126.0</v>
      </c>
      <c r="L39" s="29">
        <v>120.0</v>
      </c>
      <c r="M39" s="29">
        <v>1350.0</v>
      </c>
      <c r="N39" s="29">
        <v>57.0136924743936</v>
      </c>
      <c r="O39" s="29">
        <v>48.9373354777361</v>
      </c>
      <c r="P39" s="29">
        <v>67.905553400374</v>
      </c>
      <c r="Q39" s="29">
        <v>67.4779733267283</v>
      </c>
      <c r="R39" s="29">
        <v>120.0</v>
      </c>
      <c r="S39" s="29">
        <v>183.710771408975</v>
      </c>
      <c r="T39" s="23">
        <v>121.0</v>
      </c>
      <c r="U39" s="23">
        <v>193.07548964877</v>
      </c>
      <c r="V39" s="23">
        <v>146.954126988816</v>
      </c>
      <c r="W39" s="24">
        <v>193.07548964877</v>
      </c>
      <c r="X39" s="24">
        <v>146.954126988816</v>
      </c>
    </row>
    <row r="40">
      <c r="A40" s="8">
        <v>41334.0</v>
      </c>
      <c r="B40" s="9">
        <f>IFERROR(__xludf.DUMMYFUNCTION("""COMPUTED_VALUE"""),88.0)</f>
        <v>88</v>
      </c>
      <c r="C40" s="29" t="s">
        <v>64</v>
      </c>
      <c r="D40" s="29">
        <v>5138.10905984475</v>
      </c>
      <c r="E40" s="29">
        <v>31.1777699456372</v>
      </c>
      <c r="F40" s="29">
        <v>81.0</v>
      </c>
      <c r="G40" s="29">
        <v>45.3871406725413</v>
      </c>
      <c r="H40" s="29">
        <v>90.5</v>
      </c>
      <c r="I40" s="29">
        <v>167.028388376189</v>
      </c>
      <c r="J40" s="30">
        <v>70.2504773201502</v>
      </c>
      <c r="K40" s="30">
        <v>110.0</v>
      </c>
      <c r="L40" s="29">
        <v>105.0</v>
      </c>
      <c r="M40" s="29">
        <v>110.351683647509</v>
      </c>
      <c r="N40" s="29">
        <v>64.0611420460383</v>
      </c>
      <c r="O40" s="29">
        <v>45.3871406725413</v>
      </c>
      <c r="P40" s="29">
        <v>71.1329465877681</v>
      </c>
      <c r="Q40" s="29">
        <v>74.2655753942215</v>
      </c>
      <c r="R40" s="29">
        <v>105.0</v>
      </c>
      <c r="S40" s="29">
        <v>214.210608760123</v>
      </c>
      <c r="T40" s="23">
        <v>102.5</v>
      </c>
      <c r="U40" s="23">
        <v>136.910521389214</v>
      </c>
      <c r="V40" s="23">
        <v>165.474065596906</v>
      </c>
      <c r="W40" s="24">
        <v>136.910521389214</v>
      </c>
      <c r="X40" s="24">
        <v>165.474065596906</v>
      </c>
    </row>
    <row r="41">
      <c r="A41" s="8">
        <v>41365.0</v>
      </c>
      <c r="B41" s="9">
        <f>IFERROR(__xludf.DUMMYFUNCTION("""COMPUTED_VALUE"""),33.0)</f>
        <v>33</v>
      </c>
      <c r="C41" s="29" t="s">
        <v>65</v>
      </c>
      <c r="D41" s="29">
        <v>4909.20274549601</v>
      </c>
      <c r="E41" s="29">
        <v>299.556875230593</v>
      </c>
      <c r="F41" s="29">
        <v>81.0</v>
      </c>
      <c r="G41" s="29">
        <v>36.0535242889249</v>
      </c>
      <c r="H41" s="29">
        <v>139.25</v>
      </c>
      <c r="I41" s="29">
        <v>73.19661939693</v>
      </c>
      <c r="J41" s="30">
        <v>33.5</v>
      </c>
      <c r="K41" s="30">
        <v>127.0</v>
      </c>
      <c r="L41" s="29">
        <v>121.0</v>
      </c>
      <c r="M41" s="29">
        <v>2400.0</v>
      </c>
      <c r="N41" s="29">
        <v>69.3840573261098</v>
      </c>
      <c r="O41" s="29">
        <v>36.0535242889249</v>
      </c>
      <c r="P41" s="29">
        <v>90.4752305363595</v>
      </c>
      <c r="Q41" s="29">
        <v>60.2484069258978</v>
      </c>
      <c r="R41" s="29">
        <v>121.0</v>
      </c>
      <c r="S41" s="29">
        <v>156.166210526774</v>
      </c>
      <c r="T41" s="23">
        <v>102.5</v>
      </c>
      <c r="U41" s="23">
        <v>178.020200704051</v>
      </c>
      <c r="V41" s="23">
        <v>76.8508944172038</v>
      </c>
      <c r="W41" s="24">
        <v>178.020200704051</v>
      </c>
      <c r="X41" s="24">
        <v>76.8508944172038</v>
      </c>
    </row>
    <row r="42">
      <c r="A42" s="8">
        <v>41395.0</v>
      </c>
      <c r="B42" s="9">
        <f>IFERROR(__xludf.DUMMYFUNCTION("""COMPUTED_VALUE"""),49.0)</f>
        <v>49</v>
      </c>
      <c r="C42" s="29" t="s">
        <v>66</v>
      </c>
      <c r="D42" s="29">
        <v>2757.741021177</v>
      </c>
      <c r="E42" s="29">
        <v>216.876670891352</v>
      </c>
      <c r="F42" s="29">
        <v>79.0</v>
      </c>
      <c r="G42" s="29">
        <v>-18.0952868998863</v>
      </c>
      <c r="H42" s="29">
        <v>149.75</v>
      </c>
      <c r="I42" s="29">
        <v>70.19661939693</v>
      </c>
      <c r="J42" s="30">
        <v>34.0</v>
      </c>
      <c r="K42" s="30">
        <v>78.0</v>
      </c>
      <c r="L42" s="29">
        <v>87.0</v>
      </c>
      <c r="M42" s="29">
        <v>61.5074958035295</v>
      </c>
      <c r="N42" s="29">
        <v>63.213979481312</v>
      </c>
      <c r="O42" s="29">
        <v>-18.0952868998863</v>
      </c>
      <c r="P42" s="29">
        <v>-10.5940331229119</v>
      </c>
      <c r="Q42" s="29">
        <v>73.6559830011775</v>
      </c>
      <c r="R42" s="29">
        <v>59.0357142857143</v>
      </c>
      <c r="S42" s="29">
        <v>87.0</v>
      </c>
      <c r="T42" s="23">
        <v>75.5</v>
      </c>
      <c r="U42" s="23">
        <v>105.731324178354</v>
      </c>
      <c r="V42" s="23">
        <v>155.279689403774</v>
      </c>
      <c r="W42" s="24">
        <v>105.731324178354</v>
      </c>
      <c r="X42" s="24">
        <v>155.279689403774</v>
      </c>
    </row>
    <row r="43">
      <c r="A43" s="8">
        <v>41426.0</v>
      </c>
      <c r="B43" s="9">
        <f>IFERROR(__xludf.DUMMYFUNCTION("""COMPUTED_VALUE"""),29.0)</f>
        <v>29</v>
      </c>
      <c r="C43" s="29" t="s">
        <v>67</v>
      </c>
      <c r="D43" s="29">
        <v>4312.09002626179</v>
      </c>
      <c r="E43" s="29">
        <v>51.070431352608</v>
      </c>
      <c r="F43" s="29">
        <v>78.0</v>
      </c>
      <c r="G43" s="29">
        <v>-31.500601585201</v>
      </c>
      <c r="H43" s="29">
        <v>176.75</v>
      </c>
      <c r="I43" s="29">
        <v>87.19661939693</v>
      </c>
      <c r="J43" s="30">
        <v>33.5</v>
      </c>
      <c r="K43" s="30">
        <v>39.0</v>
      </c>
      <c r="L43" s="29">
        <v>53.0</v>
      </c>
      <c r="M43" s="29">
        <v>97.6883756879586</v>
      </c>
      <c r="N43" s="29">
        <v>64.3938938492365</v>
      </c>
      <c r="O43" s="29">
        <v>-31.500601585201</v>
      </c>
      <c r="P43" s="29">
        <v>6.55055849881423</v>
      </c>
      <c r="Q43" s="29">
        <v>62.9237499095216</v>
      </c>
      <c r="R43" s="29">
        <v>61.1</v>
      </c>
      <c r="S43" s="29">
        <v>53.0</v>
      </c>
      <c r="T43" s="23">
        <v>48.6396205085295</v>
      </c>
      <c r="U43" s="23">
        <v>52.8374569960917</v>
      </c>
      <c r="V43" s="23">
        <v>125.066527153026</v>
      </c>
      <c r="W43" s="24">
        <v>52.8374569960917</v>
      </c>
      <c r="X43" s="24">
        <v>125.066527153026</v>
      </c>
    </row>
    <row r="44">
      <c r="A44" s="8">
        <v>41456.0</v>
      </c>
      <c r="B44" s="9">
        <f>IFERROR(__xludf.DUMMYFUNCTION("""COMPUTED_VALUE"""),4.0)</f>
        <v>4</v>
      </c>
      <c r="C44" s="29" t="s">
        <v>68</v>
      </c>
      <c r="D44" s="29">
        <v>4884.88100208605</v>
      </c>
      <c r="E44" s="29">
        <v>15.9604131459682</v>
      </c>
      <c r="F44" s="29">
        <v>78.0</v>
      </c>
      <c r="G44" s="29">
        <v>-32.2053568299562</v>
      </c>
      <c r="H44" s="29">
        <v>150.0</v>
      </c>
      <c r="I44" s="29">
        <v>45.5190923512935</v>
      </c>
      <c r="J44" s="30">
        <v>33.5</v>
      </c>
      <c r="K44" s="30">
        <v>71.0</v>
      </c>
      <c r="L44" s="29">
        <v>54.0</v>
      </c>
      <c r="M44" s="29">
        <v>50.2009708396454</v>
      </c>
      <c r="N44" s="29">
        <v>57.5305960920084</v>
      </c>
      <c r="O44" s="29">
        <v>-32.2053568299562</v>
      </c>
      <c r="P44" s="29">
        <v>-14.7078689804465</v>
      </c>
      <c r="Q44" s="29">
        <v>49.2096798732001</v>
      </c>
      <c r="R44" s="29">
        <v>28.5714285714286</v>
      </c>
      <c r="S44" s="29">
        <v>54.0</v>
      </c>
      <c r="T44" s="23">
        <v>49.0</v>
      </c>
      <c r="U44" s="23">
        <v>46.7750197213841</v>
      </c>
      <c r="V44" s="23">
        <v>7.0</v>
      </c>
      <c r="W44" s="24">
        <v>46.7750197213841</v>
      </c>
      <c r="X44" s="24">
        <v>7.0</v>
      </c>
    </row>
    <row r="45">
      <c r="A45" s="8">
        <v>41487.0</v>
      </c>
      <c r="B45" s="9">
        <f>IFERROR(__xludf.DUMMYFUNCTION("""COMPUTED_VALUE"""),23.0)</f>
        <v>23</v>
      </c>
      <c r="C45" s="29" t="s">
        <v>69</v>
      </c>
      <c r="D45" s="29">
        <v>4719.45756777063</v>
      </c>
      <c r="E45" s="29">
        <v>27.5979664882939</v>
      </c>
      <c r="F45" s="29">
        <v>78.0</v>
      </c>
      <c r="G45" s="29">
        <v>-15.6401820047814</v>
      </c>
      <c r="H45" s="29">
        <v>107.75</v>
      </c>
      <c r="I45" s="29">
        <v>21.4781098312828</v>
      </c>
      <c r="J45" s="26">
        <v>33.0</v>
      </c>
      <c r="K45" s="30">
        <v>-87.5</v>
      </c>
      <c r="L45" s="29">
        <v>-78.5</v>
      </c>
      <c r="M45" s="29">
        <v>28.0401819104326</v>
      </c>
      <c r="N45" s="29">
        <v>63.4501345186695</v>
      </c>
      <c r="O45" s="29">
        <v>-15.6401820047814</v>
      </c>
      <c r="P45" s="29">
        <v>-55.1461624864948</v>
      </c>
      <c r="Q45" s="29">
        <v>70.5452903196617</v>
      </c>
      <c r="R45" s="29">
        <v>12.5857142857143</v>
      </c>
      <c r="S45" s="29">
        <v>-78.5</v>
      </c>
      <c r="T45" s="23">
        <v>-99.5</v>
      </c>
      <c r="U45" s="23">
        <v>53.3131078126241</v>
      </c>
      <c r="V45" s="23" t="s">
        <v>26</v>
      </c>
      <c r="W45" s="24">
        <v>53.3131078126241</v>
      </c>
      <c r="X45" s="28" t="s">
        <v>26</v>
      </c>
    </row>
    <row r="46">
      <c r="A46" s="8">
        <v>41518.0</v>
      </c>
      <c r="B46" s="9">
        <f>IFERROR(__xludf.DUMMYFUNCTION("""COMPUTED_VALUE"""),106.0)</f>
        <v>106</v>
      </c>
      <c r="C46" s="29" t="s">
        <v>70</v>
      </c>
      <c r="D46" s="29">
        <v>3889.80304193815</v>
      </c>
      <c r="E46" s="29">
        <v>258.131138093007</v>
      </c>
      <c r="F46" s="29">
        <v>79.0</v>
      </c>
      <c r="G46" s="29">
        <v>-5.08395822855761</v>
      </c>
      <c r="H46" s="29">
        <v>99.25</v>
      </c>
      <c r="I46" s="29">
        <v>123.69661939693</v>
      </c>
      <c r="J46" s="30">
        <v>63.2611725278425</v>
      </c>
      <c r="K46" s="30">
        <v>-7.5</v>
      </c>
      <c r="L46" s="29">
        <v>14.5</v>
      </c>
      <c r="M46" s="29">
        <v>45.2260998555364</v>
      </c>
      <c r="N46" s="29">
        <v>34.5208308171332</v>
      </c>
      <c r="O46" s="29">
        <v>-5.08395822855761</v>
      </c>
      <c r="P46" s="29">
        <v>71.553818022935</v>
      </c>
      <c r="Q46" s="29">
        <v>67.923892555226</v>
      </c>
      <c r="R46" s="29">
        <v>15.9571428571429</v>
      </c>
      <c r="S46" s="29">
        <v>14.5</v>
      </c>
      <c r="T46" s="23">
        <v>14.5</v>
      </c>
      <c r="U46" s="23">
        <v>26.4356425365646</v>
      </c>
      <c r="V46" s="23">
        <v>23.0</v>
      </c>
      <c r="W46" s="24">
        <v>26.4356425365646</v>
      </c>
      <c r="X46" s="24">
        <v>23.0</v>
      </c>
    </row>
    <row r="47">
      <c r="A47" s="8">
        <v>41548.0</v>
      </c>
      <c r="B47" s="9">
        <f>IFERROR(__xludf.DUMMYFUNCTION("""COMPUTED_VALUE"""),30.0)</f>
        <v>30</v>
      </c>
      <c r="C47" s="29" t="s">
        <v>71</v>
      </c>
      <c r="D47" s="29">
        <v>3798.31721179516</v>
      </c>
      <c r="E47" s="29">
        <v>290.238551732277</v>
      </c>
      <c r="F47" s="29">
        <v>78.0</v>
      </c>
      <c r="G47" s="29">
        <v>6.26149631689694</v>
      </c>
      <c r="H47" s="29">
        <v>87.25</v>
      </c>
      <c r="I47" s="29">
        <v>62.2402036736019</v>
      </c>
      <c r="J47" s="30">
        <v>31.0</v>
      </c>
      <c r="K47" s="30">
        <v>62.0</v>
      </c>
      <c r="L47" s="29">
        <v>75.0</v>
      </c>
      <c r="M47" s="29">
        <v>57.8894078150866</v>
      </c>
      <c r="N47" s="29">
        <v>65.8369197332245</v>
      </c>
      <c r="O47" s="29">
        <v>6.26149631689694</v>
      </c>
      <c r="P47" s="29">
        <v>38.7742232544213</v>
      </c>
      <c r="Q47" s="29">
        <v>75.8614821090428</v>
      </c>
      <c r="R47" s="29">
        <v>35.9</v>
      </c>
      <c r="S47" s="29">
        <v>75.0</v>
      </c>
      <c r="T47" s="23">
        <v>93.5</v>
      </c>
      <c r="U47" s="23">
        <v>159.0</v>
      </c>
      <c r="V47" s="23">
        <v>7.0</v>
      </c>
      <c r="W47" s="24">
        <v>159.0</v>
      </c>
      <c r="X47" s="24">
        <v>7.0</v>
      </c>
    </row>
    <row r="48">
      <c r="A48" s="8">
        <v>41579.0</v>
      </c>
      <c r="B48" s="9">
        <f>IFERROR(__xludf.DUMMYFUNCTION("""COMPUTED_VALUE"""),38.0)</f>
        <v>38</v>
      </c>
      <c r="C48" s="29" t="s">
        <v>72</v>
      </c>
      <c r="D48" s="29">
        <v>4192.32259088872</v>
      </c>
      <c r="E48" s="29">
        <v>295.734435795</v>
      </c>
      <c r="F48" s="29">
        <v>128.590562424223</v>
      </c>
      <c r="G48" s="29">
        <v>6.35560195630589</v>
      </c>
      <c r="H48" s="29">
        <v>8.75</v>
      </c>
      <c r="I48" s="29">
        <v>39.7281098312828</v>
      </c>
      <c r="J48" s="30">
        <v>22.0</v>
      </c>
      <c r="K48" s="30">
        <v>36.5</v>
      </c>
      <c r="L48" s="29">
        <v>41.5</v>
      </c>
      <c r="M48" s="29">
        <v>416.0</v>
      </c>
      <c r="N48" s="29">
        <v>76.7293733842528</v>
      </c>
      <c r="O48" s="29">
        <v>6.35560195630589</v>
      </c>
      <c r="P48" s="29">
        <v>41.0960897071593</v>
      </c>
      <c r="Q48" s="29">
        <v>55.8092027501334</v>
      </c>
      <c r="R48" s="29">
        <v>42.1114285714286</v>
      </c>
      <c r="S48" s="29">
        <v>41.5</v>
      </c>
      <c r="T48" s="23">
        <v>41.5</v>
      </c>
      <c r="U48" s="23">
        <v>16.0851382101594</v>
      </c>
      <c r="V48" s="23">
        <v>7.0</v>
      </c>
      <c r="W48" s="24">
        <v>16.0851382101594</v>
      </c>
      <c r="X48" s="24">
        <v>7.0</v>
      </c>
    </row>
    <row r="49">
      <c r="A49" s="8">
        <v>41609.0</v>
      </c>
      <c r="B49" s="9">
        <f>IFERROR(__xludf.DUMMYFUNCTION("""COMPUTED_VALUE"""),33.0)</f>
        <v>33</v>
      </c>
      <c r="C49" s="29" t="s">
        <v>73</v>
      </c>
      <c r="D49" s="29">
        <v>-5124.48531804169</v>
      </c>
      <c r="E49" s="29">
        <v>359.726259187209</v>
      </c>
      <c r="F49" s="29">
        <v>78.0</v>
      </c>
      <c r="G49" s="29">
        <v>245.950481237486</v>
      </c>
      <c r="H49" s="29">
        <v>-35.25</v>
      </c>
      <c r="I49" s="29">
        <v>33.502297515921</v>
      </c>
      <c r="J49" s="30">
        <v>94.1249577226326</v>
      </c>
      <c r="K49" s="30">
        <v>9.0</v>
      </c>
      <c r="L49" s="29">
        <v>-8.0</v>
      </c>
      <c r="M49" s="29">
        <v>65.5778447905278</v>
      </c>
      <c r="N49" s="29">
        <v>66.7754080452455</v>
      </c>
      <c r="O49" s="29">
        <v>245.950481237486</v>
      </c>
      <c r="P49" s="29">
        <v>-18.8600995557551</v>
      </c>
      <c r="Q49" s="29">
        <v>60.3671999351762</v>
      </c>
      <c r="R49" s="29">
        <v>25.1885714285714</v>
      </c>
      <c r="S49" s="29">
        <v>342.911155858984</v>
      </c>
      <c r="T49" s="23">
        <v>-3.0</v>
      </c>
      <c r="U49" s="23">
        <v>22.3248153579658</v>
      </c>
      <c r="V49" s="23">
        <v>62.0</v>
      </c>
      <c r="W49" s="24">
        <v>22.3248153579658</v>
      </c>
      <c r="X49" s="24">
        <v>62.0</v>
      </c>
    </row>
    <row r="50">
      <c r="A50" s="8">
        <v>41640.0</v>
      </c>
      <c r="B50" s="9">
        <f>IFERROR(__xludf.DUMMYFUNCTION("""COMPUTED_VALUE"""),16.0)</f>
        <v>16</v>
      </c>
      <c r="C50" s="29" t="s">
        <v>74</v>
      </c>
      <c r="D50" s="29">
        <v>3801.64838749868</v>
      </c>
      <c r="E50" s="29">
        <v>239.403833940509</v>
      </c>
      <c r="F50" s="29">
        <v>79.0</v>
      </c>
      <c r="G50" s="29">
        <v>-1.23766452226391</v>
      </c>
      <c r="H50" s="29">
        <v>108.25</v>
      </c>
      <c r="I50" s="29">
        <v>37.5338859806551</v>
      </c>
      <c r="J50" s="26">
        <v>80.276735897929</v>
      </c>
      <c r="K50" s="30">
        <v>-15.0</v>
      </c>
      <c r="L50" s="29">
        <v>-21.0</v>
      </c>
      <c r="M50" s="29">
        <v>64.9012357215831</v>
      </c>
      <c r="N50" s="29">
        <v>75.8608650859618</v>
      </c>
      <c r="O50" s="29">
        <v>-1.23766452226391</v>
      </c>
      <c r="P50" s="29">
        <v>8.54648390450124</v>
      </c>
      <c r="Q50" s="29">
        <v>116.549956260092</v>
      </c>
      <c r="R50" s="29">
        <v>9.24857142857141</v>
      </c>
      <c r="S50" s="29">
        <v>-6.86418552263653</v>
      </c>
      <c r="T50" s="23">
        <v>6.0</v>
      </c>
      <c r="U50" s="23">
        <v>53.227091321421</v>
      </c>
      <c r="V50" s="23" t="s">
        <v>26</v>
      </c>
      <c r="W50" s="24">
        <v>53.227091321421</v>
      </c>
      <c r="X50" s="28" t="s">
        <v>26</v>
      </c>
    </row>
    <row r="51">
      <c r="A51" s="8">
        <v>41671.0</v>
      </c>
      <c r="B51" s="9">
        <f>IFERROR(__xludf.DUMMYFUNCTION("""COMPUTED_VALUE"""),19.0)</f>
        <v>19</v>
      </c>
      <c r="C51" s="29" t="s">
        <v>75</v>
      </c>
      <c r="D51" s="29">
        <v>3402.87044454775</v>
      </c>
      <c r="E51" s="29">
        <v>166.508686703662</v>
      </c>
      <c r="F51" s="29">
        <v>79.0</v>
      </c>
      <c r="G51" s="29">
        <v>-2.43714504174443</v>
      </c>
      <c r="H51" s="29">
        <v>1.75</v>
      </c>
      <c r="I51" s="29">
        <v>92.30338060307</v>
      </c>
      <c r="J51" s="30">
        <v>130.681829374987</v>
      </c>
      <c r="K51" s="30">
        <v>10.5</v>
      </c>
      <c r="L51" s="29">
        <v>12.5</v>
      </c>
      <c r="M51" s="29">
        <v>48.0</v>
      </c>
      <c r="N51" s="29">
        <v>54.1346133390097</v>
      </c>
      <c r="O51" s="29">
        <v>-2.43714504174443</v>
      </c>
      <c r="P51" s="29">
        <v>1.63258932724239</v>
      </c>
      <c r="Q51" s="29">
        <v>81.1738564344536</v>
      </c>
      <c r="R51" s="29">
        <v>-7.16571428571429</v>
      </c>
      <c r="S51" s="29">
        <v>12.5</v>
      </c>
      <c r="T51" s="23">
        <v>12.5</v>
      </c>
      <c r="U51" s="23">
        <v>65.526066540286</v>
      </c>
      <c r="V51" s="23">
        <v>13.0</v>
      </c>
      <c r="W51" s="24">
        <v>65.526066540286</v>
      </c>
      <c r="X51" s="24">
        <v>13.0</v>
      </c>
    </row>
    <row r="52">
      <c r="A52" s="8">
        <v>41699.0</v>
      </c>
      <c r="B52" s="9">
        <f>IFERROR(__xludf.DUMMYFUNCTION("""COMPUTED_VALUE"""),55.0)</f>
        <v>55</v>
      </c>
      <c r="C52" s="29" t="s">
        <v>76</v>
      </c>
      <c r="D52" s="29">
        <v>165.756786535136</v>
      </c>
      <c r="E52" s="29">
        <v>210.1244994277</v>
      </c>
      <c r="F52" s="29">
        <v>79.0</v>
      </c>
      <c r="G52" s="29">
        <v>-6.428573613173</v>
      </c>
      <c r="H52" s="29">
        <v>78.75</v>
      </c>
      <c r="I52" s="29">
        <v>40.19661939693</v>
      </c>
      <c r="J52" s="30">
        <v>40.3893222107824</v>
      </c>
      <c r="K52" s="30">
        <v>66.5</v>
      </c>
      <c r="L52" s="29">
        <v>60.5</v>
      </c>
      <c r="M52" s="29">
        <v>102.0</v>
      </c>
      <c r="N52" s="29">
        <v>3.48384840281119</v>
      </c>
      <c r="O52" s="29">
        <v>-6.428573613173</v>
      </c>
      <c r="P52" s="29">
        <v>28.5469581738641</v>
      </c>
      <c r="Q52" s="29">
        <v>39.528565702994</v>
      </c>
      <c r="R52" s="29">
        <v>-17.1828571428571</v>
      </c>
      <c r="S52" s="29">
        <v>91.9847012021198</v>
      </c>
      <c r="T52" s="23">
        <v>62.5</v>
      </c>
      <c r="U52" s="23">
        <v>23.7618602435919</v>
      </c>
      <c r="V52" s="23">
        <v>14.0</v>
      </c>
      <c r="W52" s="24">
        <v>23.7618602435919</v>
      </c>
      <c r="X52" s="24">
        <v>14.0</v>
      </c>
    </row>
    <row r="53">
      <c r="A53" s="8">
        <v>41730.0</v>
      </c>
      <c r="B53" s="9">
        <f>IFERROR(__xludf.DUMMYFUNCTION("""COMPUTED_VALUE"""),115.0)</f>
        <v>115</v>
      </c>
      <c r="C53" s="29" t="s">
        <v>77</v>
      </c>
      <c r="D53" s="29">
        <v>3841.11831511273</v>
      </c>
      <c r="E53" s="29">
        <v>201.385746920653</v>
      </c>
      <c r="F53" s="29">
        <v>79.0</v>
      </c>
      <c r="G53" s="29">
        <v>-12.0703917949912</v>
      </c>
      <c r="H53" s="29">
        <v>69.5</v>
      </c>
      <c r="I53" s="29">
        <v>26.4586152088678</v>
      </c>
      <c r="J53" s="30">
        <v>26.5</v>
      </c>
      <c r="K53" s="30">
        <v>22.0</v>
      </c>
      <c r="L53" s="29">
        <v>58.0</v>
      </c>
      <c r="M53" s="29">
        <v>54434.0</v>
      </c>
      <c r="N53" s="29">
        <v>8.756133839006</v>
      </c>
      <c r="O53" s="29">
        <v>-12.0703917949912</v>
      </c>
      <c r="P53" s="29">
        <v>12.80602003376</v>
      </c>
      <c r="Q53" s="29">
        <v>31.2154269832869</v>
      </c>
      <c r="R53" s="29">
        <v>16.2</v>
      </c>
      <c r="S53" s="29">
        <v>150.93538011109</v>
      </c>
      <c r="T53" s="23">
        <v>55.0</v>
      </c>
      <c r="U53" s="23">
        <v>82.1995385442833</v>
      </c>
      <c r="V53" s="23">
        <v>112.0</v>
      </c>
      <c r="W53" s="24">
        <v>82.1995385442833</v>
      </c>
      <c r="X53" s="24">
        <v>112.0</v>
      </c>
    </row>
    <row r="54">
      <c r="A54" s="8">
        <v>41760.0</v>
      </c>
      <c r="B54" s="9">
        <f>IFERROR(__xludf.DUMMYFUNCTION("""COMPUTED_VALUE"""),116.0)</f>
        <v>116</v>
      </c>
      <c r="C54" s="29" t="s">
        <v>78</v>
      </c>
      <c r="D54" s="29">
        <v>3894.60535017652</v>
      </c>
      <c r="E54" s="29">
        <v>232.061461784356</v>
      </c>
      <c r="F54" s="29">
        <v>79.0</v>
      </c>
      <c r="G54" s="29">
        <v>-17.1171050817045</v>
      </c>
      <c r="H54" s="29">
        <v>62.25</v>
      </c>
      <c r="I54" s="29">
        <v>97.1844275242296</v>
      </c>
      <c r="J54" s="30">
        <v>172.323397961214</v>
      </c>
      <c r="K54" s="30">
        <v>69.5</v>
      </c>
      <c r="L54" s="29">
        <v>77.5</v>
      </c>
      <c r="M54" s="29">
        <v>83.4948307736245</v>
      </c>
      <c r="N54" s="29">
        <v>3.01796167194891</v>
      </c>
      <c r="O54" s="29">
        <v>-17.1171050817045</v>
      </c>
      <c r="P54" s="29">
        <v>20.9190521419409</v>
      </c>
      <c r="Q54" s="29">
        <v>113.992553405921</v>
      </c>
      <c r="R54" s="29">
        <v>103.482857142857</v>
      </c>
      <c r="S54" s="29">
        <v>943.608939795984</v>
      </c>
      <c r="T54" s="23">
        <v>91.0</v>
      </c>
      <c r="U54" s="23">
        <v>103.0</v>
      </c>
      <c r="V54" s="23">
        <v>9.0</v>
      </c>
      <c r="W54" s="24">
        <v>103.0</v>
      </c>
      <c r="X54" s="24">
        <v>9.0</v>
      </c>
    </row>
    <row r="55">
      <c r="A55" s="8">
        <v>41791.0</v>
      </c>
      <c r="B55" s="9">
        <f>IFERROR(__xludf.DUMMYFUNCTION("""COMPUTED_VALUE"""),75.0)</f>
        <v>75</v>
      </c>
      <c r="C55" s="29" t="s">
        <v>79</v>
      </c>
      <c r="D55" s="29">
        <v>3888.11149708873</v>
      </c>
      <c r="E55" s="29">
        <v>233.487176648058</v>
      </c>
      <c r="F55" s="29">
        <v>79.0</v>
      </c>
      <c r="G55" s="29">
        <v>-16.7917554313548</v>
      </c>
      <c r="H55" s="29">
        <v>69.75</v>
      </c>
      <c r="I55" s="29">
        <v>56.0970629101232</v>
      </c>
      <c r="J55" s="26">
        <v>113.069747802565</v>
      </c>
      <c r="K55" s="30">
        <v>39.0670565320902</v>
      </c>
      <c r="L55" s="29">
        <v>56.5</v>
      </c>
      <c r="M55" s="29">
        <v>36618.0</v>
      </c>
      <c r="N55" s="29">
        <v>13.9762491878911</v>
      </c>
      <c r="O55" s="29">
        <v>-16.7917554313548</v>
      </c>
      <c r="P55" s="29">
        <v>16.7915856511925</v>
      </c>
      <c r="Q55" s="29">
        <v>65.4225248347326</v>
      </c>
      <c r="R55" s="29">
        <v>46.02</v>
      </c>
      <c r="S55" s="29">
        <v>81.0102159977394</v>
      </c>
      <c r="T55" s="23">
        <v>86.5</v>
      </c>
      <c r="U55" s="23">
        <v>20.9018640870704</v>
      </c>
      <c r="V55" s="23" t="s">
        <v>26</v>
      </c>
      <c r="W55" s="24">
        <v>20.9018640870704</v>
      </c>
      <c r="X55" s="28" t="s">
        <v>26</v>
      </c>
    </row>
    <row r="56">
      <c r="A56" s="8">
        <v>41821.0</v>
      </c>
      <c r="B56" s="9">
        <f>IFERROR(__xludf.DUMMYFUNCTION("""COMPUTED_VALUE"""),10.0)</f>
        <v>10</v>
      </c>
      <c r="C56" s="29" t="s">
        <v>80</v>
      </c>
      <c r="D56" s="29">
        <v>-1298.28979775746</v>
      </c>
      <c r="E56" s="29">
        <v>307.261291577694</v>
      </c>
      <c r="F56" s="29">
        <v>229.987714323994</v>
      </c>
      <c r="G56" s="29">
        <v>-4.53388829848768</v>
      </c>
      <c r="H56" s="29">
        <v>117.0</v>
      </c>
      <c r="I56" s="29">
        <v>75.7690844204635</v>
      </c>
      <c r="J56" s="30">
        <v>170.277808817498</v>
      </c>
      <c r="K56" s="30">
        <v>-115.0</v>
      </c>
      <c r="L56" s="29">
        <v>91.0</v>
      </c>
      <c r="M56" s="29">
        <v>7.28436848164803</v>
      </c>
      <c r="N56" s="29">
        <v>-57.3928759832004</v>
      </c>
      <c r="O56" s="29">
        <v>-4.53388829848768</v>
      </c>
      <c r="P56" s="29">
        <v>77.163806694803</v>
      </c>
      <c r="Q56" s="29">
        <v>22.5555555555556</v>
      </c>
      <c r="R56" s="29">
        <v>17.7771428571428</v>
      </c>
      <c r="S56" s="29">
        <v>666.368900119226</v>
      </c>
      <c r="T56" s="23">
        <v>124.0</v>
      </c>
      <c r="U56" s="23">
        <v>22.3712175519609</v>
      </c>
      <c r="V56" s="23">
        <v>6.0</v>
      </c>
      <c r="W56" s="24">
        <v>22.3712175519609</v>
      </c>
      <c r="X56" s="24">
        <v>6.0</v>
      </c>
    </row>
    <row r="57">
      <c r="A57" s="8">
        <v>41852.0</v>
      </c>
      <c r="B57" s="9"/>
      <c r="C57" s="29" t="s">
        <v>81</v>
      </c>
      <c r="D57" s="29">
        <v>3977.07753315971</v>
      </c>
      <c r="E57" s="29">
        <v>346.638732714224</v>
      </c>
      <c r="F57" s="29">
        <v>89.0</v>
      </c>
      <c r="G57" s="29">
        <v>169.183283438644</v>
      </c>
      <c r="H57" s="29">
        <v>384.705229510331</v>
      </c>
      <c r="I57" s="29">
        <v>78.05338060307</v>
      </c>
      <c r="J57" s="26">
        <v>279.540721700471</v>
      </c>
      <c r="K57" s="30">
        <v>76.0</v>
      </c>
      <c r="L57" s="29">
        <v>75.0</v>
      </c>
      <c r="M57" s="29">
        <v>0.0</v>
      </c>
      <c r="N57" s="29">
        <v>-72.7071428501159</v>
      </c>
      <c r="O57" s="29">
        <v>169.183283438644</v>
      </c>
      <c r="P57" s="29">
        <v>109.636154600587</v>
      </c>
      <c r="Q57" s="29">
        <v>22.3333333333333</v>
      </c>
      <c r="R57" s="29">
        <v>-24.8057142857143</v>
      </c>
      <c r="S57" s="29">
        <v>303.30891257352</v>
      </c>
      <c r="T57" s="23">
        <v>120.5</v>
      </c>
      <c r="U57" s="23">
        <v>30.9520850870839</v>
      </c>
      <c r="V57" s="23" t="s">
        <v>26</v>
      </c>
      <c r="W57" s="24">
        <v>30.9520850870839</v>
      </c>
      <c r="X57" s="28" t="s">
        <v>26</v>
      </c>
    </row>
    <row r="58">
      <c r="A58" s="8">
        <v>41883.0</v>
      </c>
      <c r="B58" s="9">
        <f>IFERROR(__xludf.DUMMYFUNCTION("""COMPUTED_VALUE"""),7.0)</f>
        <v>7</v>
      </c>
      <c r="C58" s="29" t="s">
        <v>82</v>
      </c>
      <c r="D58" s="29">
        <v>3606.01868859418</v>
      </c>
      <c r="E58" s="29">
        <v>361.280847821052</v>
      </c>
      <c r="F58" s="29">
        <v>79.0</v>
      </c>
      <c r="G58" s="29">
        <v>65.4978624195535</v>
      </c>
      <c r="H58" s="29">
        <v>133.0</v>
      </c>
      <c r="I58" s="29">
        <v>70.4902036736019</v>
      </c>
      <c r="J58" s="26">
        <v>41.4651343328613</v>
      </c>
      <c r="K58" s="30">
        <v>-48.5</v>
      </c>
      <c r="L58" s="29">
        <v>-44.5</v>
      </c>
      <c r="M58" s="29">
        <v>354.0</v>
      </c>
      <c r="N58" s="29">
        <v>-91.0996642194229</v>
      </c>
      <c r="O58" s="29">
        <v>65.4978624195535</v>
      </c>
      <c r="P58" s="29">
        <v>1.61771021430286</v>
      </c>
      <c r="Q58" s="29">
        <v>25.4444444444444</v>
      </c>
      <c r="R58" s="29">
        <v>-7.19999999999999</v>
      </c>
      <c r="S58" s="29">
        <v>-44.5</v>
      </c>
      <c r="T58" s="23">
        <v>-28.0</v>
      </c>
      <c r="U58" s="23">
        <v>36.9520850870839</v>
      </c>
      <c r="V58" s="23" t="s">
        <v>26</v>
      </c>
      <c r="W58" s="24">
        <v>36.9520850870839</v>
      </c>
      <c r="X58" s="28" t="s">
        <v>26</v>
      </c>
    </row>
    <row r="59">
      <c r="A59" s="8">
        <v>41913.0</v>
      </c>
      <c r="B59" s="9"/>
      <c r="C59" s="29" t="s">
        <v>64</v>
      </c>
      <c r="D59" s="29">
        <v>4101.1251315539</v>
      </c>
      <c r="E59" s="29">
        <v>306.399108279192</v>
      </c>
      <c r="F59" s="29">
        <v>79.0</v>
      </c>
      <c r="G59" s="29">
        <v>-6.1251645222639</v>
      </c>
      <c r="H59" s="29">
        <v>106.84232205785</v>
      </c>
      <c r="I59" s="29">
        <v>341.516786904543</v>
      </c>
      <c r="J59" s="30">
        <v>53.1447833301729</v>
      </c>
      <c r="K59" s="30">
        <v>70.0</v>
      </c>
      <c r="L59" s="29">
        <v>36.0</v>
      </c>
      <c r="M59" s="29">
        <v>3949.33333333333</v>
      </c>
      <c r="N59" s="29">
        <v>-53.2447942324231</v>
      </c>
      <c r="O59" s="29">
        <v>-6.1251645222639</v>
      </c>
      <c r="P59" s="29">
        <v>26.3450161219084</v>
      </c>
      <c r="Q59" s="29">
        <v>64.2018365054162</v>
      </c>
      <c r="R59" s="29">
        <v>-43.4057142857143</v>
      </c>
      <c r="S59" s="29">
        <v>36.0</v>
      </c>
      <c r="T59" s="23">
        <v>36.0</v>
      </c>
      <c r="U59" s="23">
        <v>23.1947915700866</v>
      </c>
      <c r="V59" s="23">
        <v>5.0</v>
      </c>
      <c r="W59" s="24">
        <v>23.1947915700866</v>
      </c>
      <c r="X59" s="24">
        <v>5.0</v>
      </c>
    </row>
    <row r="60">
      <c r="A60" s="8">
        <v>41944.0</v>
      </c>
      <c r="B60" s="9">
        <f>IFERROR(__xludf.DUMMYFUNCTION("""COMPUTED_VALUE"""),23.0)</f>
        <v>23</v>
      </c>
      <c r="C60" s="29" t="s">
        <v>65</v>
      </c>
      <c r="D60" s="29">
        <v>3617.17728211779</v>
      </c>
      <c r="E60" s="29">
        <v>293.741699772643</v>
      </c>
      <c r="F60" s="29">
        <v>218.5450040379</v>
      </c>
      <c r="G60" s="29">
        <v>-12.1592229638223</v>
      </c>
      <c r="H60" s="29">
        <v>83.0</v>
      </c>
      <c r="I60" s="29">
        <v>141.34205767633</v>
      </c>
      <c r="J60" s="26">
        <v>246.06235207999</v>
      </c>
      <c r="K60" s="30">
        <v>-67.0</v>
      </c>
      <c r="L60" s="29">
        <v>-40.0</v>
      </c>
      <c r="M60" s="29">
        <v>72.3617597688582</v>
      </c>
      <c r="N60" s="29">
        <v>-62.6374068115948</v>
      </c>
      <c r="O60" s="29">
        <v>-12.1592229638223</v>
      </c>
      <c r="P60" s="29">
        <v>90.9462801420359</v>
      </c>
      <c r="Q60" s="29">
        <v>111.545741270236</v>
      </c>
      <c r="R60" s="29">
        <v>-0.268571428571448</v>
      </c>
      <c r="S60" s="29">
        <v>853.331954235214</v>
      </c>
      <c r="T60" s="23">
        <v>5.15327711112781</v>
      </c>
      <c r="U60" s="23">
        <v>37.9766586689038</v>
      </c>
      <c r="V60" s="23" t="s">
        <v>26</v>
      </c>
      <c r="W60" s="24">
        <v>37.9766586689038</v>
      </c>
      <c r="X60" s="28" t="s">
        <v>26</v>
      </c>
    </row>
    <row r="61">
      <c r="A61" s="8">
        <v>41974.0</v>
      </c>
      <c r="B61" s="9">
        <f>IFERROR(__xludf.DUMMYFUNCTION("""COMPUTED_VALUE"""),104.0)</f>
        <v>104</v>
      </c>
      <c r="C61" s="29" t="s">
        <v>66</v>
      </c>
      <c r="D61" s="29">
        <v>4034.70354179664</v>
      </c>
      <c r="E61" s="29">
        <v>302.934956119162</v>
      </c>
      <c r="F61" s="29">
        <v>79.0</v>
      </c>
      <c r="G61" s="29">
        <v>-8.29827058286995</v>
      </c>
      <c r="H61" s="29">
        <v>161.5</v>
      </c>
      <c r="I61" s="29">
        <v>145.44661939693</v>
      </c>
      <c r="J61" s="26">
        <v>123.907923410578</v>
      </c>
      <c r="K61" s="30">
        <v>9.0</v>
      </c>
      <c r="L61" s="29">
        <v>5.0</v>
      </c>
      <c r="M61" s="29">
        <v>146.080302533383</v>
      </c>
      <c r="N61" s="29">
        <v>-84.3456957415815</v>
      </c>
      <c r="O61" s="29">
        <v>-8.29827058286995</v>
      </c>
      <c r="P61" s="29">
        <v>61.9676058735649</v>
      </c>
      <c r="Q61" s="29">
        <v>164.526270863582</v>
      </c>
      <c r="R61" s="29">
        <v>-40.9342857142857</v>
      </c>
      <c r="S61" s="29">
        <v>101.958013684777</v>
      </c>
      <c r="T61" s="23">
        <v>5.0</v>
      </c>
      <c r="U61" s="23">
        <v>45.0058327368931</v>
      </c>
      <c r="V61" s="23" t="s">
        <v>26</v>
      </c>
      <c r="W61" s="24">
        <v>45.0058327368931</v>
      </c>
      <c r="X61" s="28" t="s">
        <v>26</v>
      </c>
    </row>
    <row r="62">
      <c r="A62" s="8">
        <v>42005.0</v>
      </c>
      <c r="B62" s="9">
        <f>IFERROR(__xludf.DUMMYFUNCTION("""COMPUTED_VALUE"""),101.0)</f>
        <v>101</v>
      </c>
      <c r="C62" s="29" t="s">
        <v>67</v>
      </c>
      <c r="D62" s="29">
        <v>4258.04477408968</v>
      </c>
      <c r="E62" s="29">
        <v>150.873942576969</v>
      </c>
      <c r="F62" s="29">
        <v>236.654537122569</v>
      </c>
      <c r="G62" s="29">
        <v>-9.92639179499118</v>
      </c>
      <c r="H62" s="29">
        <v>180.0</v>
      </c>
      <c r="I62" s="29">
        <v>89.94661939693</v>
      </c>
      <c r="J62" s="26">
        <v>64.5</v>
      </c>
      <c r="K62" s="30">
        <v>136.5</v>
      </c>
      <c r="L62" s="29">
        <v>134.5</v>
      </c>
      <c r="M62" s="29">
        <v>6314.66666666667</v>
      </c>
      <c r="N62" s="29">
        <v>-83.8721054038066</v>
      </c>
      <c r="O62" s="29">
        <v>-9.92639179499118</v>
      </c>
      <c r="P62" s="29">
        <v>64.3666314613279</v>
      </c>
      <c r="Q62" s="29">
        <v>114.223107060128</v>
      </c>
      <c r="R62" s="29">
        <v>155.687653151358</v>
      </c>
      <c r="S62" s="29">
        <v>389.674501929709</v>
      </c>
      <c r="T62" s="23">
        <v>157.5</v>
      </c>
      <c r="U62" s="23">
        <v>29.9874307922156</v>
      </c>
      <c r="V62" s="23" t="s">
        <v>26</v>
      </c>
      <c r="W62" s="24">
        <v>29.9874307922156</v>
      </c>
      <c r="X62" s="28" t="s">
        <v>26</v>
      </c>
    </row>
    <row r="63">
      <c r="A63" s="8">
        <v>42036.0</v>
      </c>
      <c r="B63" s="9">
        <f>IFERROR(__xludf.DUMMYFUNCTION("""COMPUTED_VALUE"""),124.0)</f>
        <v>124</v>
      </c>
      <c r="C63" s="29" t="s">
        <v>68</v>
      </c>
      <c r="D63" s="29">
        <v>3855.19395714743</v>
      </c>
      <c r="E63" s="29">
        <v>181.977488339489</v>
      </c>
      <c r="F63" s="29">
        <v>77.0</v>
      </c>
      <c r="G63" s="29">
        <v>-22.9176645222639</v>
      </c>
      <c r="H63" s="29">
        <v>189.5</v>
      </c>
      <c r="I63" s="29">
        <v>114.94661939693</v>
      </c>
      <c r="J63" s="26">
        <v>108.5</v>
      </c>
      <c r="K63" s="30">
        <v>-18.0</v>
      </c>
      <c r="L63" s="29">
        <v>13.0</v>
      </c>
      <c r="M63" s="29">
        <v>282.0</v>
      </c>
      <c r="N63" s="29">
        <v>6.61442158542445</v>
      </c>
      <c r="O63" s="29">
        <v>-22.9176645222639</v>
      </c>
      <c r="P63" s="29">
        <v>10.9359737608414</v>
      </c>
      <c r="Q63" s="29">
        <v>167.912787249344</v>
      </c>
      <c r="R63" s="29">
        <v>38.8314285714286</v>
      </c>
      <c r="S63" s="29">
        <v>1146.26219358953</v>
      </c>
      <c r="T63" s="23">
        <v>37.5</v>
      </c>
      <c r="U63" s="23">
        <v>27.6526016190757</v>
      </c>
      <c r="V63" s="23" t="s">
        <v>26</v>
      </c>
      <c r="W63" s="24">
        <v>27.6526016190757</v>
      </c>
      <c r="X63" s="28" t="s">
        <v>26</v>
      </c>
    </row>
    <row r="64">
      <c r="A64" s="8">
        <v>42064.0</v>
      </c>
      <c r="B64" s="9">
        <f>IFERROR(__xludf.DUMMYFUNCTION("""COMPUTED_VALUE"""),58.0)</f>
        <v>58</v>
      </c>
      <c r="C64" s="29" t="s">
        <v>69</v>
      </c>
      <c r="D64" s="29">
        <v>5835.07224889063</v>
      </c>
      <c r="E64" s="29">
        <v>300.062825112767</v>
      </c>
      <c r="F64" s="29">
        <v>111.0</v>
      </c>
      <c r="G64" s="29">
        <v>-32.8303917949912</v>
      </c>
      <c r="H64" s="29">
        <v>182.75</v>
      </c>
      <c r="I64" s="29">
        <v>94.19661939693</v>
      </c>
      <c r="J64" s="26">
        <v>147.5</v>
      </c>
      <c r="K64" s="30">
        <v>49.3478608826402</v>
      </c>
      <c r="L64" s="29">
        <v>-56.0</v>
      </c>
      <c r="M64" s="29">
        <v>60.1507128078634</v>
      </c>
      <c r="N64" s="29">
        <v>-33.7602669681503</v>
      </c>
      <c r="O64" s="29">
        <v>-32.8303917949912</v>
      </c>
      <c r="P64" s="29">
        <v>-21.8428065275166</v>
      </c>
      <c r="Q64" s="29">
        <v>86.4780893941285</v>
      </c>
      <c r="R64" s="29">
        <v>-32.8771428571429</v>
      </c>
      <c r="S64" s="29">
        <v>-56.0</v>
      </c>
      <c r="T64" s="23">
        <v>-42.0</v>
      </c>
      <c r="U64" s="23">
        <v>19.5942534830972</v>
      </c>
      <c r="V64" s="23" t="s">
        <v>26</v>
      </c>
      <c r="W64" s="24">
        <v>19.5942534830972</v>
      </c>
      <c r="X64" s="28" t="s">
        <v>26</v>
      </c>
    </row>
    <row r="65">
      <c r="A65" s="8">
        <v>42095.0</v>
      </c>
      <c r="B65" s="9">
        <f>IFERROR(__xludf.DUMMYFUNCTION("""COMPUTED_VALUE"""),2192.0)</f>
        <v>2192</v>
      </c>
      <c r="C65" s="29" t="s">
        <v>70</v>
      </c>
      <c r="D65" s="29">
        <v>2266.57265739719</v>
      </c>
      <c r="E65" s="29">
        <v>241.045372551393</v>
      </c>
      <c r="F65" s="29">
        <v>111.0</v>
      </c>
      <c r="G65" s="29">
        <v>-30.0703917949912</v>
      </c>
      <c r="H65" s="29">
        <v>108.75</v>
      </c>
      <c r="I65" s="29">
        <v>4604.32358498212</v>
      </c>
      <c r="J65" s="26">
        <v>2216.29130074368</v>
      </c>
      <c r="K65" s="30">
        <v>1641.42220828611</v>
      </c>
      <c r="L65" s="29">
        <v>2092.09067409499</v>
      </c>
      <c r="M65" s="29">
        <v>2113.0</v>
      </c>
      <c r="N65" s="29">
        <v>1935.48489342787</v>
      </c>
      <c r="O65" s="29">
        <v>-30.0703917949912</v>
      </c>
      <c r="P65" s="29">
        <v>1453.34261711176</v>
      </c>
      <c r="Q65" s="29">
        <v>64.3615920134742</v>
      </c>
      <c r="R65" s="29">
        <v>170.877825488847</v>
      </c>
      <c r="S65" s="29">
        <v>2476.83432742338</v>
      </c>
      <c r="T65" s="23">
        <v>2192.00187029995</v>
      </c>
      <c r="U65" s="23">
        <v>43.3753086254423</v>
      </c>
      <c r="V65" s="23" t="s">
        <v>26</v>
      </c>
      <c r="W65" s="24">
        <v>43.3753086254423</v>
      </c>
      <c r="X65" s="28" t="s">
        <v>26</v>
      </c>
    </row>
    <row r="66">
      <c r="A66" s="8">
        <v>42125.0</v>
      </c>
      <c r="B66" s="9">
        <f>IFERROR(__xludf.DUMMYFUNCTION("""COMPUTED_VALUE"""),6178.0)</f>
        <v>6178</v>
      </c>
      <c r="C66" s="29" t="s">
        <v>71</v>
      </c>
      <c r="D66" s="29">
        <v>6171.77001643822</v>
      </c>
      <c r="E66" s="29">
        <v>256.537435174231</v>
      </c>
      <c r="F66" s="29">
        <v>689.0</v>
      </c>
      <c r="G66" s="29">
        <v>6178.00030154498</v>
      </c>
      <c r="H66" s="29">
        <v>1339.44042276534</v>
      </c>
      <c r="I66" s="29">
        <v>5015.80338060307</v>
      </c>
      <c r="J66" s="26">
        <v>6208.80659365976</v>
      </c>
      <c r="K66" s="30">
        <v>6177.63767335538</v>
      </c>
      <c r="L66" s="29">
        <v>73.5</v>
      </c>
      <c r="M66" s="29">
        <v>6178.01859665533</v>
      </c>
      <c r="N66" s="29">
        <v>5976.80494311185</v>
      </c>
      <c r="O66" s="29">
        <v>6178.00030154498</v>
      </c>
      <c r="P66" s="29">
        <v>6053.84344254637</v>
      </c>
      <c r="Q66" s="29">
        <v>6178.02071519882</v>
      </c>
      <c r="R66" s="29">
        <v>33.6857142857143</v>
      </c>
      <c r="S66" s="29">
        <v>6563.99949233361</v>
      </c>
      <c r="T66" s="23">
        <v>6551.73178054917</v>
      </c>
      <c r="U66" s="23">
        <v>105.0</v>
      </c>
      <c r="V66" s="23" t="s">
        <v>26</v>
      </c>
      <c r="W66" s="24">
        <v>105.0</v>
      </c>
      <c r="X66" s="28" t="s">
        <v>26</v>
      </c>
    </row>
    <row r="67">
      <c r="A67" s="8">
        <v>42156.0</v>
      </c>
      <c r="B67" s="9">
        <f>IFERROR(__xludf.DUMMYFUNCTION("""COMPUTED_VALUE"""),4324.0)</f>
        <v>4324</v>
      </c>
      <c r="C67" s="29" t="s">
        <v>72</v>
      </c>
      <c r="D67" s="29">
        <v>4483.09878587893</v>
      </c>
      <c r="E67" s="29">
        <v>9360.88651232912</v>
      </c>
      <c r="F67" s="29">
        <v>4313.96867817399</v>
      </c>
      <c r="G67" s="29">
        <v>4235.26360247219</v>
      </c>
      <c r="H67" s="29">
        <v>77.0</v>
      </c>
      <c r="I67" s="29">
        <v>3603.53667433542</v>
      </c>
      <c r="J67" s="30">
        <v>3624.96867817399</v>
      </c>
      <c r="K67" s="30">
        <v>4386.01713248266</v>
      </c>
      <c r="L67" s="29">
        <v>-43.0</v>
      </c>
      <c r="M67" s="29">
        <v>4257.0</v>
      </c>
      <c r="N67" s="29">
        <v>4218.58361647405</v>
      </c>
      <c r="O67" s="29">
        <v>4235.26360247219</v>
      </c>
      <c r="P67" s="29">
        <v>4293.94313347986</v>
      </c>
      <c r="Q67" s="29">
        <v>5759.04347203344</v>
      </c>
      <c r="R67" s="29">
        <v>103.945779750843</v>
      </c>
      <c r="S67" s="29">
        <v>4317.29137584733</v>
      </c>
      <c r="T67" s="23">
        <v>12109.8948370421</v>
      </c>
      <c r="U67" s="23">
        <v>85.3052032381515</v>
      </c>
      <c r="V67" s="23">
        <v>3667.25784086798</v>
      </c>
      <c r="W67" s="24">
        <v>85.3052032381515</v>
      </c>
      <c r="X67" s="24">
        <v>3667.25784086798</v>
      </c>
    </row>
    <row r="68">
      <c r="A68" s="8">
        <v>42186.0</v>
      </c>
      <c r="B68" s="9">
        <f>IFERROR(__xludf.DUMMYFUNCTION("""COMPUTED_VALUE"""),6158.0)</f>
        <v>6158</v>
      </c>
      <c r="C68" s="29" t="s">
        <v>73</v>
      </c>
      <c r="D68" s="29">
        <v>6156.27968108588</v>
      </c>
      <c r="E68" s="29">
        <v>6151.93624056184</v>
      </c>
      <c r="F68" s="29">
        <v>6079.25419200208</v>
      </c>
      <c r="G68" s="29">
        <v>6993.60369749505</v>
      </c>
      <c r="H68" s="29">
        <v>65.25</v>
      </c>
      <c r="I68" s="29">
        <v>7751.97310459749</v>
      </c>
      <c r="J68" s="26">
        <v>6079.0665132128</v>
      </c>
      <c r="K68" s="30">
        <v>5034.71126293228</v>
      </c>
      <c r="L68" s="29">
        <v>43.0</v>
      </c>
      <c r="M68" s="29">
        <v>6159.25259926524</v>
      </c>
      <c r="N68" s="29">
        <v>6318.71530865383</v>
      </c>
      <c r="O68" s="29">
        <v>6993.60369749505</v>
      </c>
      <c r="P68" s="29">
        <v>6157.88414377325</v>
      </c>
      <c r="Q68" s="29">
        <v>6154.8750006362</v>
      </c>
      <c r="R68" s="29">
        <v>18.4491929082598</v>
      </c>
      <c r="S68" s="29">
        <v>6220.40596799274</v>
      </c>
      <c r="T68" s="23">
        <v>12680.3133029991</v>
      </c>
      <c r="U68" s="23">
        <v>87.8289912444849</v>
      </c>
      <c r="V68" s="23" t="s">
        <v>26</v>
      </c>
      <c r="W68" s="24">
        <v>87.8289912444849</v>
      </c>
      <c r="X68" s="28" t="s">
        <v>26</v>
      </c>
    </row>
    <row r="69">
      <c r="A69" s="8">
        <v>42217.0</v>
      </c>
      <c r="B69" s="9">
        <f>IFERROR(__xludf.DUMMYFUNCTION("""COMPUTED_VALUE"""),41.0)</f>
        <v>41</v>
      </c>
      <c r="C69" s="29" t="s">
        <v>74</v>
      </c>
      <c r="D69" s="29">
        <v>6328.97653044767</v>
      </c>
      <c r="E69" s="29">
        <v>264.056602415392</v>
      </c>
      <c r="F69" s="29">
        <v>77.0</v>
      </c>
      <c r="G69" s="29">
        <v>-14.9541291687286</v>
      </c>
      <c r="H69" s="29">
        <v>46.75</v>
      </c>
      <c r="I69" s="29">
        <v>41.8833444370806</v>
      </c>
      <c r="J69" s="30">
        <v>133.0</v>
      </c>
      <c r="K69" s="30">
        <v>-20.0</v>
      </c>
      <c r="L69" s="29">
        <v>23.0</v>
      </c>
      <c r="M69" s="29">
        <v>135.0</v>
      </c>
      <c r="N69" s="29">
        <v>220.343787394315</v>
      </c>
      <c r="O69" s="29">
        <v>-14.9541291687286</v>
      </c>
      <c r="P69" s="29">
        <v>4.77750386133707</v>
      </c>
      <c r="Q69" s="29">
        <v>273.911518331209</v>
      </c>
      <c r="R69" s="29">
        <v>35.5791178127108</v>
      </c>
      <c r="S69" s="29">
        <v>271.849786854635</v>
      </c>
      <c r="T69" s="23">
        <v>6021.29395792516</v>
      </c>
      <c r="U69" s="23">
        <v>103.857117878492</v>
      </c>
      <c r="V69" s="23">
        <v>63.0</v>
      </c>
      <c r="W69" s="24">
        <v>103.857117878492</v>
      </c>
      <c r="X69" s="24">
        <v>63.0</v>
      </c>
    </row>
    <row r="70">
      <c r="A70" s="8">
        <v>42248.0</v>
      </c>
      <c r="B70" s="9">
        <f>IFERROR(__xludf.DUMMYFUNCTION("""COMPUTED_VALUE"""),55.0)</f>
        <v>55</v>
      </c>
      <c r="C70" s="29" t="s">
        <v>75</v>
      </c>
      <c r="D70" s="29">
        <v>4851.35015673331</v>
      </c>
      <c r="E70" s="29">
        <v>308.570026453172</v>
      </c>
      <c r="F70" s="29">
        <v>77.0</v>
      </c>
      <c r="G70" s="29">
        <v>6.07963151503212</v>
      </c>
      <c r="H70" s="29">
        <v>34.25</v>
      </c>
      <c r="I70" s="29">
        <v>107.25</v>
      </c>
      <c r="J70" s="30">
        <v>133.0</v>
      </c>
      <c r="K70" s="30">
        <v>35.0</v>
      </c>
      <c r="L70" s="29">
        <v>49.0</v>
      </c>
      <c r="M70" s="29">
        <v>388.666666666667</v>
      </c>
      <c r="N70" s="29">
        <v>89.6739196118359</v>
      </c>
      <c r="O70" s="29">
        <v>6.07963151503212</v>
      </c>
      <c r="P70" s="29">
        <v>31.2106418599616</v>
      </c>
      <c r="Q70" s="29">
        <v>236.585944851018</v>
      </c>
      <c r="R70" s="29">
        <v>36.2187730734716</v>
      </c>
      <c r="S70" s="29">
        <v>363.583415288541</v>
      </c>
      <c r="T70" s="23">
        <v>49.0</v>
      </c>
      <c r="U70" s="23">
        <v>140.659987328709</v>
      </c>
      <c r="V70" s="23">
        <v>36.0</v>
      </c>
      <c r="W70" s="24">
        <v>140.659987328709</v>
      </c>
      <c r="X70" s="24">
        <v>36.0</v>
      </c>
    </row>
    <row r="71">
      <c r="A71" s="8">
        <v>42278.0</v>
      </c>
      <c r="B71" s="9">
        <f>IFERROR(__xludf.DUMMYFUNCTION("""COMPUTED_VALUE"""),148.0)</f>
        <v>148</v>
      </c>
      <c r="C71" s="29" t="s">
        <v>76</v>
      </c>
      <c r="D71" s="29">
        <v>6062.80636622163</v>
      </c>
      <c r="E71" s="29">
        <v>283.294420929934</v>
      </c>
      <c r="F71" s="29">
        <v>77.0</v>
      </c>
      <c r="G71" s="29">
        <v>32.6821956175962</v>
      </c>
      <c r="H71" s="29">
        <v>40.0</v>
      </c>
      <c r="I71" s="29">
        <v>88.8712505947615</v>
      </c>
      <c r="J71" s="30">
        <v>133.0</v>
      </c>
      <c r="K71" s="30">
        <v>95.0</v>
      </c>
      <c r="L71" s="29">
        <v>307.565557001539</v>
      </c>
      <c r="M71" s="29">
        <v>51.0</v>
      </c>
      <c r="N71" s="29">
        <v>137.219874152669</v>
      </c>
      <c r="O71" s="29">
        <v>32.6821956175962</v>
      </c>
      <c r="P71" s="29">
        <v>42.4473817351121</v>
      </c>
      <c r="Q71" s="29">
        <v>132.281187003358</v>
      </c>
      <c r="R71" s="29">
        <v>122.537330278751</v>
      </c>
      <c r="S71" s="29">
        <v>427.976171636204</v>
      </c>
      <c r="T71" s="23">
        <v>60.0</v>
      </c>
      <c r="U71" s="23">
        <v>188.353329803689</v>
      </c>
      <c r="V71" s="23">
        <v>504.792351532939</v>
      </c>
      <c r="W71" s="24">
        <v>188.353329803689</v>
      </c>
      <c r="X71" s="24">
        <v>504.792351532939</v>
      </c>
    </row>
    <row r="72">
      <c r="A72" s="8">
        <v>42309.0</v>
      </c>
      <c r="B72" s="9">
        <f>IFERROR(__xludf.DUMMYFUNCTION("""COMPUTED_VALUE"""),114.0)</f>
        <v>114</v>
      </c>
      <c r="C72" s="29" t="s">
        <v>77</v>
      </c>
      <c r="D72" s="29">
        <v>4478.74279001667</v>
      </c>
      <c r="E72" s="29">
        <v>213.273983381784</v>
      </c>
      <c r="F72" s="29">
        <v>236.609542863466</v>
      </c>
      <c r="G72" s="29">
        <v>57.475785361186</v>
      </c>
      <c r="H72" s="29">
        <v>39.25</v>
      </c>
      <c r="I72" s="29">
        <v>93.9465213665487</v>
      </c>
      <c r="J72" s="30">
        <v>124.0</v>
      </c>
      <c r="K72" s="30">
        <v>93.0</v>
      </c>
      <c r="L72" s="29">
        <v>77.0</v>
      </c>
      <c r="M72" s="29">
        <v>42.0</v>
      </c>
      <c r="N72" s="29">
        <v>148.870883205508</v>
      </c>
      <c r="O72" s="29">
        <v>57.475785361186</v>
      </c>
      <c r="P72" s="29">
        <v>53.4337129450953</v>
      </c>
      <c r="Q72" s="29">
        <v>113.918207350796</v>
      </c>
      <c r="R72" s="29">
        <v>101.905282484906</v>
      </c>
      <c r="S72" s="29">
        <v>463.89404053246</v>
      </c>
      <c r="T72" s="23">
        <v>130.970060147325</v>
      </c>
      <c r="U72" s="23">
        <v>213.48352499037</v>
      </c>
      <c r="V72" s="23">
        <v>18.0</v>
      </c>
      <c r="W72" s="24">
        <v>213.48352499037</v>
      </c>
      <c r="X72" s="24">
        <v>18.0</v>
      </c>
    </row>
    <row r="73">
      <c r="A73" s="8">
        <v>42339.0</v>
      </c>
      <c r="B73" s="9">
        <f>IFERROR(__xludf.DUMMYFUNCTION("""COMPUTED_VALUE"""),622.0)</f>
        <v>622</v>
      </c>
      <c r="C73" s="29" t="s">
        <v>78</v>
      </c>
      <c r="D73" s="29">
        <v>5611.65917123655</v>
      </c>
      <c r="E73" s="29">
        <v>143.877917162658</v>
      </c>
      <c r="F73" s="29">
        <v>124.0</v>
      </c>
      <c r="G73" s="29">
        <v>50.0954740058746</v>
      </c>
      <c r="H73" s="29">
        <v>33.0</v>
      </c>
      <c r="I73" s="29">
        <v>353.195076619506</v>
      </c>
      <c r="J73" s="30">
        <v>188.812782018529</v>
      </c>
      <c r="K73" s="30">
        <v>96.0</v>
      </c>
      <c r="L73" s="29">
        <v>77.0</v>
      </c>
      <c r="M73" s="29">
        <v>12.6633079595502</v>
      </c>
      <c r="N73" s="29">
        <v>146.116275323261</v>
      </c>
      <c r="O73" s="29">
        <v>50.0954740058746</v>
      </c>
      <c r="P73" s="29">
        <v>-51.8917357714905</v>
      </c>
      <c r="Q73" s="29">
        <v>102.340652256156</v>
      </c>
      <c r="R73" s="29">
        <v>174.671339955727</v>
      </c>
      <c r="S73" s="29">
        <v>77.0</v>
      </c>
      <c r="T73" s="23">
        <v>592.685750418511</v>
      </c>
      <c r="U73" s="23">
        <v>199.026314835168</v>
      </c>
      <c r="V73" s="23">
        <v>3.0</v>
      </c>
      <c r="W73" s="24">
        <v>199.026314835168</v>
      </c>
      <c r="X73" s="24">
        <v>3.0</v>
      </c>
    </row>
    <row r="74">
      <c r="A74" s="8">
        <v>42370.0</v>
      </c>
      <c r="B74" s="9">
        <f>IFERROR(__xludf.DUMMYFUNCTION("""COMPUTED_VALUE"""),84.0)</f>
        <v>84</v>
      </c>
      <c r="C74" s="29" t="s">
        <v>79</v>
      </c>
      <c r="D74" s="29">
        <v>6723.43173481566</v>
      </c>
      <c r="E74" s="29">
        <v>287.221748650033</v>
      </c>
      <c r="F74" s="29">
        <v>130.0</v>
      </c>
      <c r="G74" s="29">
        <v>39.1517597201604</v>
      </c>
      <c r="H74" s="29">
        <v>47.6666666666667</v>
      </c>
      <c r="I74" s="29">
        <v>108.666666666667</v>
      </c>
      <c r="J74" s="30">
        <v>192.5</v>
      </c>
      <c r="K74" s="30">
        <v>72.0</v>
      </c>
      <c r="L74" s="29">
        <v>68.0</v>
      </c>
      <c r="M74" s="29">
        <v>1.56629426388416</v>
      </c>
      <c r="N74" s="29">
        <v>146.44429150439</v>
      </c>
      <c r="O74" s="29">
        <v>39.1517597201604</v>
      </c>
      <c r="P74" s="29">
        <v>-36.6014333864003</v>
      </c>
      <c r="Q74" s="29">
        <v>92.8568566943805</v>
      </c>
      <c r="R74" s="29">
        <v>77.0</v>
      </c>
      <c r="S74" s="29">
        <v>68.0</v>
      </c>
      <c r="T74" s="23">
        <v>74.0</v>
      </c>
      <c r="U74" s="23">
        <v>182.667528508205</v>
      </c>
      <c r="V74" s="23">
        <v>45.0</v>
      </c>
      <c r="W74" s="24">
        <v>182.667528508205</v>
      </c>
      <c r="X74" s="24">
        <v>45.0</v>
      </c>
    </row>
    <row r="75">
      <c r="A75" s="8">
        <v>42401.0</v>
      </c>
      <c r="B75" s="9">
        <f>IFERROR(__xludf.DUMMYFUNCTION("""COMPUTED_VALUE"""),210.0)</f>
        <v>210</v>
      </c>
      <c r="C75" s="29" t="s">
        <v>80</v>
      </c>
      <c r="D75" s="29">
        <v>6453.42674473382</v>
      </c>
      <c r="E75" s="29">
        <v>352.409070603944</v>
      </c>
      <c r="F75" s="29">
        <v>136.0</v>
      </c>
      <c r="G75" s="29">
        <v>87.593926386827</v>
      </c>
      <c r="H75" s="29">
        <v>47.6666666666667</v>
      </c>
      <c r="I75" s="29">
        <v>111.113286063597</v>
      </c>
      <c r="J75" s="30">
        <v>521.413963991501</v>
      </c>
      <c r="K75" s="30">
        <v>26.7300913114301</v>
      </c>
      <c r="L75" s="29">
        <v>-23.0</v>
      </c>
      <c r="M75" s="29">
        <v>186.589325367362</v>
      </c>
      <c r="N75" s="29">
        <v>183.902898278628</v>
      </c>
      <c r="O75" s="29">
        <v>87.593926386827</v>
      </c>
      <c r="P75" s="29">
        <v>149.822495681629</v>
      </c>
      <c r="Q75" s="29">
        <v>144.154529969091</v>
      </c>
      <c r="R75" s="29">
        <v>75.8975626632287</v>
      </c>
      <c r="S75" s="29">
        <v>171.611014333184</v>
      </c>
      <c r="T75" s="23">
        <v>-4.5</v>
      </c>
      <c r="U75" s="23">
        <v>199.733751898208</v>
      </c>
      <c r="V75" s="23">
        <v>15.778037718019</v>
      </c>
      <c r="W75" s="24">
        <v>199.733751898208</v>
      </c>
      <c r="X75" s="24">
        <v>15.778037718019</v>
      </c>
    </row>
    <row r="76">
      <c r="A76" s="8">
        <v>42430.0</v>
      </c>
      <c r="B76" s="9">
        <f>IFERROR(__xludf.DUMMYFUNCTION("""COMPUTED_VALUE"""),412.0)</f>
        <v>412</v>
      </c>
      <c r="C76" s="29" t="s">
        <v>81</v>
      </c>
      <c r="D76" s="29">
        <v>318.383661575675</v>
      </c>
      <c r="E76" s="29">
        <v>365.810790322751</v>
      </c>
      <c r="F76" s="29">
        <v>211.0</v>
      </c>
      <c r="G76" s="29">
        <v>116.367896975062</v>
      </c>
      <c r="H76" s="29">
        <v>116.666666666667</v>
      </c>
      <c r="I76" s="29">
        <v>201.432731197688</v>
      </c>
      <c r="J76" s="30">
        <v>580.557825134252</v>
      </c>
      <c r="K76" s="30">
        <v>212.0</v>
      </c>
      <c r="L76" s="29">
        <v>18.0</v>
      </c>
      <c r="M76" s="29">
        <v>527.60850457117</v>
      </c>
      <c r="N76" s="29">
        <v>218.757741595263</v>
      </c>
      <c r="O76" s="29">
        <v>116.367896975062</v>
      </c>
      <c r="P76" s="29">
        <v>78.4269378493015</v>
      </c>
      <c r="Q76" s="29">
        <v>168.447192409263</v>
      </c>
      <c r="R76" s="29">
        <v>1374.24114791434</v>
      </c>
      <c r="S76" s="29">
        <v>936.950940393775</v>
      </c>
      <c r="T76" s="23">
        <v>85.5</v>
      </c>
      <c r="U76" s="23">
        <v>181.831972231574</v>
      </c>
      <c r="V76" s="23">
        <v>167.918995802466</v>
      </c>
      <c r="W76" s="24">
        <v>181.831972231574</v>
      </c>
      <c r="X76" s="24">
        <v>167.918995802466</v>
      </c>
    </row>
    <row r="77">
      <c r="A77" s="8">
        <v>42461.0</v>
      </c>
      <c r="B77" s="9">
        <f>IFERROR(__xludf.DUMMYFUNCTION("""COMPUTED_VALUE"""),325.0)</f>
        <v>325</v>
      </c>
      <c r="C77" s="29" t="s">
        <v>82</v>
      </c>
      <c r="D77" s="29">
        <v>6125.04347954827</v>
      </c>
      <c r="E77" s="29">
        <v>342.999352503505</v>
      </c>
      <c r="F77" s="29">
        <v>216.0</v>
      </c>
      <c r="G77" s="29">
        <v>124.152489582875</v>
      </c>
      <c r="H77" s="29">
        <v>137.666666666667</v>
      </c>
      <c r="I77" s="29">
        <v>150.769084420464</v>
      </c>
      <c r="J77" s="30">
        <v>528.909553148434</v>
      </c>
      <c r="K77" s="30">
        <v>90.5</v>
      </c>
      <c r="L77" s="29">
        <v>201.827963292441</v>
      </c>
      <c r="M77" s="29">
        <v>169.048695799923</v>
      </c>
      <c r="N77" s="29">
        <v>247.007376996119</v>
      </c>
      <c r="O77" s="29">
        <v>124.152489582875</v>
      </c>
      <c r="P77" s="29">
        <v>133.155565313877</v>
      </c>
      <c r="Q77" s="29">
        <v>321.706679159331</v>
      </c>
      <c r="R77" s="29">
        <v>401.297508420967</v>
      </c>
      <c r="S77" s="29">
        <v>845.102838476466</v>
      </c>
      <c r="T77" s="23">
        <v>181.0</v>
      </c>
      <c r="U77" s="23">
        <v>219.066773039206</v>
      </c>
      <c r="V77" s="23">
        <v>122.174986649025</v>
      </c>
      <c r="W77" s="24">
        <v>219.066773039206</v>
      </c>
      <c r="X77" s="24">
        <v>122.174986649025</v>
      </c>
    </row>
    <row r="78">
      <c r="A78" s="8">
        <v>42491.0</v>
      </c>
      <c r="B78" s="9">
        <f>IFERROR(__xludf.DUMMYFUNCTION("""COMPUTED_VALUE"""),161.0)</f>
        <v>161</v>
      </c>
      <c r="C78" s="29" t="s">
        <v>64</v>
      </c>
      <c r="D78" s="29">
        <v>5714.23131588577</v>
      </c>
      <c r="E78" s="29">
        <v>324.714100189438</v>
      </c>
      <c r="F78" s="29">
        <v>216.0</v>
      </c>
      <c r="G78" s="29">
        <v>126.847896975062</v>
      </c>
      <c r="H78" s="29">
        <v>326.5</v>
      </c>
      <c r="I78" s="29">
        <v>128.839662130027</v>
      </c>
      <c r="J78" s="30">
        <v>195.5</v>
      </c>
      <c r="K78" s="30">
        <v>152.5</v>
      </c>
      <c r="L78" s="29">
        <v>144.5</v>
      </c>
      <c r="M78" s="29">
        <v>82.7637627356316</v>
      </c>
      <c r="N78" s="29">
        <v>238.067767682648</v>
      </c>
      <c r="O78" s="29">
        <v>126.847896975062</v>
      </c>
      <c r="P78" s="29">
        <v>163.727677319744</v>
      </c>
      <c r="Q78" s="29">
        <v>156.661804243216</v>
      </c>
      <c r="R78" s="29">
        <v>144.5</v>
      </c>
      <c r="S78" s="29">
        <v>332.611871316763</v>
      </c>
      <c r="T78" s="23">
        <v>237.0</v>
      </c>
      <c r="U78" s="23">
        <v>204.08434782445</v>
      </c>
      <c r="V78" s="23">
        <v>379.29472181917</v>
      </c>
      <c r="W78" s="24">
        <v>204.08434782445</v>
      </c>
      <c r="X78" s="24">
        <v>379.29472181917</v>
      </c>
    </row>
    <row r="79">
      <c r="A79" s="8">
        <v>42522.0</v>
      </c>
      <c r="B79" s="9">
        <f>IFERROR(__xludf.DUMMYFUNCTION("""COMPUTED_VALUE"""),301.0)</f>
        <v>301</v>
      </c>
      <c r="C79" s="29" t="s">
        <v>65</v>
      </c>
      <c r="D79" s="29">
        <v>5233.54378069168</v>
      </c>
      <c r="E79" s="29">
        <v>240.483047171563</v>
      </c>
      <c r="F79" s="29">
        <v>241.0</v>
      </c>
      <c r="G79" s="29">
        <v>221.472838151533</v>
      </c>
      <c r="H79" s="29">
        <v>62.25</v>
      </c>
      <c r="I79" s="29">
        <v>659.69661939693</v>
      </c>
      <c r="J79" s="30">
        <v>436.719222925154</v>
      </c>
      <c r="K79" s="30">
        <v>212.0</v>
      </c>
      <c r="L79" s="29">
        <v>215.0</v>
      </c>
      <c r="M79" s="29">
        <v>66.0</v>
      </c>
      <c r="N79" s="29">
        <v>248.255731442334</v>
      </c>
      <c r="O79" s="29">
        <v>221.472838151533</v>
      </c>
      <c r="P79" s="29">
        <v>254.634492183481</v>
      </c>
      <c r="Q79" s="29">
        <v>162.958929226779</v>
      </c>
      <c r="R79" s="29">
        <v>215.0</v>
      </c>
      <c r="S79" s="29">
        <v>1359.556389137</v>
      </c>
      <c r="T79" s="23">
        <v>279.0</v>
      </c>
      <c r="U79" s="23">
        <v>217.425698382006</v>
      </c>
      <c r="V79" s="23">
        <v>5040.76719761993</v>
      </c>
      <c r="W79" s="24">
        <v>217.425698382006</v>
      </c>
      <c r="X79" s="24">
        <v>5040.76719761993</v>
      </c>
    </row>
    <row r="80">
      <c r="A80" s="8">
        <v>42552.0</v>
      </c>
      <c r="B80" s="9">
        <f>IFERROR(__xludf.DUMMYFUNCTION("""COMPUTED_VALUE"""),171.0)</f>
        <v>171</v>
      </c>
      <c r="C80" s="29" t="s">
        <v>66</v>
      </c>
      <c r="D80" s="29">
        <v>5935.59049982974</v>
      </c>
      <c r="E80" s="29">
        <v>285.434856810971</v>
      </c>
      <c r="F80" s="29">
        <v>431.630235987276</v>
      </c>
      <c r="G80" s="29">
        <v>274.70613226918</v>
      </c>
      <c r="H80" s="29">
        <v>102.25</v>
      </c>
      <c r="I80" s="29">
        <v>185.25</v>
      </c>
      <c r="J80" s="30">
        <v>360.903833546578</v>
      </c>
      <c r="K80" s="30">
        <v>271.0</v>
      </c>
      <c r="L80" s="29">
        <v>258.0</v>
      </c>
      <c r="M80" s="29">
        <v>51349.0</v>
      </c>
      <c r="N80" s="29">
        <v>212.125690208399</v>
      </c>
      <c r="O80" s="29">
        <v>274.70613226918</v>
      </c>
      <c r="P80" s="29">
        <v>223.442227481872</v>
      </c>
      <c r="Q80" s="29">
        <v>174.31147081081</v>
      </c>
      <c r="R80" s="29">
        <v>258.0</v>
      </c>
      <c r="S80" s="29">
        <v>258.0</v>
      </c>
      <c r="T80" s="23">
        <v>290.0</v>
      </c>
      <c r="U80" s="23">
        <v>228.374398963108</v>
      </c>
      <c r="V80" s="23">
        <v>161.0</v>
      </c>
      <c r="W80" s="24">
        <v>228.374398963108</v>
      </c>
      <c r="X80" s="24">
        <v>161.0</v>
      </c>
    </row>
    <row r="81">
      <c r="A81" s="8">
        <v>42583.0</v>
      </c>
      <c r="B81" s="9">
        <f>IFERROR(__xludf.DUMMYFUNCTION("""COMPUTED_VALUE"""),202.0)</f>
        <v>202</v>
      </c>
      <c r="C81" s="29" t="s">
        <v>67</v>
      </c>
      <c r="D81" s="29">
        <v>4527.68332992371</v>
      </c>
      <c r="E81" s="29">
        <v>179.556958834859</v>
      </c>
      <c r="F81" s="29">
        <v>241.0</v>
      </c>
      <c r="G81" s="29">
        <v>259.154787731365</v>
      </c>
      <c r="H81" s="29">
        <v>199.0</v>
      </c>
      <c r="I81" s="29">
        <v>105.522562738493</v>
      </c>
      <c r="J81" s="30">
        <v>354.34274390968</v>
      </c>
      <c r="K81" s="30">
        <v>289.0</v>
      </c>
      <c r="L81" s="29">
        <v>279.0</v>
      </c>
      <c r="M81" s="29">
        <v>73.7185427645243</v>
      </c>
      <c r="N81" s="29">
        <v>206.777649354504</v>
      </c>
      <c r="O81" s="29">
        <v>259.154787731365</v>
      </c>
      <c r="P81" s="29">
        <v>208.012225488282</v>
      </c>
      <c r="Q81" s="29">
        <v>111.675052688992</v>
      </c>
      <c r="R81" s="29">
        <v>279.0</v>
      </c>
      <c r="S81" s="29">
        <v>279.0</v>
      </c>
      <c r="T81" s="23">
        <v>290.0</v>
      </c>
      <c r="U81" s="23">
        <v>234.030777760034</v>
      </c>
      <c r="V81" s="23">
        <v>171.245015483332</v>
      </c>
      <c r="W81" s="24">
        <v>234.030777760034</v>
      </c>
      <c r="X81" s="24">
        <v>171.245015483332</v>
      </c>
    </row>
    <row r="82">
      <c r="A82" s="8">
        <v>42614.0</v>
      </c>
      <c r="B82" s="9">
        <f>IFERROR(__xludf.DUMMYFUNCTION("""COMPUTED_VALUE"""),222.0)</f>
        <v>222</v>
      </c>
      <c r="C82" s="29" t="s">
        <v>68</v>
      </c>
      <c r="D82" s="29">
        <v>5817.47553386875</v>
      </c>
      <c r="E82" s="29">
        <v>168.942363478077</v>
      </c>
      <c r="F82" s="29">
        <v>211.0</v>
      </c>
      <c r="G82" s="29">
        <v>268.935544033886</v>
      </c>
      <c r="H82" s="29">
        <v>221.0</v>
      </c>
      <c r="I82" s="29">
        <v>337.94661939693</v>
      </c>
      <c r="J82" s="30">
        <v>177.5</v>
      </c>
      <c r="K82" s="30">
        <v>228.0</v>
      </c>
      <c r="L82" s="29">
        <v>279.0</v>
      </c>
      <c r="M82" s="29">
        <v>171.0</v>
      </c>
      <c r="N82" s="29">
        <v>196.968850161507</v>
      </c>
      <c r="O82" s="29">
        <v>268.935544033886</v>
      </c>
      <c r="P82" s="29">
        <v>226.343301333566</v>
      </c>
      <c r="Q82" s="29">
        <v>110.218473711756</v>
      </c>
      <c r="R82" s="29">
        <v>217.285714285714</v>
      </c>
      <c r="S82" s="29">
        <v>279.0</v>
      </c>
      <c r="T82" s="23">
        <v>279.0</v>
      </c>
      <c r="U82" s="23">
        <v>233.414345154409</v>
      </c>
      <c r="V82" s="23">
        <v>212.602507619969</v>
      </c>
      <c r="W82" s="24">
        <v>233.414345154409</v>
      </c>
      <c r="X82" s="24">
        <v>212.602507619969</v>
      </c>
    </row>
    <row r="83">
      <c r="A83" s="8">
        <v>42644.0</v>
      </c>
      <c r="B83" s="9">
        <f>IFERROR(__xludf.DUMMYFUNCTION("""COMPUTED_VALUE"""),399.0)</f>
        <v>399</v>
      </c>
      <c r="C83" s="29" t="s">
        <v>69</v>
      </c>
      <c r="D83" s="29">
        <v>5328.12168217332</v>
      </c>
      <c r="E83" s="29">
        <v>63.7246065368067</v>
      </c>
      <c r="F83" s="29">
        <v>136.0</v>
      </c>
      <c r="G83" s="29">
        <v>281.343910046958</v>
      </c>
      <c r="H83" s="29">
        <v>213.0</v>
      </c>
      <c r="I83" s="29">
        <v>14.69661939693</v>
      </c>
      <c r="J83" s="30">
        <v>309.58437529646</v>
      </c>
      <c r="K83" s="30">
        <v>417.0</v>
      </c>
      <c r="L83" s="29">
        <v>279.0</v>
      </c>
      <c r="M83" s="29">
        <v>195.184545221443</v>
      </c>
      <c r="N83" s="29">
        <v>159.775806533299</v>
      </c>
      <c r="O83" s="29">
        <v>281.343910046958</v>
      </c>
      <c r="P83" s="29">
        <v>331.519252289697</v>
      </c>
      <c r="Q83" s="29">
        <v>273.578662298592</v>
      </c>
      <c r="R83" s="29">
        <v>235.571428571429</v>
      </c>
      <c r="S83" s="29">
        <v>279.0</v>
      </c>
      <c r="T83" s="23">
        <v>279.0</v>
      </c>
      <c r="U83" s="23">
        <v>230.219155488943</v>
      </c>
      <c r="V83" s="23">
        <v>413.754613645584</v>
      </c>
      <c r="W83" s="24">
        <v>230.219155488943</v>
      </c>
      <c r="X83" s="24">
        <v>413.754613645584</v>
      </c>
    </row>
    <row r="84">
      <c r="A84" s="8">
        <v>42675.0</v>
      </c>
      <c r="B84" s="9">
        <f>IFERROR(__xludf.DUMMYFUNCTION("""COMPUTED_VALUE"""),1466.0)</f>
        <v>1466</v>
      </c>
      <c r="C84" s="29" t="s">
        <v>70</v>
      </c>
      <c r="D84" s="29">
        <v>1611.96460980155</v>
      </c>
      <c r="E84" s="29">
        <v>4506.39544495304</v>
      </c>
      <c r="F84" s="29">
        <v>1030.01129021296</v>
      </c>
      <c r="G84" s="29">
        <v>2905.69101422973</v>
      </c>
      <c r="H84" s="29">
        <v>4469.5</v>
      </c>
      <c r="I84" s="29">
        <v>1386.88573998338</v>
      </c>
      <c r="J84" s="30">
        <v>177.5</v>
      </c>
      <c r="K84" s="30">
        <v>1243.2008771146</v>
      </c>
      <c r="L84" s="29">
        <v>1489.17998629167</v>
      </c>
      <c r="M84" s="29">
        <v>1918.66881649576</v>
      </c>
      <c r="N84" s="29">
        <v>1365.54287876933</v>
      </c>
      <c r="O84" s="29">
        <v>2905.69101422973</v>
      </c>
      <c r="P84" s="29">
        <v>619.812077632043</v>
      </c>
      <c r="Q84" s="29">
        <v>1921.39426080527</v>
      </c>
      <c r="R84" s="29">
        <v>1292.97746338708</v>
      </c>
      <c r="S84" s="29">
        <v>284.5</v>
      </c>
      <c r="T84" s="23">
        <v>1565.28722029685</v>
      </c>
      <c r="U84" s="23">
        <v>1492.10324540106</v>
      </c>
      <c r="V84" s="23">
        <v>1597.96582741141</v>
      </c>
      <c r="W84" s="24">
        <v>1492.10324540106</v>
      </c>
      <c r="X84" s="24">
        <v>1597.96582741141</v>
      </c>
    </row>
    <row r="85">
      <c r="A85" s="8">
        <v>42705.0</v>
      </c>
      <c r="B85" s="9">
        <f>IFERROR(__xludf.DUMMYFUNCTION("""COMPUTED_VALUE"""),354.0)</f>
        <v>354</v>
      </c>
      <c r="C85" s="29" t="s">
        <v>71</v>
      </c>
      <c r="D85" s="29">
        <v>6734.19353241706</v>
      </c>
      <c r="E85" s="29">
        <v>3053.65222096052</v>
      </c>
      <c r="F85" s="29">
        <v>249.0</v>
      </c>
      <c r="G85" s="29">
        <v>417.926025317308</v>
      </c>
      <c r="H85" s="29">
        <v>1833.33333333333</v>
      </c>
      <c r="I85" s="29">
        <v>113.44661939693</v>
      </c>
      <c r="J85" s="30">
        <v>349.5</v>
      </c>
      <c r="K85" s="30">
        <v>308.0</v>
      </c>
      <c r="L85" s="29">
        <v>278.0</v>
      </c>
      <c r="M85" s="29">
        <v>318.679786115666</v>
      </c>
      <c r="N85" s="29">
        <v>234.439597222611</v>
      </c>
      <c r="O85" s="29">
        <v>417.926025317308</v>
      </c>
      <c r="P85" s="29">
        <v>518.923834152187</v>
      </c>
      <c r="Q85" s="29">
        <v>388.922126943388</v>
      </c>
      <c r="R85" s="29">
        <v>242.571428571429</v>
      </c>
      <c r="S85" s="29">
        <v>299.617633432862</v>
      </c>
      <c r="T85" s="23">
        <v>277.0</v>
      </c>
      <c r="U85" s="23">
        <v>328.144224186807</v>
      </c>
      <c r="V85" s="23">
        <v>534.595214001517</v>
      </c>
      <c r="W85" s="24">
        <v>328.144224186807</v>
      </c>
      <c r="X85" s="24">
        <v>534.595214001517</v>
      </c>
    </row>
    <row r="86">
      <c r="A86" s="8">
        <v>42736.0</v>
      </c>
      <c r="B86" s="9">
        <f>IFERROR(__xludf.DUMMYFUNCTION("""COMPUTED_VALUE"""),1498.0)</f>
        <v>1498</v>
      </c>
      <c r="C86" s="29" t="s">
        <v>72</v>
      </c>
      <c r="D86" s="29">
        <v>7911.17708037985</v>
      </c>
      <c r="E86" s="29">
        <v>4794.124127702</v>
      </c>
      <c r="F86" s="29">
        <v>524.0</v>
      </c>
      <c r="G86" s="29">
        <v>1104.79312914266</v>
      </c>
      <c r="H86" s="29">
        <v>4493.0</v>
      </c>
      <c r="I86" s="29">
        <v>1619.44661939693</v>
      </c>
      <c r="J86" s="30">
        <v>1765.93316867064</v>
      </c>
      <c r="K86" s="30">
        <v>830.000463598932</v>
      </c>
      <c r="L86" s="29">
        <v>1624.48893331332</v>
      </c>
      <c r="M86" s="29">
        <v>17640.0</v>
      </c>
      <c r="N86" s="29">
        <v>1585.84225826186</v>
      </c>
      <c r="O86" s="29">
        <v>1104.79312914266</v>
      </c>
      <c r="P86" s="29">
        <v>549.428100827064</v>
      </c>
      <c r="Q86" s="29">
        <v>1272.94919150421</v>
      </c>
      <c r="R86" s="29">
        <v>739.471554446612</v>
      </c>
      <c r="S86" s="29">
        <v>1692.43494238478</v>
      </c>
      <c r="T86" s="23">
        <v>1133.51757326584</v>
      </c>
      <c r="U86" s="23">
        <v>777.0</v>
      </c>
      <c r="V86" s="23">
        <v>1683.49966620002</v>
      </c>
      <c r="W86" s="24">
        <v>777.0</v>
      </c>
      <c r="X86" s="24">
        <v>1683.49966620002</v>
      </c>
    </row>
    <row r="87">
      <c r="A87" s="8">
        <v>42767.0</v>
      </c>
      <c r="B87" s="9">
        <f>IFERROR(__xludf.DUMMYFUNCTION("""COMPUTED_VALUE"""),2482.0)</f>
        <v>2482</v>
      </c>
      <c r="C87" s="29" t="s">
        <v>73</v>
      </c>
      <c r="D87" s="29">
        <v>8792.43970974352</v>
      </c>
      <c r="E87" s="29">
        <v>5181.51214814257</v>
      </c>
      <c r="F87" s="29">
        <v>3068.74184498093</v>
      </c>
      <c r="G87" s="29">
        <v>1636.80652485362</v>
      </c>
      <c r="H87" s="29">
        <v>4182.0</v>
      </c>
      <c r="I87" s="29">
        <v>1645.25</v>
      </c>
      <c r="J87" s="30">
        <v>2364.30547316848</v>
      </c>
      <c r="K87" s="30">
        <v>1985.1551226043</v>
      </c>
      <c r="L87" s="29">
        <v>2576.04145434976</v>
      </c>
      <c r="M87" s="29">
        <v>35040.0</v>
      </c>
      <c r="N87" s="29">
        <v>2470.3303215236</v>
      </c>
      <c r="O87" s="29">
        <v>1636.80652485362</v>
      </c>
      <c r="P87" s="29">
        <v>2541.62290801669</v>
      </c>
      <c r="Q87" s="29">
        <v>2482.53007695027</v>
      </c>
      <c r="R87" s="29">
        <v>2507.53141396315</v>
      </c>
      <c r="S87" s="29">
        <v>2524.38824080632</v>
      </c>
      <c r="T87" s="23">
        <v>2525.60102137139</v>
      </c>
      <c r="U87" s="23">
        <v>305.6213078369</v>
      </c>
      <c r="V87" s="23">
        <v>1934.07855685912</v>
      </c>
      <c r="W87" s="24">
        <v>305.6213078369</v>
      </c>
      <c r="X87" s="24">
        <v>1934.07855685912</v>
      </c>
    </row>
    <row r="88">
      <c r="A88" s="8">
        <v>42795.0</v>
      </c>
      <c r="B88" s="9">
        <f>IFERROR(__xludf.DUMMYFUNCTION("""COMPUTED_VALUE"""),6895.0)</f>
        <v>6895</v>
      </c>
      <c r="C88" s="29" t="s">
        <v>74</v>
      </c>
      <c r="D88" s="29">
        <v>13561.9160930189</v>
      </c>
      <c r="E88" s="29">
        <v>9908.18764788106</v>
      </c>
      <c r="F88" s="29">
        <v>7433.01850487013</v>
      </c>
      <c r="G88" s="29">
        <v>7743.25036517845</v>
      </c>
      <c r="H88" s="29">
        <v>6950.0</v>
      </c>
      <c r="I88" s="29">
        <v>6363.75</v>
      </c>
      <c r="J88" s="30">
        <v>8442.06718205519</v>
      </c>
      <c r="K88" s="30">
        <v>6496.48346684908</v>
      </c>
      <c r="L88" s="29">
        <v>6799.04851324358</v>
      </c>
      <c r="M88" s="29">
        <v>6894.94716240119</v>
      </c>
      <c r="N88" s="29">
        <v>6887.94016668585</v>
      </c>
      <c r="O88" s="29">
        <v>7743.25036517845</v>
      </c>
      <c r="P88" s="29">
        <v>6876.69591792787</v>
      </c>
      <c r="Q88" s="29">
        <v>6899.4508988341</v>
      </c>
      <c r="R88" s="29">
        <v>6925.47100986775</v>
      </c>
      <c r="S88" s="29">
        <v>6952.06781696159</v>
      </c>
      <c r="T88" s="23">
        <v>6938.59852600165</v>
      </c>
      <c r="U88" s="23">
        <v>4278.58539191648</v>
      </c>
      <c r="V88" s="23">
        <v>8462.93401690209</v>
      </c>
      <c r="W88" s="24">
        <v>4278.58539191648</v>
      </c>
      <c r="X88" s="24">
        <v>8462.93401690209</v>
      </c>
    </row>
    <row r="89">
      <c r="A89" s="8">
        <v>42826.0</v>
      </c>
      <c r="B89" s="9">
        <f>IFERROR(__xludf.DUMMYFUNCTION("""COMPUTED_VALUE"""),2889.0)</f>
        <v>2889</v>
      </c>
      <c r="C89" s="29" t="s">
        <v>75</v>
      </c>
      <c r="D89" s="29">
        <v>9859.85573039948</v>
      </c>
      <c r="E89" s="29">
        <v>5755.8528230808</v>
      </c>
      <c r="F89" s="29">
        <v>1213.0</v>
      </c>
      <c r="G89" s="29">
        <v>3332.62723270749</v>
      </c>
      <c r="H89" s="29">
        <v>4265.0</v>
      </c>
      <c r="I89" s="29">
        <v>3782.13104692116</v>
      </c>
      <c r="J89" s="30">
        <v>2520.61206780611</v>
      </c>
      <c r="K89" s="30">
        <v>2565.90773397118</v>
      </c>
      <c r="L89" s="29">
        <v>2989.2406131344</v>
      </c>
      <c r="M89" s="29">
        <v>9827.0</v>
      </c>
      <c r="N89" s="29">
        <v>2979.15315433307</v>
      </c>
      <c r="O89" s="29">
        <v>3332.62723270749</v>
      </c>
      <c r="P89" s="29">
        <v>2857.38543087854</v>
      </c>
      <c r="Q89" s="29">
        <v>2365.08626370049</v>
      </c>
      <c r="R89" s="29">
        <v>2746.91889785286</v>
      </c>
      <c r="S89" s="29">
        <v>2909.18483471411</v>
      </c>
      <c r="T89" s="23">
        <v>2734.31294779141</v>
      </c>
      <c r="U89" s="23">
        <v>1721.49927206419</v>
      </c>
      <c r="V89" s="23">
        <v>2549.42684787648</v>
      </c>
      <c r="W89" s="24">
        <v>1721.49927206419</v>
      </c>
      <c r="X89" s="24">
        <v>2549.42684787648</v>
      </c>
    </row>
    <row r="90">
      <c r="A90" s="8">
        <v>42856.0</v>
      </c>
      <c r="B90" s="9">
        <f>IFERROR(__xludf.DUMMYFUNCTION("""COMPUTED_VALUE"""),542.0)</f>
        <v>542</v>
      </c>
      <c r="C90" s="29" t="s">
        <v>76</v>
      </c>
      <c r="D90" s="29">
        <v>7142.9560859745</v>
      </c>
      <c r="E90" s="29">
        <v>5055.44821650186</v>
      </c>
      <c r="F90" s="29">
        <v>1755.0</v>
      </c>
      <c r="G90" s="29">
        <v>631.47484884672</v>
      </c>
      <c r="H90" s="29">
        <v>4096.0</v>
      </c>
      <c r="I90" s="29">
        <v>1629.19661939693</v>
      </c>
      <c r="J90" s="30">
        <v>2063.94157191755</v>
      </c>
      <c r="K90" s="30">
        <v>548.0</v>
      </c>
      <c r="L90" s="29">
        <v>522.0</v>
      </c>
      <c r="M90" s="29">
        <v>802.763272435771</v>
      </c>
      <c r="N90" s="29">
        <v>480.616511548308</v>
      </c>
      <c r="O90" s="29">
        <v>631.47484884672</v>
      </c>
      <c r="P90" s="29">
        <v>433.495724982728</v>
      </c>
      <c r="Q90" s="29">
        <v>225.570728172686</v>
      </c>
      <c r="R90" s="29">
        <v>522.0</v>
      </c>
      <c r="S90" s="29">
        <v>522.0</v>
      </c>
      <c r="T90" s="23">
        <v>522.0</v>
      </c>
      <c r="U90" s="23">
        <v>536.519548577961</v>
      </c>
      <c r="V90" s="23">
        <v>6976.22238513842</v>
      </c>
      <c r="W90" s="24">
        <v>536.519548577961</v>
      </c>
      <c r="X90" s="24">
        <v>6976.22238513842</v>
      </c>
    </row>
    <row r="91">
      <c r="A91" s="8">
        <v>42887.0</v>
      </c>
      <c r="B91" s="9">
        <f>IFERROR(__xludf.DUMMYFUNCTION("""COMPUTED_VALUE"""),1355.0)</f>
        <v>1355</v>
      </c>
      <c r="C91" s="29" t="s">
        <v>77</v>
      </c>
      <c r="D91" s="29">
        <v>1266.17445542251</v>
      </c>
      <c r="E91" s="29">
        <v>2601.08992734385</v>
      </c>
      <c r="F91" s="29">
        <v>1755.0</v>
      </c>
      <c r="G91" s="29">
        <v>970.200497756383</v>
      </c>
      <c r="H91" s="29">
        <v>1336.25</v>
      </c>
      <c r="I91" s="29">
        <v>1425.7425992199</v>
      </c>
      <c r="J91" s="30">
        <v>208.0</v>
      </c>
      <c r="K91" s="30">
        <v>1237.14586405564</v>
      </c>
      <c r="L91" s="29">
        <v>646.0</v>
      </c>
      <c r="M91" s="29">
        <v>1650.47028190477</v>
      </c>
      <c r="N91" s="29">
        <v>1577.4106580083</v>
      </c>
      <c r="O91" s="29">
        <v>970.200497756383</v>
      </c>
      <c r="P91" s="29">
        <v>1401.49803690174</v>
      </c>
      <c r="Q91" s="29">
        <v>1877.61489000521</v>
      </c>
      <c r="R91" s="29">
        <v>1210.51314349742</v>
      </c>
      <c r="S91" s="29">
        <v>646.0</v>
      </c>
      <c r="T91" s="23">
        <v>1403.23323255108</v>
      </c>
      <c r="U91" s="23">
        <v>547.20679098411</v>
      </c>
      <c r="V91" s="23">
        <v>7239.60500355142</v>
      </c>
      <c r="W91" s="24">
        <v>547.20679098411</v>
      </c>
      <c r="X91" s="24">
        <v>7239.60500355142</v>
      </c>
    </row>
    <row r="92">
      <c r="A92" s="8">
        <v>42917.0</v>
      </c>
      <c r="B92" s="9">
        <f>IFERROR(__xludf.DUMMYFUNCTION("""COMPUTED_VALUE"""),731.0)</f>
        <v>731</v>
      </c>
      <c r="C92" s="29" t="s">
        <v>78</v>
      </c>
      <c r="D92" s="29">
        <v>5284.71738846641</v>
      </c>
      <c r="E92" s="29">
        <v>1383.53082757735</v>
      </c>
      <c r="F92" s="29">
        <v>524.0</v>
      </c>
      <c r="G92" s="29">
        <v>823.499554729073</v>
      </c>
      <c r="H92" s="29">
        <v>1117.5</v>
      </c>
      <c r="I92" s="29">
        <v>680.94661939693</v>
      </c>
      <c r="J92" s="30">
        <v>630.760568035901</v>
      </c>
      <c r="K92" s="30">
        <v>952.0</v>
      </c>
      <c r="L92" s="29">
        <v>3807.89331007487</v>
      </c>
      <c r="M92" s="29">
        <v>2126.0</v>
      </c>
      <c r="N92" s="29">
        <v>1885.2454291979</v>
      </c>
      <c r="O92" s="29">
        <v>823.499554729073</v>
      </c>
      <c r="P92" s="29">
        <v>683.708760344656</v>
      </c>
      <c r="Q92" s="29">
        <v>1606.08372977738</v>
      </c>
      <c r="R92" s="29">
        <v>1030.95501781301</v>
      </c>
      <c r="S92" s="29">
        <v>958.0</v>
      </c>
      <c r="T92" s="23">
        <v>3443.0</v>
      </c>
      <c r="U92" s="23">
        <v>686.031531489699</v>
      </c>
      <c r="V92" s="23">
        <v>772.0</v>
      </c>
      <c r="W92" s="24">
        <v>686.031531489699</v>
      </c>
      <c r="X92" s="24">
        <v>772.0</v>
      </c>
    </row>
    <row r="93">
      <c r="A93" s="8">
        <v>42948.0</v>
      </c>
      <c r="B93" s="9">
        <f>IFERROR(__xludf.DUMMYFUNCTION("""COMPUTED_VALUE"""),359.0)</f>
        <v>359</v>
      </c>
      <c r="C93" s="29" t="s">
        <v>79</v>
      </c>
      <c r="D93" s="29">
        <v>5495.12814765649</v>
      </c>
      <c r="E93" s="29">
        <v>1142.86792632352</v>
      </c>
      <c r="F93" s="29">
        <v>249.0</v>
      </c>
      <c r="G93" s="29">
        <v>804.71292371303</v>
      </c>
      <c r="H93" s="29">
        <v>602.75</v>
      </c>
      <c r="I93" s="29">
        <v>199.383344437081</v>
      </c>
      <c r="J93" s="30">
        <v>517.981310903501</v>
      </c>
      <c r="K93" s="30">
        <v>3457.0</v>
      </c>
      <c r="L93" s="29">
        <v>3889.24871076229</v>
      </c>
      <c r="M93" s="29">
        <v>2910.12158033341</v>
      </c>
      <c r="N93" s="29">
        <v>3335.6173639497</v>
      </c>
      <c r="O93" s="29">
        <v>804.71292371303</v>
      </c>
      <c r="P93" s="29">
        <v>526.634015417202</v>
      </c>
      <c r="Q93" s="29">
        <v>3005.25582838769</v>
      </c>
      <c r="R93" s="29">
        <v>3443.0</v>
      </c>
      <c r="S93" s="29">
        <v>3443.0</v>
      </c>
      <c r="T93" s="23">
        <v>4355.0</v>
      </c>
      <c r="U93" s="23">
        <v>720.008825034506</v>
      </c>
      <c r="V93" s="23">
        <v>729.0</v>
      </c>
      <c r="W93" s="24">
        <v>720.008825034506</v>
      </c>
      <c r="X93" s="24">
        <v>729.0</v>
      </c>
    </row>
    <row r="94">
      <c r="A94" s="14">
        <v>42979.0</v>
      </c>
      <c r="B94" s="9">
        <f>IFERROR(__xludf.DUMMYFUNCTION("""COMPUTED_VALUE"""),734.0)</f>
        <v>734</v>
      </c>
      <c r="C94" s="29" t="s">
        <v>80</v>
      </c>
      <c r="D94" s="29">
        <v>631.729592585739</v>
      </c>
      <c r="E94" s="29">
        <v>964.840414419834</v>
      </c>
      <c r="F94" s="29">
        <v>249.0</v>
      </c>
      <c r="G94" s="29">
        <v>800.971105531212</v>
      </c>
      <c r="H94" s="29">
        <v>685.0</v>
      </c>
      <c r="I94" s="29">
        <v>529.44661939693</v>
      </c>
      <c r="J94" s="30">
        <v>645.22182822957</v>
      </c>
      <c r="K94" s="30">
        <v>4481.61179630343</v>
      </c>
      <c r="L94" s="29">
        <v>2439.34740045998</v>
      </c>
      <c r="M94" s="29">
        <v>1921.19599341089</v>
      </c>
      <c r="N94" s="29">
        <v>2840.52797790958</v>
      </c>
      <c r="O94" s="29">
        <v>800.971105531212</v>
      </c>
      <c r="P94" s="29">
        <v>706.570148815822</v>
      </c>
      <c r="Q94" s="29">
        <v>2315.98045016206</v>
      </c>
      <c r="R94" s="29">
        <v>1898.56071550025</v>
      </c>
      <c r="S94" s="29">
        <v>1648.0</v>
      </c>
      <c r="T94" s="23">
        <v>3891.0</v>
      </c>
      <c r="U94" s="23">
        <v>724.72466040436</v>
      </c>
      <c r="V94" s="23">
        <v>661.0</v>
      </c>
      <c r="W94" s="24">
        <v>724.72466040436</v>
      </c>
      <c r="X94" s="24">
        <v>661.0</v>
      </c>
    </row>
    <row r="95">
      <c r="A95" s="14">
        <v>43009.0</v>
      </c>
      <c r="B95" s="9">
        <f>IFERROR(__xludf.DUMMYFUNCTION("""COMPUTED_VALUE"""),3187.0)</f>
        <v>3187</v>
      </c>
      <c r="C95" s="29" t="s">
        <v>81</v>
      </c>
      <c r="D95" s="29">
        <v>6131.46323798327</v>
      </c>
      <c r="E95" s="29">
        <v>890.397384345541</v>
      </c>
      <c r="F95" s="29">
        <v>1311.0</v>
      </c>
      <c r="G95" s="29">
        <v>11670.6934564133</v>
      </c>
      <c r="H95" s="29">
        <v>-565.2</v>
      </c>
      <c r="I95" s="29">
        <v>2110.44661939693</v>
      </c>
      <c r="J95" s="30">
        <v>942.021025325759</v>
      </c>
      <c r="K95" s="30">
        <v>3830.68749759991</v>
      </c>
      <c r="L95" s="29">
        <v>20246.3378895275</v>
      </c>
      <c r="M95" s="29">
        <v>3113.95962365107</v>
      </c>
      <c r="N95" s="29">
        <v>4732.50703572463</v>
      </c>
      <c r="O95" s="29">
        <v>11670.6934564133</v>
      </c>
      <c r="P95" s="29">
        <v>29972.1007832096</v>
      </c>
      <c r="Q95" s="29">
        <v>4334.76602994651</v>
      </c>
      <c r="R95" s="29">
        <v>4936.92943165655</v>
      </c>
      <c r="S95" s="29">
        <v>13232.4629972181</v>
      </c>
      <c r="T95" s="23">
        <v>4498.30127812554</v>
      </c>
      <c r="U95" s="23">
        <v>761.631144148643</v>
      </c>
      <c r="V95" s="23">
        <v>3964.80281705741</v>
      </c>
      <c r="W95" s="24">
        <v>761.631144148643</v>
      </c>
      <c r="X95" s="24">
        <v>3964.80281705741</v>
      </c>
    </row>
    <row r="96">
      <c r="A96" s="14">
        <v>43040.0</v>
      </c>
      <c r="B96" s="9">
        <f>IFERROR(__xludf.DUMMYFUNCTION("""COMPUTED_VALUE"""),1351.0)</f>
        <v>1351</v>
      </c>
      <c r="C96" s="29" t="s">
        <v>82</v>
      </c>
      <c r="D96" s="29">
        <v>808.665958605622</v>
      </c>
      <c r="E96" s="29">
        <v>768.186294297998</v>
      </c>
      <c r="F96" s="29">
        <v>1798.0</v>
      </c>
      <c r="G96" s="29">
        <v>1497.60709483602</v>
      </c>
      <c r="H96" s="29">
        <v>465.8</v>
      </c>
      <c r="I96" s="29">
        <v>760.19661939693</v>
      </c>
      <c r="J96" s="30">
        <v>959.75124073042</v>
      </c>
      <c r="K96" s="30">
        <v>1638.0</v>
      </c>
      <c r="L96" s="29">
        <v>1656.0</v>
      </c>
      <c r="M96" s="29">
        <v>513.619944998063</v>
      </c>
      <c r="N96" s="29">
        <v>1610.67627521515</v>
      </c>
      <c r="O96" s="29">
        <v>1497.60709483602</v>
      </c>
      <c r="P96" s="29">
        <v>1694.74031550118</v>
      </c>
      <c r="Q96" s="29">
        <v>705.159868361091</v>
      </c>
      <c r="R96" s="29">
        <v>1656.0</v>
      </c>
      <c r="S96" s="29">
        <v>1656.0</v>
      </c>
      <c r="T96" s="23">
        <v>3899.0</v>
      </c>
      <c r="U96" s="23">
        <v>1132.21839230275</v>
      </c>
      <c r="V96" s="23">
        <v>1760805.403129</v>
      </c>
      <c r="W96" s="24">
        <v>1132.21839230275</v>
      </c>
      <c r="X96" s="24">
        <v>1760805.403129</v>
      </c>
    </row>
    <row r="97">
      <c r="A97" s="14">
        <v>43070.0</v>
      </c>
      <c r="B97" s="9">
        <f>IFERROR(__xludf.DUMMYFUNCTION("""COMPUTED_VALUE"""),4993.0)</f>
        <v>4993</v>
      </c>
      <c r="C97" s="29" t="s">
        <v>64</v>
      </c>
      <c r="D97" s="29">
        <v>2570.46870259857</v>
      </c>
      <c r="E97" s="29">
        <v>1057.76067903025</v>
      </c>
      <c r="F97" s="29">
        <v>1798.0</v>
      </c>
      <c r="G97" s="29">
        <v>1779.32233547774</v>
      </c>
      <c r="H97" s="29">
        <v>-22.5</v>
      </c>
      <c r="I97" s="29">
        <v>715.009796326398</v>
      </c>
      <c r="J97" s="29">
        <v>918.919217490551</v>
      </c>
      <c r="K97" s="29">
        <v>1686.0</v>
      </c>
      <c r="L97" s="29">
        <v>2150.82439487353</v>
      </c>
      <c r="M97" s="29">
        <v>2196.2040200853</v>
      </c>
      <c r="N97" s="29">
        <v>4197.50333237242</v>
      </c>
      <c r="O97" s="29">
        <v>1779.32233547774</v>
      </c>
      <c r="P97" s="29">
        <v>3087.03955863023</v>
      </c>
      <c r="Q97" s="29">
        <v>2257.36143391412</v>
      </c>
      <c r="R97" s="29">
        <v>2121.12324413605</v>
      </c>
      <c r="S97" s="29">
        <v>2062.65857091467</v>
      </c>
      <c r="T97" s="23">
        <v>3898.0</v>
      </c>
      <c r="U97" s="23">
        <v>1276.99637468048</v>
      </c>
      <c r="V97" s="23">
        <v>781.0</v>
      </c>
      <c r="W97" s="24">
        <v>1276.99637468048</v>
      </c>
      <c r="X97" s="24">
        <v>781.0</v>
      </c>
    </row>
    <row r="98">
      <c r="A98" s="19">
        <v>43101.0</v>
      </c>
      <c r="B98" s="9">
        <f>IFERROR(__xludf.DUMMYFUNCTION("""COMPUTED_VALUE"""),1692.0)</f>
        <v>1692</v>
      </c>
      <c r="C98" s="29" t="s">
        <v>65</v>
      </c>
      <c r="D98" s="29">
        <v>6476.01259003024</v>
      </c>
      <c r="E98" s="29">
        <v>1561.95374070979</v>
      </c>
      <c r="F98" s="29">
        <v>1798.0</v>
      </c>
      <c r="G98" s="29">
        <v>2671.93591836544</v>
      </c>
      <c r="H98" s="29">
        <v>-245.833333333333</v>
      </c>
      <c r="I98" s="29">
        <v>422.0</v>
      </c>
      <c r="J98" s="29">
        <v>943.520564167186</v>
      </c>
      <c r="K98" s="29">
        <v>1328.0</v>
      </c>
      <c r="L98" s="29">
        <v>1883.32111343943</v>
      </c>
      <c r="M98" s="29">
        <v>820.57950184735</v>
      </c>
      <c r="N98" s="29">
        <v>2106.7534154473</v>
      </c>
      <c r="O98" s="29">
        <v>2671.93591836544</v>
      </c>
      <c r="P98" s="29">
        <v>4080.61752102261</v>
      </c>
      <c r="Q98" s="29">
        <v>1006.63699097403</v>
      </c>
      <c r="R98" s="29">
        <v>1307.0</v>
      </c>
      <c r="S98" s="29">
        <v>1307.0</v>
      </c>
      <c r="T98" s="23">
        <v>3005.5</v>
      </c>
      <c r="U98" s="23">
        <v>3134.08018624492</v>
      </c>
      <c r="V98" s="23">
        <v>699.213911745112</v>
      </c>
      <c r="W98" s="24">
        <v>3134.08018624492</v>
      </c>
      <c r="X98" s="24">
        <v>699.213911745112</v>
      </c>
    </row>
    <row r="99">
      <c r="A99" s="19">
        <v>43132.0</v>
      </c>
      <c r="B99" s="9">
        <f>IFERROR(__xludf.DUMMYFUNCTION("""COMPUTED_VALUE"""),563.0)</f>
        <v>563</v>
      </c>
      <c r="C99" s="29" t="s">
        <v>66</v>
      </c>
      <c r="D99" s="29">
        <v>5438.24974246874</v>
      </c>
      <c r="E99" s="29">
        <v>1671.33194394092</v>
      </c>
      <c r="F99" s="29">
        <v>4895.00206117847</v>
      </c>
      <c r="G99" s="29">
        <v>2978.17570446169</v>
      </c>
      <c r="H99" s="29">
        <v>1249.16666666667</v>
      </c>
      <c r="I99" s="29">
        <v>51.44661939693</v>
      </c>
      <c r="J99" s="29">
        <v>844.882179625477</v>
      </c>
      <c r="K99" s="29">
        <v>2249.0</v>
      </c>
      <c r="L99" s="29">
        <v>2188.0</v>
      </c>
      <c r="M99" s="29">
        <v>316.666666666667</v>
      </c>
      <c r="N99" s="29">
        <v>3474.86874907411</v>
      </c>
      <c r="O99" s="29">
        <v>2978.17570446169</v>
      </c>
      <c r="P99" s="29">
        <v>7759.54595542651</v>
      </c>
      <c r="Q99" s="29">
        <v>382.06716624267</v>
      </c>
      <c r="R99" s="29">
        <v>2194.0</v>
      </c>
      <c r="S99" s="29">
        <v>2188.0</v>
      </c>
      <c r="T99" s="23">
        <v>2188.0</v>
      </c>
      <c r="U99" s="23">
        <v>12552.9310732037</v>
      </c>
      <c r="V99" s="23">
        <v>9273.0</v>
      </c>
      <c r="W99" s="24">
        <v>12552.9310732037</v>
      </c>
      <c r="X99" s="24">
        <v>9273.0</v>
      </c>
    </row>
    <row r="100">
      <c r="A100" s="15">
        <v>43160.0</v>
      </c>
      <c r="B100" s="9">
        <f>IFERROR(__xludf.DUMMYFUNCTION("""COMPUTED_VALUE"""),1342.0)</f>
        <v>1342</v>
      </c>
      <c r="C100" s="29" t="s">
        <v>67</v>
      </c>
      <c r="D100" s="29">
        <v>6536.25344747373</v>
      </c>
      <c r="E100" s="29">
        <v>1604.39351678317</v>
      </c>
      <c r="F100" s="29">
        <v>5871.84224187904</v>
      </c>
      <c r="G100" s="29">
        <v>4664.42750301071</v>
      </c>
      <c r="H100" s="29">
        <v>20013.2478574014</v>
      </c>
      <c r="I100" s="29">
        <v>1113.64074521718</v>
      </c>
      <c r="J100" s="29">
        <v>969.444731287321</v>
      </c>
      <c r="K100" s="29">
        <v>3096.5</v>
      </c>
      <c r="L100" s="29">
        <v>6254.29309318732</v>
      </c>
      <c r="M100" s="29">
        <v>1743.90839140166</v>
      </c>
      <c r="N100" s="29">
        <v>4099.21183286108</v>
      </c>
      <c r="O100" s="29">
        <v>4664.42750301071</v>
      </c>
      <c r="P100" s="29">
        <v>9196.2432378999</v>
      </c>
      <c r="Q100" s="29">
        <v>1803.03040239968</v>
      </c>
      <c r="R100" s="29">
        <v>3087.5</v>
      </c>
      <c r="S100" s="29">
        <v>9314.17622710604</v>
      </c>
      <c r="T100" s="23">
        <v>2186.0</v>
      </c>
      <c r="U100" s="23">
        <v>12824.7023494013</v>
      </c>
      <c r="V100" s="23">
        <v>2288.83371875218</v>
      </c>
      <c r="W100" s="24">
        <v>12824.7023494013</v>
      </c>
      <c r="X100" s="24">
        <v>2288.83371875218</v>
      </c>
    </row>
    <row r="101">
      <c r="A101" s="15">
        <v>43191.0</v>
      </c>
      <c r="B101" s="9">
        <f>IFERROR(__xludf.DUMMYFUNCTION("""COMPUTED_VALUE"""),2833.0)</f>
        <v>2833</v>
      </c>
      <c r="C101" s="29" t="s">
        <v>68</v>
      </c>
      <c r="D101" s="29">
        <v>7076.85050722608</v>
      </c>
      <c r="E101" s="29">
        <v>1599.37953638765</v>
      </c>
      <c r="F101" s="29">
        <v>2224.0</v>
      </c>
      <c r="G101" s="29">
        <v>3209.27329804458</v>
      </c>
      <c r="H101" s="29">
        <v>567.518459451558</v>
      </c>
      <c r="I101" s="29">
        <v>832.924319026261</v>
      </c>
      <c r="J101" s="29">
        <v>1031.83333993273</v>
      </c>
      <c r="K101" s="29">
        <v>3119.5</v>
      </c>
      <c r="L101" s="29">
        <v>3086.5</v>
      </c>
      <c r="M101" s="29">
        <v>753.919084591792</v>
      </c>
      <c r="N101" s="29">
        <v>2957.7672806319</v>
      </c>
      <c r="O101" s="29">
        <v>3209.27329804458</v>
      </c>
      <c r="P101" s="29">
        <v>3225.14370926845</v>
      </c>
      <c r="Q101" s="29">
        <v>921.423312930276</v>
      </c>
      <c r="R101" s="29">
        <v>3087.5</v>
      </c>
      <c r="S101" s="29">
        <v>3086.5</v>
      </c>
      <c r="T101" s="23">
        <v>3019.01533442778</v>
      </c>
      <c r="U101" s="23">
        <v>23091.9777567833</v>
      </c>
      <c r="V101" s="23">
        <v>90828.0641600086</v>
      </c>
      <c r="W101" s="24">
        <v>23091.9777567833</v>
      </c>
      <c r="X101" s="24">
        <v>90828.0641600086</v>
      </c>
    </row>
    <row r="102">
      <c r="A102" s="15">
        <v>43221.0</v>
      </c>
      <c r="B102" s="9">
        <f>IFERROR(__xludf.DUMMYFUNCTION("""COMPUTED_VALUE"""),3475.0)</f>
        <v>3475</v>
      </c>
      <c r="C102" s="29" t="s">
        <v>69</v>
      </c>
      <c r="D102" s="29">
        <v>7419.9826933614</v>
      </c>
      <c r="E102" s="29">
        <v>2449.7179088203</v>
      </c>
      <c r="F102" s="29">
        <v>2224.0</v>
      </c>
      <c r="G102" s="29">
        <v>3243.32233547774</v>
      </c>
      <c r="H102" s="29">
        <v>218.333333333333</v>
      </c>
      <c r="I102" s="29">
        <v>2129.65445612009</v>
      </c>
      <c r="J102" s="29">
        <v>1173.47445259954</v>
      </c>
      <c r="K102" s="29">
        <v>7096.07829247191</v>
      </c>
      <c r="L102" s="29">
        <v>5643.23110246569</v>
      </c>
      <c r="M102" s="29">
        <v>4257.02951354027</v>
      </c>
      <c r="N102" s="29">
        <v>6758.95015013353</v>
      </c>
      <c r="O102" s="29">
        <v>3243.32233547774</v>
      </c>
      <c r="P102" s="29">
        <v>3700.81427705304</v>
      </c>
      <c r="Q102" s="29">
        <v>16832.3519757544</v>
      </c>
      <c r="R102" s="29">
        <v>4086.8553302944</v>
      </c>
      <c r="S102" s="29">
        <v>3537.5</v>
      </c>
      <c r="T102" s="23">
        <v>5455.92829021079</v>
      </c>
      <c r="U102" s="23">
        <v>7126.60453256836</v>
      </c>
      <c r="V102" s="23">
        <v>730.483272023833</v>
      </c>
      <c r="W102" s="24">
        <v>7126.60453256836</v>
      </c>
      <c r="X102" s="24">
        <v>730.483272023833</v>
      </c>
    </row>
    <row r="103">
      <c r="A103" s="15">
        <v>43252.0</v>
      </c>
      <c r="B103" s="9">
        <f>IFERROR(__xludf.DUMMYFUNCTION("""COMPUTED_VALUE"""),3388.0)</f>
        <v>3388</v>
      </c>
      <c r="C103" s="23" t="s">
        <v>70</v>
      </c>
      <c r="D103" s="23">
        <v>1580.08811238995</v>
      </c>
      <c r="E103" s="23">
        <v>2346.07595864607</v>
      </c>
      <c r="F103" s="23">
        <v>21896.3669900393</v>
      </c>
      <c r="G103" s="23">
        <v>3819.72014296437</v>
      </c>
      <c r="H103" s="23">
        <v>62.0</v>
      </c>
      <c r="I103" s="23">
        <v>500341.446619397</v>
      </c>
      <c r="J103" s="23">
        <v>1526.32036782582</v>
      </c>
      <c r="K103" s="23">
        <v>20607.3184290897</v>
      </c>
      <c r="L103" s="23">
        <v>8205.87359910756</v>
      </c>
      <c r="M103" s="23">
        <v>6492.8054741907</v>
      </c>
      <c r="N103" s="23">
        <v>12024.8880692925</v>
      </c>
      <c r="O103" s="23">
        <v>3819.72014296437</v>
      </c>
      <c r="P103" s="23">
        <v>22593.1388262666</v>
      </c>
      <c r="Q103" s="23">
        <v>6538.76108647081</v>
      </c>
      <c r="R103" s="23">
        <v>6767.57429354843</v>
      </c>
      <c r="S103" s="23">
        <v>3543.5</v>
      </c>
      <c r="T103" s="23">
        <v>7492.17268525722</v>
      </c>
      <c r="U103" s="23">
        <v>2839.62726128156</v>
      </c>
      <c r="V103" s="23">
        <v>1142.9496848155</v>
      </c>
      <c r="W103" s="24">
        <v>2758.69538064713</v>
      </c>
      <c r="X103" s="24">
        <v>1142.9496848155</v>
      </c>
    </row>
    <row r="104">
      <c r="A104" s="15">
        <v>43282.0</v>
      </c>
      <c r="B104" s="9">
        <f>IFERROR(__xludf.DUMMYFUNCTION("""COMPUTED_VALUE"""),3386.0)</f>
        <v>3386</v>
      </c>
      <c r="C104" s="7" t="s">
        <v>71</v>
      </c>
      <c r="D104" s="7">
        <v>773.001661184623</v>
      </c>
      <c r="E104" s="7">
        <v>1459.57162895459</v>
      </c>
      <c r="F104" s="7">
        <v>2224.0</v>
      </c>
      <c r="G104" s="7">
        <v>4956.64463494298</v>
      </c>
      <c r="H104" s="7">
        <v>764.5</v>
      </c>
      <c r="I104" s="7">
        <v>685.563587131419</v>
      </c>
      <c r="J104" s="7">
        <v>761.5</v>
      </c>
      <c r="K104" s="7">
        <v>16829.2025982471</v>
      </c>
      <c r="L104" s="7">
        <v>2194.0</v>
      </c>
      <c r="M104" s="7">
        <v>2423.85187856177</v>
      </c>
      <c r="N104" s="7">
        <v>6413.48936407405</v>
      </c>
      <c r="O104" s="7">
        <v>4956.64463494298</v>
      </c>
      <c r="P104" s="7">
        <v>8989.86104847456</v>
      </c>
      <c r="Q104" s="7">
        <v>2593.00003200972</v>
      </c>
      <c r="R104" s="7">
        <v>2288.88177526659</v>
      </c>
      <c r="S104" s="7">
        <v>2194.0</v>
      </c>
      <c r="T104" s="7">
        <v>2421.89570804723</v>
      </c>
      <c r="U104" s="7">
        <v>3423.0</v>
      </c>
      <c r="V104" s="7">
        <v>3106.0</v>
      </c>
    </row>
    <row r="105">
      <c r="A105" s="17">
        <v>43313.0</v>
      </c>
      <c r="C105" s="7" t="s">
        <v>72</v>
      </c>
      <c r="D105" s="7">
        <v>758.700586427058</v>
      </c>
      <c r="E105" s="7">
        <v>1342.75660422355</v>
      </c>
      <c r="F105" s="7">
        <v>2224.0</v>
      </c>
      <c r="G105" s="7">
        <v>5290.0558648895</v>
      </c>
      <c r="H105" s="7">
        <v>1157.5</v>
      </c>
      <c r="I105" s="7">
        <v>2417.5</v>
      </c>
      <c r="J105" s="7">
        <v>1276.63960747354</v>
      </c>
      <c r="K105" s="7">
        <v>6770.97190885646</v>
      </c>
      <c r="L105" s="7">
        <v>1261.5</v>
      </c>
      <c r="M105" s="7">
        <v>1464.87337432082</v>
      </c>
      <c r="N105" s="7">
        <v>4669.11596715355</v>
      </c>
      <c r="O105" s="7">
        <v>5290.0558648895</v>
      </c>
      <c r="P105" s="7">
        <v>4376.03607434919</v>
      </c>
      <c r="Q105" s="7">
        <v>2924.67526017464</v>
      </c>
      <c r="R105" s="7">
        <v>1389.62957059676</v>
      </c>
      <c r="S105" s="7">
        <v>1261.5</v>
      </c>
      <c r="T105" s="7">
        <v>2239.66443960583</v>
      </c>
      <c r="U105" s="7">
        <v>3204.8273261783</v>
      </c>
      <c r="V105" s="7">
        <v>3149.48633278198</v>
      </c>
    </row>
    <row r="106">
      <c r="A106" s="15">
        <v>43344.0</v>
      </c>
    </row>
    <row r="107">
      <c r="A107" s="15">
        <v>43374.0</v>
      </c>
    </row>
    <row r="108">
      <c r="A108" s="15">
        <v>43405.0</v>
      </c>
    </row>
    <row r="111">
      <c r="C111" s="31"/>
      <c r="E111" s="31"/>
      <c r="H111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0</v>
      </c>
      <c r="B1" s="2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83</v>
      </c>
      <c r="AB1" s="3" t="s">
        <v>84</v>
      </c>
    </row>
    <row r="2">
      <c r="A2" s="8">
        <v>40179.0</v>
      </c>
      <c r="B2" s="9">
        <f>IFERROR(__xludf.DUMMYFUNCTION("IMPORTRANGE(""https://docs.google.com/spreadsheets/d/1oPTPmoJ9phtMOkp-nMB7WHnPESomLzqUj9t0gcE9bYA"",""Current Region!F2:F130"")"),1600.0)</f>
        <v>1600</v>
      </c>
      <c r="C2" s="10" t="s">
        <v>3</v>
      </c>
      <c r="D2" s="10" t="s">
        <v>26</v>
      </c>
      <c r="E2" s="10" t="s">
        <v>26</v>
      </c>
      <c r="F2" s="10" t="s">
        <v>26</v>
      </c>
      <c r="G2" s="10" t="s">
        <v>26</v>
      </c>
      <c r="H2" s="10" t="s">
        <v>26</v>
      </c>
      <c r="I2" s="10" t="s">
        <v>26</v>
      </c>
      <c r="J2" s="10" t="s">
        <v>26</v>
      </c>
      <c r="K2" s="10" t="s">
        <v>26</v>
      </c>
      <c r="L2" s="10" t="s">
        <v>26</v>
      </c>
      <c r="M2" s="10" t="s">
        <v>26</v>
      </c>
      <c r="N2" s="10" t="s">
        <v>26</v>
      </c>
      <c r="O2" s="10" t="s">
        <v>26</v>
      </c>
      <c r="P2" s="10" t="s">
        <v>26</v>
      </c>
      <c r="Q2" s="10" t="s">
        <v>26</v>
      </c>
      <c r="R2" s="10" t="s">
        <v>26</v>
      </c>
      <c r="S2" s="10" t="s">
        <v>26</v>
      </c>
      <c r="T2" s="10" t="s">
        <v>26</v>
      </c>
      <c r="U2" s="10" t="s">
        <v>26</v>
      </c>
      <c r="V2" s="10" t="s">
        <v>26</v>
      </c>
      <c r="W2" s="10" t="s">
        <v>26</v>
      </c>
      <c r="X2" s="10" t="s">
        <v>26</v>
      </c>
      <c r="Y2" s="10" t="s">
        <v>26</v>
      </c>
      <c r="Z2" s="10" t="s">
        <v>26</v>
      </c>
      <c r="AA2" s="10"/>
      <c r="AB2" s="32"/>
    </row>
    <row r="3">
      <c r="A3" s="8">
        <v>40210.0</v>
      </c>
      <c r="B3" s="9">
        <f>IFERROR(__xludf.DUMMYFUNCTION("""COMPUTED_VALUE"""),846.0)</f>
        <v>846</v>
      </c>
      <c r="C3" s="10" t="s">
        <v>4</v>
      </c>
      <c r="D3" s="10" t="s">
        <v>26</v>
      </c>
      <c r="E3" s="10" t="s">
        <v>26</v>
      </c>
      <c r="F3" s="10" t="s">
        <v>26</v>
      </c>
      <c r="G3" s="10" t="s">
        <v>26</v>
      </c>
      <c r="H3" s="10" t="s">
        <v>26</v>
      </c>
      <c r="I3" s="10" t="s">
        <v>26</v>
      </c>
      <c r="J3" s="10" t="s">
        <v>26</v>
      </c>
      <c r="K3" s="10" t="s">
        <v>26</v>
      </c>
      <c r="L3" s="10" t="s">
        <v>26</v>
      </c>
      <c r="M3" s="10" t="s">
        <v>26</v>
      </c>
      <c r="N3" s="10" t="s">
        <v>26</v>
      </c>
      <c r="O3" s="10" t="s">
        <v>26</v>
      </c>
      <c r="P3" s="10" t="s">
        <v>26</v>
      </c>
      <c r="Q3" s="10" t="s">
        <v>26</v>
      </c>
      <c r="R3" s="10" t="s">
        <v>26</v>
      </c>
      <c r="S3" s="10" t="s">
        <v>26</v>
      </c>
      <c r="T3" s="10" t="s">
        <v>26</v>
      </c>
      <c r="U3" s="10" t="s">
        <v>26</v>
      </c>
      <c r="V3" s="10" t="s">
        <v>26</v>
      </c>
      <c r="W3" s="10" t="s">
        <v>26</v>
      </c>
      <c r="X3" s="10" t="s">
        <v>26</v>
      </c>
      <c r="Y3" s="10" t="s">
        <v>26</v>
      </c>
      <c r="Z3" s="10" t="s">
        <v>26</v>
      </c>
      <c r="AA3" s="10"/>
      <c r="AB3" s="32"/>
    </row>
    <row r="4">
      <c r="A4" s="8">
        <v>40238.0</v>
      </c>
      <c r="B4" s="9">
        <f>IFERROR(__xludf.DUMMYFUNCTION("""COMPUTED_VALUE"""),864.0)</f>
        <v>864</v>
      </c>
      <c r="C4" s="10" t="s">
        <v>5</v>
      </c>
      <c r="D4" s="10" t="s">
        <v>26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26</v>
      </c>
      <c r="J4" s="10" t="s">
        <v>26</v>
      </c>
      <c r="K4" s="10" t="s">
        <v>26</v>
      </c>
      <c r="L4" s="10" t="s">
        <v>26</v>
      </c>
      <c r="M4" s="10" t="s">
        <v>26</v>
      </c>
      <c r="N4" s="10" t="s">
        <v>26</v>
      </c>
      <c r="O4" s="10" t="s">
        <v>26</v>
      </c>
      <c r="P4" s="10" t="s">
        <v>26</v>
      </c>
      <c r="Q4" s="10" t="s">
        <v>26</v>
      </c>
      <c r="R4" s="10" t="s">
        <v>26</v>
      </c>
      <c r="S4" s="10" t="s">
        <v>26</v>
      </c>
      <c r="T4" s="10" t="s">
        <v>26</v>
      </c>
      <c r="U4" s="10" t="s">
        <v>26</v>
      </c>
      <c r="V4" s="10" t="s">
        <v>26</v>
      </c>
      <c r="W4" s="10" t="s">
        <v>26</v>
      </c>
      <c r="X4" s="10" t="s">
        <v>26</v>
      </c>
      <c r="Y4" s="10" t="s">
        <v>26</v>
      </c>
      <c r="Z4" s="10" t="s">
        <v>26</v>
      </c>
      <c r="AA4" s="10"/>
      <c r="AB4" s="32"/>
    </row>
    <row r="5">
      <c r="A5" s="8">
        <v>40269.0</v>
      </c>
      <c r="B5" s="9">
        <f>IFERROR(__xludf.DUMMYFUNCTION("""COMPUTED_VALUE"""),148.0)</f>
        <v>148</v>
      </c>
      <c r="C5" s="10" t="s">
        <v>6</v>
      </c>
      <c r="D5" s="10" t="s">
        <v>26</v>
      </c>
      <c r="E5" s="10" t="s">
        <v>26</v>
      </c>
      <c r="F5" s="10" t="s">
        <v>26</v>
      </c>
      <c r="G5" s="10" t="s">
        <v>26</v>
      </c>
      <c r="H5" s="10" t="s">
        <v>26</v>
      </c>
      <c r="I5" s="10" t="s">
        <v>26</v>
      </c>
      <c r="J5" s="10" t="s">
        <v>26</v>
      </c>
      <c r="K5" s="10" t="s">
        <v>26</v>
      </c>
      <c r="L5" s="10" t="s">
        <v>26</v>
      </c>
      <c r="M5" s="10" t="s">
        <v>26</v>
      </c>
      <c r="N5" s="10" t="s">
        <v>26</v>
      </c>
      <c r="O5" s="10" t="s">
        <v>26</v>
      </c>
      <c r="P5" s="10" t="s">
        <v>26</v>
      </c>
      <c r="Q5" s="10" t="s">
        <v>26</v>
      </c>
      <c r="R5" s="10" t="s">
        <v>26</v>
      </c>
      <c r="S5" s="10" t="s">
        <v>26</v>
      </c>
      <c r="T5" s="10" t="s">
        <v>26</v>
      </c>
      <c r="U5" s="10" t="s">
        <v>26</v>
      </c>
      <c r="V5" s="10" t="s">
        <v>26</v>
      </c>
      <c r="W5" s="10" t="s">
        <v>26</v>
      </c>
      <c r="X5" s="10" t="s">
        <v>26</v>
      </c>
      <c r="Y5" s="10" t="s">
        <v>26</v>
      </c>
      <c r="Z5" s="10" t="s">
        <v>26</v>
      </c>
      <c r="AA5" s="10"/>
      <c r="AB5" s="32"/>
    </row>
    <row r="6">
      <c r="A6" s="8">
        <v>40299.0</v>
      </c>
      <c r="B6" s="9">
        <f>IFERROR(__xludf.DUMMYFUNCTION("""COMPUTED_VALUE"""),260.0)</f>
        <v>260</v>
      </c>
      <c r="C6" s="10" t="s">
        <v>7</v>
      </c>
      <c r="D6" s="10" t="s">
        <v>26</v>
      </c>
      <c r="E6" s="10" t="s">
        <v>26</v>
      </c>
      <c r="F6" s="10" t="s">
        <v>26</v>
      </c>
      <c r="G6" s="10" t="s">
        <v>26</v>
      </c>
      <c r="H6" s="10" t="s">
        <v>26</v>
      </c>
      <c r="I6" s="10" t="s">
        <v>26</v>
      </c>
      <c r="J6" s="10" t="s">
        <v>26</v>
      </c>
      <c r="K6" s="10" t="s">
        <v>26</v>
      </c>
      <c r="L6" s="10" t="s">
        <v>26</v>
      </c>
      <c r="M6" s="10" t="s">
        <v>26</v>
      </c>
      <c r="N6" s="10" t="s">
        <v>26</v>
      </c>
      <c r="O6" s="10" t="s">
        <v>26</v>
      </c>
      <c r="P6" s="10" t="s">
        <v>26</v>
      </c>
      <c r="Q6" s="10" t="s">
        <v>26</v>
      </c>
      <c r="R6" s="10" t="s">
        <v>26</v>
      </c>
      <c r="S6" s="10" t="s">
        <v>26</v>
      </c>
      <c r="T6" s="10" t="s">
        <v>26</v>
      </c>
      <c r="U6" s="10" t="s">
        <v>26</v>
      </c>
      <c r="V6" s="10" t="s">
        <v>26</v>
      </c>
      <c r="W6" s="10" t="s">
        <v>26</v>
      </c>
      <c r="X6" s="10" t="s">
        <v>26</v>
      </c>
      <c r="Y6" s="10" t="s">
        <v>26</v>
      </c>
      <c r="Z6" s="10" t="s">
        <v>26</v>
      </c>
      <c r="AA6" s="10"/>
      <c r="AB6" s="32"/>
    </row>
    <row r="7">
      <c r="A7" s="8">
        <v>40330.0</v>
      </c>
      <c r="B7" s="9">
        <f>IFERROR(__xludf.DUMMYFUNCTION("""COMPUTED_VALUE"""),334.0)</f>
        <v>334</v>
      </c>
      <c r="C7" s="10" t="s">
        <v>8</v>
      </c>
      <c r="D7" s="10" t="s">
        <v>26</v>
      </c>
      <c r="E7" s="10" t="s">
        <v>26</v>
      </c>
      <c r="F7" s="10" t="s">
        <v>26</v>
      </c>
      <c r="G7" s="10" t="s">
        <v>26</v>
      </c>
      <c r="H7" s="10" t="s">
        <v>26</v>
      </c>
      <c r="I7" s="10" t="s">
        <v>26</v>
      </c>
      <c r="J7" s="10" t="s">
        <v>26</v>
      </c>
      <c r="K7" s="10" t="s">
        <v>26</v>
      </c>
      <c r="L7" s="10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  <c r="R7" s="10" t="s">
        <v>26</v>
      </c>
      <c r="S7" s="10" t="s">
        <v>26</v>
      </c>
      <c r="T7" s="10" t="s">
        <v>26</v>
      </c>
      <c r="U7" s="10" t="s">
        <v>26</v>
      </c>
      <c r="V7" s="10" t="s">
        <v>26</v>
      </c>
      <c r="W7" s="10" t="s">
        <v>26</v>
      </c>
      <c r="X7" s="10" t="s">
        <v>26</v>
      </c>
      <c r="Y7" s="10" t="s">
        <v>26</v>
      </c>
      <c r="Z7" s="10" t="s">
        <v>26</v>
      </c>
      <c r="AA7" s="10"/>
      <c r="AB7" s="32"/>
    </row>
    <row r="8">
      <c r="A8" s="8">
        <v>40360.0</v>
      </c>
      <c r="B8" s="9">
        <f>IFERROR(__xludf.DUMMYFUNCTION("""COMPUTED_VALUE"""),262.0)</f>
        <v>262</v>
      </c>
      <c r="C8" s="10" t="s">
        <v>9</v>
      </c>
      <c r="D8" s="10" t="s">
        <v>26</v>
      </c>
      <c r="E8" s="10" t="s">
        <v>26</v>
      </c>
      <c r="F8" s="10" t="s">
        <v>26</v>
      </c>
      <c r="G8" s="10" t="s">
        <v>26</v>
      </c>
      <c r="H8" s="10" t="s">
        <v>26</v>
      </c>
      <c r="I8" s="10" t="s">
        <v>26</v>
      </c>
      <c r="J8" s="10" t="s">
        <v>26</v>
      </c>
      <c r="K8" s="10" t="s">
        <v>26</v>
      </c>
      <c r="L8" s="10" t="s">
        <v>26</v>
      </c>
      <c r="M8" s="10" t="s">
        <v>26</v>
      </c>
      <c r="N8" s="10" t="s">
        <v>26</v>
      </c>
      <c r="O8" s="10" t="s">
        <v>26</v>
      </c>
      <c r="P8" s="10" t="s">
        <v>26</v>
      </c>
      <c r="Q8" s="10" t="s">
        <v>26</v>
      </c>
      <c r="R8" s="10" t="s">
        <v>26</v>
      </c>
      <c r="S8" s="10" t="s">
        <v>26</v>
      </c>
      <c r="T8" s="10" t="s">
        <v>26</v>
      </c>
      <c r="U8" s="10" t="s">
        <v>26</v>
      </c>
      <c r="V8" s="10" t="s">
        <v>26</v>
      </c>
      <c r="W8" s="10" t="s">
        <v>26</v>
      </c>
      <c r="X8" s="10" t="s">
        <v>26</v>
      </c>
      <c r="Y8" s="10" t="s">
        <v>26</v>
      </c>
      <c r="Z8" s="10" t="s">
        <v>26</v>
      </c>
      <c r="AA8" s="10"/>
      <c r="AB8" s="32"/>
    </row>
    <row r="9">
      <c r="A9" s="8">
        <v>40391.0</v>
      </c>
      <c r="B9" s="9">
        <f>IFERROR(__xludf.DUMMYFUNCTION("""COMPUTED_VALUE"""),738.0)</f>
        <v>738</v>
      </c>
      <c r="C9" s="10" t="s">
        <v>10</v>
      </c>
      <c r="D9" s="10" t="s">
        <v>26</v>
      </c>
      <c r="E9" s="10" t="s">
        <v>26</v>
      </c>
      <c r="F9" s="10" t="s">
        <v>26</v>
      </c>
      <c r="G9" s="10" t="s">
        <v>26</v>
      </c>
      <c r="H9" s="10" t="s">
        <v>26</v>
      </c>
      <c r="I9" s="10" t="s">
        <v>26</v>
      </c>
      <c r="J9" s="10" t="s">
        <v>26</v>
      </c>
      <c r="K9" s="10" t="s">
        <v>26</v>
      </c>
      <c r="L9" s="10" t="s">
        <v>26</v>
      </c>
      <c r="M9" s="10" t="s">
        <v>26</v>
      </c>
      <c r="N9" s="10" t="s">
        <v>26</v>
      </c>
      <c r="O9" s="10" t="s">
        <v>26</v>
      </c>
      <c r="P9" s="10" t="s">
        <v>26</v>
      </c>
      <c r="Q9" s="10" t="s">
        <v>26</v>
      </c>
      <c r="R9" s="10" t="s">
        <v>26</v>
      </c>
      <c r="S9" s="10" t="s">
        <v>26</v>
      </c>
      <c r="T9" s="10" t="s">
        <v>26</v>
      </c>
      <c r="U9" s="10" t="s">
        <v>26</v>
      </c>
      <c r="V9" s="10" t="s">
        <v>26</v>
      </c>
      <c r="W9" s="10" t="s">
        <v>26</v>
      </c>
      <c r="X9" s="10" t="s">
        <v>26</v>
      </c>
      <c r="Y9" s="10" t="s">
        <v>26</v>
      </c>
      <c r="Z9" s="10" t="s">
        <v>26</v>
      </c>
      <c r="AA9" s="10"/>
      <c r="AB9" s="32"/>
    </row>
    <row r="10">
      <c r="A10" s="8">
        <v>40422.0</v>
      </c>
      <c r="B10" s="9">
        <f>IFERROR(__xludf.DUMMYFUNCTION("""COMPUTED_VALUE"""),220.0)</f>
        <v>220</v>
      </c>
      <c r="C10" s="10" t="s">
        <v>11</v>
      </c>
      <c r="D10" s="10" t="s">
        <v>26</v>
      </c>
      <c r="E10" s="10" t="s">
        <v>26</v>
      </c>
      <c r="F10" s="10" t="s">
        <v>26</v>
      </c>
      <c r="G10" s="10" t="s">
        <v>26</v>
      </c>
      <c r="H10" s="10" t="s">
        <v>26</v>
      </c>
      <c r="I10" s="10" t="s">
        <v>26</v>
      </c>
      <c r="J10" s="10" t="s">
        <v>26</v>
      </c>
      <c r="K10" s="10" t="s">
        <v>26</v>
      </c>
      <c r="L10" s="10" t="s">
        <v>26</v>
      </c>
      <c r="M10" s="10" t="s">
        <v>26</v>
      </c>
      <c r="N10" s="10" t="s">
        <v>26</v>
      </c>
      <c r="O10" s="10" t="s">
        <v>26</v>
      </c>
      <c r="P10" s="10" t="s">
        <v>26</v>
      </c>
      <c r="Q10" s="10" t="s">
        <v>26</v>
      </c>
      <c r="R10" s="10" t="s">
        <v>26</v>
      </c>
      <c r="S10" s="10" t="s">
        <v>26</v>
      </c>
      <c r="T10" s="10" t="s">
        <v>26</v>
      </c>
      <c r="U10" s="10" t="s">
        <v>26</v>
      </c>
      <c r="V10" s="10" t="s">
        <v>26</v>
      </c>
      <c r="W10" s="10" t="s">
        <v>26</v>
      </c>
      <c r="X10" s="10" t="s">
        <v>26</v>
      </c>
      <c r="Y10" s="10" t="s">
        <v>26</v>
      </c>
      <c r="Z10" s="10" t="s">
        <v>26</v>
      </c>
      <c r="AA10" s="10"/>
      <c r="AB10" s="32"/>
    </row>
    <row r="11">
      <c r="A11" s="8">
        <v>40452.0</v>
      </c>
      <c r="B11" s="9">
        <f>IFERROR(__xludf.DUMMYFUNCTION("""COMPUTED_VALUE"""),18.0)</f>
        <v>18</v>
      </c>
      <c r="C11" s="10" t="s">
        <v>12</v>
      </c>
      <c r="D11" s="10" t="s">
        <v>26</v>
      </c>
      <c r="E11" s="10" t="s">
        <v>26</v>
      </c>
      <c r="F11" s="10" t="s">
        <v>26</v>
      </c>
      <c r="G11" s="10" t="s">
        <v>26</v>
      </c>
      <c r="H11" s="10" t="s">
        <v>26</v>
      </c>
      <c r="I11" s="10" t="s">
        <v>26</v>
      </c>
      <c r="J11" s="10" t="s">
        <v>26</v>
      </c>
      <c r="K11" s="10" t="s">
        <v>26</v>
      </c>
      <c r="L11" s="10" t="s">
        <v>26</v>
      </c>
      <c r="M11" s="10" t="s">
        <v>26</v>
      </c>
      <c r="N11" s="10" t="s">
        <v>26</v>
      </c>
      <c r="O11" s="10" t="s">
        <v>26</v>
      </c>
      <c r="P11" s="10" t="s">
        <v>26</v>
      </c>
      <c r="Q11" s="10" t="s">
        <v>26</v>
      </c>
      <c r="R11" s="10" t="s">
        <v>26</v>
      </c>
      <c r="S11" s="10" t="s">
        <v>26</v>
      </c>
      <c r="T11" s="10" t="s">
        <v>26</v>
      </c>
      <c r="U11" s="10" t="s">
        <v>26</v>
      </c>
      <c r="V11" s="10" t="s">
        <v>26</v>
      </c>
      <c r="W11" s="10" t="s">
        <v>26</v>
      </c>
      <c r="X11" s="10" t="s">
        <v>26</v>
      </c>
      <c r="Y11" s="10" t="s">
        <v>26</v>
      </c>
      <c r="Z11" s="10" t="s">
        <v>26</v>
      </c>
      <c r="AA11" s="10"/>
      <c r="AB11" s="32"/>
    </row>
    <row r="12">
      <c r="A12" s="8">
        <v>40483.0</v>
      </c>
      <c r="B12" s="9">
        <f>IFERROR(__xludf.DUMMYFUNCTION("""COMPUTED_VALUE"""),280.0)</f>
        <v>280</v>
      </c>
      <c r="C12" s="10" t="s">
        <v>13</v>
      </c>
      <c r="D12" s="10" t="s">
        <v>26</v>
      </c>
      <c r="E12" s="10" t="s">
        <v>26</v>
      </c>
      <c r="F12" s="10" t="s">
        <v>26</v>
      </c>
      <c r="G12" s="10" t="s">
        <v>26</v>
      </c>
      <c r="H12" s="10" t="s">
        <v>26</v>
      </c>
      <c r="I12" s="10" t="s">
        <v>26</v>
      </c>
      <c r="J12" s="10" t="s">
        <v>26</v>
      </c>
      <c r="K12" s="10" t="s">
        <v>26</v>
      </c>
      <c r="L12" s="10" t="s">
        <v>26</v>
      </c>
      <c r="M12" s="10" t="s">
        <v>26</v>
      </c>
      <c r="N12" s="10" t="s">
        <v>26</v>
      </c>
      <c r="O12" s="10" t="s">
        <v>26</v>
      </c>
      <c r="P12" s="10" t="s">
        <v>26</v>
      </c>
      <c r="Q12" s="10" t="s">
        <v>26</v>
      </c>
      <c r="R12" s="10" t="s">
        <v>26</v>
      </c>
      <c r="S12" s="10" t="s">
        <v>26</v>
      </c>
      <c r="T12" s="10" t="s">
        <v>26</v>
      </c>
      <c r="U12" s="10" t="s">
        <v>26</v>
      </c>
      <c r="V12" s="10" t="s">
        <v>26</v>
      </c>
      <c r="W12" s="10" t="s">
        <v>26</v>
      </c>
      <c r="X12" s="10" t="s">
        <v>26</v>
      </c>
      <c r="Y12" s="10" t="s">
        <v>26</v>
      </c>
      <c r="Z12" s="10" t="s">
        <v>26</v>
      </c>
      <c r="AA12" s="10"/>
      <c r="AB12" s="32"/>
    </row>
    <row r="13">
      <c r="A13" s="8">
        <v>40513.0</v>
      </c>
      <c r="B13" s="9">
        <f>IFERROR(__xludf.DUMMYFUNCTION("""COMPUTED_VALUE"""),409.0)</f>
        <v>409</v>
      </c>
      <c r="C13" s="10" t="s">
        <v>14</v>
      </c>
      <c r="D13" s="10" t="s">
        <v>26</v>
      </c>
      <c r="E13" s="10" t="s">
        <v>26</v>
      </c>
      <c r="F13" s="10" t="s">
        <v>26</v>
      </c>
      <c r="G13" s="10" t="s">
        <v>26</v>
      </c>
      <c r="H13" s="10" t="s">
        <v>26</v>
      </c>
      <c r="I13" s="10" t="s">
        <v>26</v>
      </c>
      <c r="J13" s="10" t="s">
        <v>26</v>
      </c>
      <c r="K13" s="10" t="s">
        <v>26</v>
      </c>
      <c r="L13" s="10" t="s">
        <v>26</v>
      </c>
      <c r="M13" s="10" t="s">
        <v>26</v>
      </c>
      <c r="N13" s="10" t="s">
        <v>26</v>
      </c>
      <c r="O13" s="10" t="s">
        <v>26</v>
      </c>
      <c r="P13" s="10" t="s">
        <v>26</v>
      </c>
      <c r="Q13" s="10" t="s">
        <v>26</v>
      </c>
      <c r="R13" s="10" t="s">
        <v>26</v>
      </c>
      <c r="S13" s="10" t="s">
        <v>26</v>
      </c>
      <c r="T13" s="10" t="s">
        <v>26</v>
      </c>
      <c r="U13" s="10" t="s">
        <v>26</v>
      </c>
      <c r="V13" s="10" t="s">
        <v>26</v>
      </c>
      <c r="W13" s="10" t="s">
        <v>26</v>
      </c>
      <c r="X13" s="10" t="s">
        <v>26</v>
      </c>
      <c r="Y13" s="10" t="s">
        <v>26</v>
      </c>
      <c r="Z13" s="10" t="s">
        <v>26</v>
      </c>
      <c r="AA13" s="10"/>
      <c r="AB13" s="10"/>
    </row>
    <row r="14">
      <c r="A14" s="8">
        <v>40544.0</v>
      </c>
      <c r="B14" s="9">
        <f>IFERROR(__xludf.DUMMYFUNCTION("""COMPUTED_VALUE"""),415.0)</f>
        <v>415</v>
      </c>
      <c r="C14" s="10" t="s">
        <v>15</v>
      </c>
      <c r="D14" s="10" t="s">
        <v>26</v>
      </c>
      <c r="E14" s="10" t="s">
        <v>26</v>
      </c>
      <c r="F14" s="10" t="s">
        <v>26</v>
      </c>
      <c r="G14" s="10" t="s">
        <v>26</v>
      </c>
      <c r="H14" s="10" t="s">
        <v>26</v>
      </c>
      <c r="I14" s="10" t="s">
        <v>26</v>
      </c>
      <c r="J14" s="10" t="s">
        <v>26</v>
      </c>
      <c r="K14" s="10" t="s">
        <v>26</v>
      </c>
      <c r="L14" s="10" t="s">
        <v>26</v>
      </c>
      <c r="M14" s="10" t="s">
        <v>26</v>
      </c>
      <c r="N14" s="10" t="s">
        <v>26</v>
      </c>
      <c r="O14" s="10" t="s">
        <v>26</v>
      </c>
      <c r="P14" s="10" t="s">
        <v>26</v>
      </c>
      <c r="Q14" s="10" t="s">
        <v>26</v>
      </c>
      <c r="R14" s="10" t="s">
        <v>26</v>
      </c>
      <c r="S14" s="10" t="s">
        <v>26</v>
      </c>
      <c r="T14" s="10" t="s">
        <v>26</v>
      </c>
      <c r="U14" s="10" t="s">
        <v>26</v>
      </c>
      <c r="V14" s="10" t="s">
        <v>26</v>
      </c>
      <c r="W14" s="10" t="s">
        <v>26</v>
      </c>
      <c r="X14" s="10" t="s">
        <v>26</v>
      </c>
      <c r="Y14" s="10" t="s">
        <v>26</v>
      </c>
      <c r="Z14" s="10" t="s">
        <v>26</v>
      </c>
      <c r="AA14" s="10"/>
      <c r="AB14" s="10"/>
    </row>
    <row r="15">
      <c r="A15" s="8">
        <v>40575.0</v>
      </c>
      <c r="B15" s="9">
        <f>IFERROR(__xludf.DUMMYFUNCTION("""COMPUTED_VALUE"""),433.0)</f>
        <v>433</v>
      </c>
      <c r="C15" s="10" t="s">
        <v>16</v>
      </c>
      <c r="D15" s="10" t="s">
        <v>26</v>
      </c>
      <c r="E15" s="10" t="s">
        <v>26</v>
      </c>
      <c r="F15" s="10" t="s">
        <v>26</v>
      </c>
      <c r="G15" s="10" t="s">
        <v>26</v>
      </c>
      <c r="H15" s="10" t="s">
        <v>26</v>
      </c>
      <c r="I15" s="10" t="s">
        <v>26</v>
      </c>
      <c r="J15" s="10" t="s">
        <v>26</v>
      </c>
      <c r="K15" s="10" t="s">
        <v>26</v>
      </c>
      <c r="L15" s="10" t="s">
        <v>26</v>
      </c>
      <c r="M15" s="10" t="s">
        <v>26</v>
      </c>
      <c r="N15" s="10" t="s">
        <v>26</v>
      </c>
      <c r="O15" s="10" t="s">
        <v>26</v>
      </c>
      <c r="P15" s="10" t="s">
        <v>26</v>
      </c>
      <c r="Q15" s="10" t="s">
        <v>26</v>
      </c>
      <c r="R15" s="10" t="s">
        <v>26</v>
      </c>
      <c r="S15" s="10" t="s">
        <v>26</v>
      </c>
      <c r="T15" s="10" t="s">
        <v>26</v>
      </c>
      <c r="U15" s="10" t="s">
        <v>26</v>
      </c>
      <c r="V15" s="10" t="s">
        <v>26</v>
      </c>
      <c r="W15" s="10" t="s">
        <v>26</v>
      </c>
      <c r="X15" s="10" t="s">
        <v>26</v>
      </c>
      <c r="Y15" s="10" t="s">
        <v>26</v>
      </c>
      <c r="Z15" s="10" t="s">
        <v>26</v>
      </c>
      <c r="AA15" s="10"/>
      <c r="AB15" s="10"/>
    </row>
    <row r="16">
      <c r="A16" s="8">
        <v>40603.0</v>
      </c>
      <c r="B16" s="9">
        <f>IFERROR(__xludf.DUMMYFUNCTION("""COMPUTED_VALUE"""),496.0)</f>
        <v>496</v>
      </c>
      <c r="C16" s="10" t="s">
        <v>17</v>
      </c>
      <c r="D16" s="10" t="s">
        <v>26</v>
      </c>
      <c r="E16" s="10" t="s">
        <v>26</v>
      </c>
      <c r="F16" s="10" t="s">
        <v>26</v>
      </c>
      <c r="G16" s="10" t="s">
        <v>26</v>
      </c>
      <c r="H16" s="10" t="s">
        <v>26</v>
      </c>
      <c r="I16" s="10" t="s">
        <v>26</v>
      </c>
      <c r="J16" s="10" t="s">
        <v>26</v>
      </c>
      <c r="K16" s="10" t="s">
        <v>26</v>
      </c>
      <c r="L16" s="10" t="s">
        <v>26</v>
      </c>
      <c r="M16" s="10" t="s">
        <v>26</v>
      </c>
      <c r="N16" s="10" t="s">
        <v>26</v>
      </c>
      <c r="O16" s="10" t="s">
        <v>26</v>
      </c>
      <c r="P16" s="10" t="s">
        <v>26</v>
      </c>
      <c r="Q16" s="10" t="s">
        <v>26</v>
      </c>
      <c r="R16" s="10" t="s">
        <v>26</v>
      </c>
      <c r="S16" s="10" t="s">
        <v>26</v>
      </c>
      <c r="T16" s="10" t="s">
        <v>26</v>
      </c>
      <c r="U16" s="10" t="s">
        <v>26</v>
      </c>
      <c r="V16" s="10" t="s">
        <v>26</v>
      </c>
      <c r="W16" s="10" t="s">
        <v>26</v>
      </c>
      <c r="X16" s="10" t="s">
        <v>26</v>
      </c>
      <c r="Y16" s="10" t="s">
        <v>26</v>
      </c>
      <c r="Z16" s="10" t="s">
        <v>26</v>
      </c>
      <c r="AA16" s="10"/>
      <c r="AB16" s="10"/>
    </row>
    <row r="17">
      <c r="A17" s="8">
        <v>40634.0</v>
      </c>
      <c r="B17" s="9">
        <f>IFERROR(__xludf.DUMMYFUNCTION("""COMPUTED_VALUE"""),1317.0)</f>
        <v>1317</v>
      </c>
      <c r="C17" s="10" t="s">
        <v>18</v>
      </c>
      <c r="D17" s="10" t="s">
        <v>26</v>
      </c>
      <c r="E17" s="10" t="s">
        <v>26</v>
      </c>
      <c r="F17" s="10" t="s">
        <v>26</v>
      </c>
      <c r="G17" s="10" t="s">
        <v>26</v>
      </c>
      <c r="H17" s="10" t="s">
        <v>26</v>
      </c>
      <c r="I17" s="10" t="s">
        <v>26</v>
      </c>
      <c r="J17" s="10" t="s">
        <v>26</v>
      </c>
      <c r="K17" s="10" t="s">
        <v>26</v>
      </c>
      <c r="L17" s="10" t="s">
        <v>26</v>
      </c>
      <c r="M17" s="10" t="s">
        <v>26</v>
      </c>
      <c r="N17" s="10" t="s">
        <v>26</v>
      </c>
      <c r="O17" s="10" t="s">
        <v>26</v>
      </c>
      <c r="P17" s="10" t="s">
        <v>26</v>
      </c>
      <c r="Q17" s="10" t="s">
        <v>26</v>
      </c>
      <c r="R17" s="10" t="s">
        <v>26</v>
      </c>
      <c r="S17" s="10" t="s">
        <v>26</v>
      </c>
      <c r="T17" s="10" t="s">
        <v>26</v>
      </c>
      <c r="U17" s="10" t="s">
        <v>26</v>
      </c>
      <c r="V17" s="10" t="s">
        <v>26</v>
      </c>
      <c r="W17" s="10" t="s">
        <v>26</v>
      </c>
      <c r="X17" s="10" t="s">
        <v>26</v>
      </c>
      <c r="Y17" s="10" t="s">
        <v>26</v>
      </c>
      <c r="Z17" s="10" t="s">
        <v>26</v>
      </c>
      <c r="AA17" s="10"/>
      <c r="AB17" s="10"/>
    </row>
    <row r="18">
      <c r="A18" s="8">
        <v>40664.0</v>
      </c>
      <c r="B18" s="9">
        <f>IFERROR(__xludf.DUMMYFUNCTION("""COMPUTED_VALUE"""),1415.0)</f>
        <v>1415</v>
      </c>
      <c r="C18" s="10" t="s">
        <v>19</v>
      </c>
      <c r="D18" s="10" t="s">
        <v>26</v>
      </c>
      <c r="E18" s="10" t="s">
        <v>26</v>
      </c>
      <c r="F18" s="10" t="s">
        <v>26</v>
      </c>
      <c r="G18" s="10" t="s">
        <v>26</v>
      </c>
      <c r="H18" s="10" t="s">
        <v>26</v>
      </c>
      <c r="I18" s="10" t="s">
        <v>26</v>
      </c>
      <c r="J18" s="10" t="s">
        <v>26</v>
      </c>
      <c r="K18" s="10" t="s">
        <v>26</v>
      </c>
      <c r="L18" s="10" t="s">
        <v>26</v>
      </c>
      <c r="M18" s="10" t="s">
        <v>26</v>
      </c>
      <c r="N18" s="10" t="s">
        <v>26</v>
      </c>
      <c r="O18" s="10" t="s">
        <v>26</v>
      </c>
      <c r="P18" s="10" t="s">
        <v>26</v>
      </c>
      <c r="Q18" s="10" t="s">
        <v>26</v>
      </c>
      <c r="R18" s="10" t="s">
        <v>26</v>
      </c>
      <c r="S18" s="10" t="s">
        <v>26</v>
      </c>
      <c r="T18" s="10" t="s">
        <v>26</v>
      </c>
      <c r="U18" s="10" t="s">
        <v>26</v>
      </c>
      <c r="V18" s="10" t="s">
        <v>26</v>
      </c>
      <c r="W18" s="10" t="s">
        <v>26</v>
      </c>
      <c r="X18" s="10" t="s">
        <v>26</v>
      </c>
      <c r="Y18" s="10" t="s">
        <v>26</v>
      </c>
      <c r="Z18" s="10" t="s">
        <v>26</v>
      </c>
      <c r="AA18" s="10"/>
      <c r="AB18" s="10"/>
    </row>
    <row r="19">
      <c r="A19" s="8">
        <v>40695.0</v>
      </c>
      <c r="B19" s="9">
        <f>IFERROR(__xludf.DUMMYFUNCTION("""COMPUTED_VALUE"""),3862.0)</f>
        <v>3862</v>
      </c>
      <c r="C19" s="10" t="s">
        <v>20</v>
      </c>
      <c r="D19" s="10" t="s">
        <v>26</v>
      </c>
      <c r="E19" s="10" t="s">
        <v>26</v>
      </c>
      <c r="F19" s="10" t="s">
        <v>26</v>
      </c>
      <c r="G19" s="10" t="s">
        <v>26</v>
      </c>
      <c r="H19" s="10" t="s">
        <v>26</v>
      </c>
      <c r="I19" s="10" t="s">
        <v>26</v>
      </c>
      <c r="J19" s="10" t="s">
        <v>26</v>
      </c>
      <c r="K19" s="10" t="s">
        <v>26</v>
      </c>
      <c r="L19" s="10" t="s">
        <v>26</v>
      </c>
      <c r="M19" s="10" t="s">
        <v>26</v>
      </c>
      <c r="N19" s="10" t="s">
        <v>26</v>
      </c>
      <c r="O19" s="10" t="s">
        <v>26</v>
      </c>
      <c r="P19" s="10" t="s">
        <v>26</v>
      </c>
      <c r="Q19" s="10" t="s">
        <v>26</v>
      </c>
      <c r="R19" s="10" t="s">
        <v>26</v>
      </c>
      <c r="S19" s="10" t="s">
        <v>26</v>
      </c>
      <c r="T19" s="10" t="s">
        <v>26</v>
      </c>
      <c r="U19" s="10" t="s">
        <v>26</v>
      </c>
      <c r="V19" s="10" t="s">
        <v>26</v>
      </c>
      <c r="W19" s="10" t="s">
        <v>26</v>
      </c>
      <c r="X19" s="10" t="s">
        <v>26</v>
      </c>
      <c r="Y19" s="10" t="s">
        <v>26</v>
      </c>
      <c r="Z19" s="10" t="s">
        <v>26</v>
      </c>
      <c r="AA19" s="10"/>
      <c r="AB19" s="10"/>
    </row>
    <row r="20">
      <c r="A20" s="8">
        <v>40725.0</v>
      </c>
      <c r="B20" s="9">
        <f>IFERROR(__xludf.DUMMYFUNCTION("""COMPUTED_VALUE"""),6231.0)</f>
        <v>6231</v>
      </c>
      <c r="C20" s="10" t="s">
        <v>21</v>
      </c>
      <c r="D20" s="10" t="s">
        <v>26</v>
      </c>
      <c r="E20" s="10" t="s">
        <v>26</v>
      </c>
      <c r="F20" s="10" t="s">
        <v>26</v>
      </c>
      <c r="G20" s="10" t="s">
        <v>26</v>
      </c>
      <c r="H20" s="10" t="s">
        <v>26</v>
      </c>
      <c r="I20" s="10" t="s">
        <v>26</v>
      </c>
      <c r="J20" s="10" t="s">
        <v>26</v>
      </c>
      <c r="K20" s="10" t="s">
        <v>26</v>
      </c>
      <c r="L20" s="10" t="s">
        <v>26</v>
      </c>
      <c r="M20" s="10" t="s">
        <v>26</v>
      </c>
      <c r="N20" s="10" t="s">
        <v>26</v>
      </c>
      <c r="O20" s="10" t="s">
        <v>26</v>
      </c>
      <c r="P20" s="10" t="s">
        <v>26</v>
      </c>
      <c r="Q20" s="10" t="s">
        <v>26</v>
      </c>
      <c r="R20" s="10" t="s">
        <v>26</v>
      </c>
      <c r="S20" s="10" t="s">
        <v>26</v>
      </c>
      <c r="T20" s="10" t="s">
        <v>26</v>
      </c>
      <c r="U20" s="10" t="s">
        <v>26</v>
      </c>
      <c r="V20" s="10" t="s">
        <v>26</v>
      </c>
      <c r="W20" s="10" t="s">
        <v>26</v>
      </c>
      <c r="X20" s="10" t="s">
        <v>26</v>
      </c>
      <c r="Y20" s="10" t="s">
        <v>26</v>
      </c>
      <c r="Z20" s="10" t="s">
        <v>26</v>
      </c>
      <c r="AA20" s="10"/>
      <c r="AB20" s="10"/>
    </row>
    <row r="21">
      <c r="A21" s="8">
        <v>40756.0</v>
      </c>
      <c r="B21" s="9">
        <f>IFERROR(__xludf.DUMMYFUNCTION("""COMPUTED_VALUE"""),2592.0)</f>
        <v>2592</v>
      </c>
      <c r="C21" s="10" t="s">
        <v>22</v>
      </c>
      <c r="D21" s="12">
        <v>2822.71397292351</v>
      </c>
      <c r="E21" s="12">
        <v>1916.53302906639</v>
      </c>
      <c r="F21" s="12">
        <v>2407.79933512004</v>
      </c>
      <c r="G21" s="12">
        <v>1456.94992473259</v>
      </c>
      <c r="H21" s="12">
        <v>1466.60774499754</v>
      </c>
      <c r="I21" s="12">
        <v>1856.96681506998</v>
      </c>
      <c r="J21" s="12">
        <v>2762.54729170152</v>
      </c>
      <c r="K21" s="12">
        <v>3006.80882428671</v>
      </c>
      <c r="L21" s="12">
        <v>2307.59336145439</v>
      </c>
      <c r="M21" s="12">
        <v>2170.36712543512</v>
      </c>
      <c r="N21" s="12">
        <v>1490.78871270824</v>
      </c>
      <c r="O21" s="12">
        <v>2840.86627026414</v>
      </c>
      <c r="P21" s="12">
        <v>7378.4094529093</v>
      </c>
      <c r="Q21" s="12">
        <v>1558.37615967766</v>
      </c>
      <c r="R21" s="12">
        <v>2427.37184650033</v>
      </c>
      <c r="S21" s="12">
        <v>2114.32</v>
      </c>
      <c r="T21" s="12">
        <v>2067.61478993903</v>
      </c>
      <c r="U21" s="12">
        <v>2110.55706421823</v>
      </c>
      <c r="V21" s="12">
        <v>2165.33814250789</v>
      </c>
      <c r="W21" s="12">
        <v>2134.35485831506</v>
      </c>
      <c r="X21" s="12" t="s">
        <v>26</v>
      </c>
      <c r="Y21" s="12">
        <v>1053.05101048429</v>
      </c>
      <c r="Z21" s="12">
        <v>2071.01621007569</v>
      </c>
      <c r="AA21" s="12">
        <v>872.229196236308</v>
      </c>
      <c r="AB21" s="12">
        <v>2111.73817443618</v>
      </c>
    </row>
    <row r="22">
      <c r="A22" s="8">
        <v>40787.0</v>
      </c>
      <c r="B22" s="9">
        <f>IFERROR(__xludf.DUMMYFUNCTION("""COMPUTED_VALUE"""),5288.0)</f>
        <v>5288</v>
      </c>
      <c r="C22" s="10" t="s">
        <v>23</v>
      </c>
      <c r="D22" s="12">
        <v>4089.69316384047</v>
      </c>
      <c r="E22" s="12">
        <v>5306.22204316143</v>
      </c>
      <c r="F22" s="12">
        <v>4876.47435215505</v>
      </c>
      <c r="G22" s="12">
        <v>4060.59270205813</v>
      </c>
      <c r="H22" s="12">
        <v>4060.25475367922</v>
      </c>
      <c r="I22" s="12">
        <v>4162.28479757965</v>
      </c>
      <c r="J22" s="12">
        <v>3840.7540688154</v>
      </c>
      <c r="K22" s="12">
        <v>6155.70628922571</v>
      </c>
      <c r="L22" s="12">
        <v>3521.34721585128</v>
      </c>
      <c r="M22" s="12">
        <v>5383.88672787213</v>
      </c>
      <c r="N22" s="12">
        <v>5754.49333699024</v>
      </c>
      <c r="O22" s="12">
        <v>3141.178088844</v>
      </c>
      <c r="P22" s="12">
        <v>4037.83512708471</v>
      </c>
      <c r="Q22" s="12">
        <v>3646.89012332325</v>
      </c>
      <c r="R22" s="12">
        <v>4795.86632061373</v>
      </c>
      <c r="S22" s="12">
        <v>2270.06003432502</v>
      </c>
      <c r="T22" s="12">
        <v>2234.9778332615</v>
      </c>
      <c r="U22" s="12">
        <v>5352.51088244648</v>
      </c>
      <c r="V22" s="12">
        <v>803.0</v>
      </c>
      <c r="W22" s="12">
        <v>5412.20403369281</v>
      </c>
      <c r="X22" s="12" t="s">
        <v>26</v>
      </c>
      <c r="Y22" s="12">
        <v>1764.05101048429</v>
      </c>
      <c r="Z22" s="12">
        <v>4727.6147707952</v>
      </c>
      <c r="AA22" s="12">
        <v>4274.70146374509</v>
      </c>
      <c r="AB22" s="12">
        <v>5352.12642157735</v>
      </c>
    </row>
    <row r="23">
      <c r="A23" s="8">
        <v>40817.0</v>
      </c>
      <c r="B23" s="9">
        <f>IFERROR(__xludf.DUMMYFUNCTION("""COMPUTED_VALUE"""),3586.0)</f>
        <v>3586</v>
      </c>
      <c r="C23" s="10" t="s">
        <v>24</v>
      </c>
      <c r="D23" s="12">
        <v>2891.91522581018</v>
      </c>
      <c r="E23" s="12">
        <v>3583.39121168301</v>
      </c>
      <c r="F23" s="12">
        <v>2964.32489170847</v>
      </c>
      <c r="G23" s="12">
        <v>2540.14538945308</v>
      </c>
      <c r="H23" s="12">
        <v>3428.69988790402</v>
      </c>
      <c r="I23" s="12">
        <v>3370.86051939205</v>
      </c>
      <c r="J23" s="12">
        <v>2704.90690822905</v>
      </c>
      <c r="K23" s="12">
        <v>4171.07701786176</v>
      </c>
      <c r="L23" s="12">
        <v>7789.35516193171</v>
      </c>
      <c r="M23" s="12">
        <v>3444.81472367015</v>
      </c>
      <c r="N23" s="12">
        <v>2548.75365335139</v>
      </c>
      <c r="O23" s="12">
        <v>3017.93575032351</v>
      </c>
      <c r="P23" s="12">
        <v>2752.75072513317</v>
      </c>
      <c r="Q23" s="12">
        <v>6333.34953416498</v>
      </c>
      <c r="R23" s="12">
        <v>3340.79702393149</v>
      </c>
      <c r="S23" s="12">
        <v>5052.78780981728</v>
      </c>
      <c r="T23" s="12">
        <v>5631.73430275957</v>
      </c>
      <c r="U23" s="12">
        <v>3387.55210422868</v>
      </c>
      <c r="V23" s="12">
        <v>803.0</v>
      </c>
      <c r="W23" s="12">
        <v>3411.24630107612</v>
      </c>
      <c r="X23" s="12" t="s">
        <v>26</v>
      </c>
      <c r="Y23" s="12">
        <v>1361.05101048429</v>
      </c>
      <c r="Z23" s="12">
        <v>1160.16489488858</v>
      </c>
      <c r="AA23" s="12">
        <v>2205.21972946141</v>
      </c>
      <c r="AB23" s="12">
        <v>3372.83896434332</v>
      </c>
    </row>
    <row r="24">
      <c r="A24" s="8">
        <v>40848.0</v>
      </c>
      <c r="B24" s="9">
        <f>IFERROR(__xludf.DUMMYFUNCTION("""COMPUTED_VALUE"""),682.0)</f>
        <v>682</v>
      </c>
      <c r="C24" s="10" t="s">
        <v>25</v>
      </c>
      <c r="D24" s="12">
        <v>-167.0</v>
      </c>
      <c r="E24" s="12">
        <v>0.0</v>
      </c>
      <c r="F24" s="12">
        <v>2376.13071604836</v>
      </c>
      <c r="G24" s="12">
        <v>1004.0</v>
      </c>
      <c r="H24" s="12">
        <v>2172.60566927474</v>
      </c>
      <c r="I24" s="12">
        <v>595.420681117979</v>
      </c>
      <c r="J24" s="12">
        <v>1743.08568140114</v>
      </c>
      <c r="K24" s="12">
        <v>5341.22901881705</v>
      </c>
      <c r="L24" s="12">
        <v>486.617371723462</v>
      </c>
      <c r="M24" s="12">
        <v>23.0577402585059</v>
      </c>
      <c r="N24" s="12">
        <v>848.567709545115</v>
      </c>
      <c r="O24" s="12">
        <v>1247.43242693244</v>
      </c>
      <c r="P24" s="12">
        <v>580.0</v>
      </c>
      <c r="Q24" s="12">
        <v>1935.25095020209</v>
      </c>
      <c r="R24" s="12">
        <v>288.0</v>
      </c>
      <c r="S24" s="12">
        <v>3064.02352941176</v>
      </c>
      <c r="T24" s="12">
        <v>2866.20478993903</v>
      </c>
      <c r="U24" s="12">
        <v>4815.55670064465</v>
      </c>
      <c r="V24" s="12">
        <v>135.0</v>
      </c>
      <c r="W24" s="12">
        <v>4857.54492180991</v>
      </c>
      <c r="X24" s="12" t="s">
        <v>26</v>
      </c>
      <c r="Y24" s="12">
        <v>1655.05101048429</v>
      </c>
      <c r="Z24" s="12">
        <v>1495.58288395581</v>
      </c>
      <c r="AA24" s="12">
        <v>3703.46309703793</v>
      </c>
      <c r="AB24" s="12">
        <v>4803.27497689809</v>
      </c>
    </row>
    <row r="25">
      <c r="A25" s="8">
        <v>40878.0</v>
      </c>
      <c r="B25" s="9">
        <f>IFERROR(__xludf.DUMMYFUNCTION("""COMPUTED_VALUE"""),2742.0)</f>
        <v>2742</v>
      </c>
      <c r="C25" s="12" t="s">
        <v>3</v>
      </c>
      <c r="D25" s="12">
        <v>403.0</v>
      </c>
      <c r="E25" s="12">
        <v>0.0</v>
      </c>
      <c r="F25" s="12">
        <v>2703.12012364413</v>
      </c>
      <c r="G25" s="12">
        <v>1548.47258252868</v>
      </c>
      <c r="H25" s="12">
        <v>1503.98186120357</v>
      </c>
      <c r="I25" s="12">
        <v>562.0</v>
      </c>
      <c r="J25" s="12">
        <v>1702.07342015094</v>
      </c>
      <c r="K25" s="12">
        <v>2935.86540200989</v>
      </c>
      <c r="L25" s="12">
        <v>897.886162328418</v>
      </c>
      <c r="M25" s="12">
        <v>2410.50162296504</v>
      </c>
      <c r="N25" s="12">
        <v>2374.79892248135</v>
      </c>
      <c r="O25" s="12">
        <v>906.763693220944</v>
      </c>
      <c r="P25" s="12">
        <v>441.0</v>
      </c>
      <c r="Q25" s="12">
        <v>1238.30287903751</v>
      </c>
      <c r="R25" s="12">
        <v>135.0</v>
      </c>
      <c r="S25" s="12">
        <v>1877.57176470588</v>
      </c>
      <c r="T25" s="12">
        <v>1713.29478993903</v>
      </c>
      <c r="U25" s="12">
        <v>2385.47106321516</v>
      </c>
      <c r="V25" s="12">
        <v>135.0</v>
      </c>
      <c r="W25" s="12">
        <v>2416.41856919344</v>
      </c>
      <c r="X25" s="12" t="s">
        <v>26</v>
      </c>
      <c r="Y25" s="12">
        <v>1153.05101048429</v>
      </c>
      <c r="Z25" s="12">
        <v>2324.06752973079</v>
      </c>
      <c r="AA25" s="12">
        <v>1172.54700285413</v>
      </c>
      <c r="AB25" s="12">
        <v>2389.20212067696</v>
      </c>
    </row>
    <row r="26">
      <c r="A26" s="8">
        <v>40909.0</v>
      </c>
      <c r="B26" s="9">
        <f>IFERROR(__xludf.DUMMYFUNCTION("""COMPUTED_VALUE"""),775.0)</f>
        <v>775</v>
      </c>
      <c r="C26" s="12" t="s">
        <v>4</v>
      </c>
      <c r="D26" s="12">
        <v>1936.0</v>
      </c>
      <c r="E26" s="12">
        <v>53.0</v>
      </c>
      <c r="F26" s="12">
        <v>2687.48716375633</v>
      </c>
      <c r="G26" s="12">
        <v>2265.68604177949</v>
      </c>
      <c r="H26" s="12">
        <v>1645.10482919329</v>
      </c>
      <c r="I26" s="12">
        <v>489.0</v>
      </c>
      <c r="J26" s="12">
        <v>2123.33727656497</v>
      </c>
      <c r="K26" s="12">
        <v>2948.67784669525</v>
      </c>
      <c r="L26" s="12">
        <v>1471.82672895885</v>
      </c>
      <c r="M26" s="12">
        <v>2726.00980551491</v>
      </c>
      <c r="N26" s="12">
        <v>706.202010417578</v>
      </c>
      <c r="O26" s="12">
        <v>656.911530224572</v>
      </c>
      <c r="P26" s="12">
        <v>719.0</v>
      </c>
      <c r="Q26" s="12">
        <v>1143.31961521048</v>
      </c>
      <c r="R26" s="12">
        <v>143.5</v>
      </c>
      <c r="S26" s="12">
        <v>3011.02941176471</v>
      </c>
      <c r="T26" s="12">
        <v>2866.20478993903</v>
      </c>
      <c r="U26" s="12">
        <v>2638.80687763062</v>
      </c>
      <c r="V26" s="12">
        <v>105.5</v>
      </c>
      <c r="W26" s="12">
        <v>2678.27085805101</v>
      </c>
      <c r="X26" s="12">
        <v>0.0</v>
      </c>
      <c r="Y26" s="12">
        <v>1202.05101048429</v>
      </c>
      <c r="Z26" s="12">
        <v>2516.82336412057</v>
      </c>
      <c r="AA26" s="12">
        <v>1439.33616185836</v>
      </c>
      <c r="AB26" s="12">
        <v>2648.52674587745</v>
      </c>
    </row>
    <row r="27">
      <c r="A27" s="8">
        <v>40940.0</v>
      </c>
      <c r="B27" s="9">
        <f>IFERROR(__xludf.DUMMYFUNCTION("""COMPUTED_VALUE"""),8557.0)</f>
        <v>8557</v>
      </c>
      <c r="C27" s="12" t="s">
        <v>5</v>
      </c>
      <c r="D27" s="12">
        <v>8500.0</v>
      </c>
      <c r="E27" s="12">
        <v>0.0</v>
      </c>
      <c r="F27" s="12">
        <v>8536.06110009855</v>
      </c>
      <c r="G27" s="12">
        <v>0.0</v>
      </c>
      <c r="H27" s="12">
        <v>656.526237527777</v>
      </c>
      <c r="I27" s="12">
        <v>631.0</v>
      </c>
      <c r="J27" s="12">
        <v>9075.97639926934</v>
      </c>
      <c r="K27" s="12">
        <v>239.248452222778</v>
      </c>
      <c r="L27" s="12">
        <v>7546.99416617404</v>
      </c>
      <c r="M27" s="12">
        <v>-40.3369970334157</v>
      </c>
      <c r="N27" s="12">
        <v>7798.35787351743</v>
      </c>
      <c r="O27" s="12">
        <v>1585.44874944241</v>
      </c>
      <c r="P27" s="12">
        <v>595.0</v>
      </c>
      <c r="Q27" s="12">
        <v>446.368073839685</v>
      </c>
      <c r="R27" s="12">
        <v>186.0</v>
      </c>
      <c r="S27" s="12">
        <v>3681.705</v>
      </c>
      <c r="T27" s="12">
        <v>2827.68478993903</v>
      </c>
      <c r="U27" s="12">
        <v>553.862328372246</v>
      </c>
      <c r="V27" s="12">
        <v>135.0</v>
      </c>
      <c r="W27" s="12">
        <v>-143.723000138597</v>
      </c>
      <c r="X27" s="12">
        <v>0.0</v>
      </c>
      <c r="Y27" s="12">
        <v>849.051010484291</v>
      </c>
      <c r="Z27" s="12">
        <v>1128.19459800643</v>
      </c>
      <c r="AA27" s="12">
        <v>445.372353795657</v>
      </c>
      <c r="AB27" s="12">
        <v>446.355252887499</v>
      </c>
    </row>
    <row r="28">
      <c r="A28" s="8">
        <v>40969.0</v>
      </c>
      <c r="B28" s="9">
        <f>IFERROR(__xludf.DUMMYFUNCTION("""COMPUTED_VALUE"""),3599.0)</f>
        <v>3599</v>
      </c>
      <c r="C28" s="12" t="s">
        <v>6</v>
      </c>
      <c r="D28" s="12">
        <v>822.0</v>
      </c>
      <c r="E28" s="12">
        <v>0.0</v>
      </c>
      <c r="F28" s="12">
        <v>4266.72459652971</v>
      </c>
      <c r="G28" s="12">
        <v>2024.48388239049</v>
      </c>
      <c r="H28" s="12">
        <v>1493.91027476597</v>
      </c>
      <c r="I28" s="12">
        <v>2437.0</v>
      </c>
      <c r="J28" s="12">
        <v>3048.34667489982</v>
      </c>
      <c r="K28" s="12">
        <v>3018.8329024998</v>
      </c>
      <c r="L28" s="12">
        <v>3262.75733026737</v>
      </c>
      <c r="M28" s="12">
        <v>1294.49615684536</v>
      </c>
      <c r="N28" s="12">
        <v>1913.15218542815</v>
      </c>
      <c r="O28" s="12">
        <v>845.576518000827</v>
      </c>
      <c r="P28" s="12">
        <v>2853.2686870784</v>
      </c>
      <c r="Q28" s="12">
        <v>3263.84640592153</v>
      </c>
      <c r="R28" s="12">
        <v>193.5</v>
      </c>
      <c r="S28" s="12">
        <v>3219.495</v>
      </c>
      <c r="T28" s="12">
        <v>2556.10978993903</v>
      </c>
      <c r="U28" s="12">
        <v>165.5</v>
      </c>
      <c r="V28" s="12">
        <v>165.5</v>
      </c>
      <c r="W28" s="12">
        <v>1179.93819486065</v>
      </c>
      <c r="X28" s="12">
        <v>0.0</v>
      </c>
      <c r="Y28" s="12">
        <v>1040.05101048429</v>
      </c>
      <c r="Z28" s="12">
        <v>1879.54897287272</v>
      </c>
      <c r="AA28" s="12">
        <v>499.419497577823</v>
      </c>
      <c r="AB28" s="12">
        <v>1503.66637283903</v>
      </c>
    </row>
    <row r="29">
      <c r="A29" s="8">
        <v>41000.0</v>
      </c>
      <c r="B29" s="9">
        <f>IFERROR(__xludf.DUMMYFUNCTION("""COMPUTED_VALUE"""),650.0)</f>
        <v>650</v>
      </c>
      <c r="C29" s="12" t="s">
        <v>7</v>
      </c>
      <c r="D29" s="12">
        <v>93.0</v>
      </c>
      <c r="E29" s="12">
        <v>876.48475691369</v>
      </c>
      <c r="F29" s="12">
        <v>2644.9979296527</v>
      </c>
      <c r="G29" s="12">
        <v>1726.62850650761</v>
      </c>
      <c r="H29" s="12">
        <v>1146.92521612316</v>
      </c>
      <c r="I29" s="12">
        <v>557.0</v>
      </c>
      <c r="J29" s="12">
        <v>2913.99900687603</v>
      </c>
      <c r="K29" s="12">
        <v>2421.49973126625</v>
      </c>
      <c r="L29" s="12">
        <v>606.07155590928</v>
      </c>
      <c r="M29" s="12">
        <v>2346.17998586716</v>
      </c>
      <c r="N29" s="12">
        <v>2657.66700701379</v>
      </c>
      <c r="O29" s="12">
        <v>616.330540279725</v>
      </c>
      <c r="P29" s="12">
        <v>268.318007537882</v>
      </c>
      <c r="Q29" s="12">
        <v>2797.18939792622</v>
      </c>
      <c r="R29" s="12">
        <v>241.0</v>
      </c>
      <c r="S29" s="12">
        <v>2435.44411764706</v>
      </c>
      <c r="T29" s="12">
        <v>1854.00478993903</v>
      </c>
      <c r="U29" s="12">
        <v>1640.63937815737</v>
      </c>
      <c r="V29" s="12">
        <v>196.0</v>
      </c>
      <c r="W29" s="12">
        <v>2292.29066712107</v>
      </c>
      <c r="X29" s="12">
        <v>0.0</v>
      </c>
      <c r="Y29" s="12">
        <v>1330.05101048429</v>
      </c>
      <c r="Z29" s="12">
        <v>1124.79769195972</v>
      </c>
      <c r="AA29" s="12">
        <v>2067.49189826449</v>
      </c>
      <c r="AB29" s="12">
        <v>2826.59884967972</v>
      </c>
    </row>
    <row r="30">
      <c r="A30" s="8">
        <v>41030.0</v>
      </c>
      <c r="B30" s="9">
        <f>IFERROR(__xludf.DUMMYFUNCTION("""COMPUTED_VALUE"""),1759.0)</f>
        <v>1759</v>
      </c>
      <c r="C30" s="12" t="s">
        <v>8</v>
      </c>
      <c r="D30" s="12">
        <v>1400.34745433196</v>
      </c>
      <c r="E30" s="12">
        <v>2156.42882266206</v>
      </c>
      <c r="F30" s="12">
        <v>1950.82923563648</v>
      </c>
      <c r="G30" s="12">
        <v>535.889984062556</v>
      </c>
      <c r="H30" s="12">
        <v>840.377358867872</v>
      </c>
      <c r="I30" s="12">
        <v>1837.0</v>
      </c>
      <c r="J30" s="12">
        <v>1150.68735937534</v>
      </c>
      <c r="K30" s="12">
        <v>1933.4594510066</v>
      </c>
      <c r="L30" s="12">
        <v>126.562067190451</v>
      </c>
      <c r="M30" s="12">
        <v>1316.04046151709</v>
      </c>
      <c r="N30" s="12">
        <v>899.558673299316</v>
      </c>
      <c r="O30" s="12">
        <v>1939.8818916733</v>
      </c>
      <c r="P30" s="12">
        <v>1483.94050317006</v>
      </c>
      <c r="Q30" s="12">
        <v>1301.97847440356</v>
      </c>
      <c r="R30" s="12">
        <v>211.0</v>
      </c>
      <c r="S30" s="12">
        <v>1756.08058823529</v>
      </c>
      <c r="T30" s="12">
        <v>1116.85978993903</v>
      </c>
      <c r="U30" s="12">
        <v>885.695934853378</v>
      </c>
      <c r="V30" s="12">
        <v>169.0</v>
      </c>
      <c r="W30" s="12">
        <v>1302.84918697337</v>
      </c>
      <c r="X30" s="12">
        <v>0.0</v>
      </c>
      <c r="Y30" s="12">
        <v>4594.51289967238</v>
      </c>
      <c r="Z30" s="12">
        <v>2115.57652518674</v>
      </c>
      <c r="AA30" s="12">
        <v>890.01477682122</v>
      </c>
      <c r="AB30" s="12">
        <v>1736.28348302186</v>
      </c>
    </row>
    <row r="31">
      <c r="A31" s="8">
        <v>41061.0</v>
      </c>
      <c r="B31" s="9">
        <f>IFERROR(__xludf.DUMMYFUNCTION("""COMPUTED_VALUE"""),355.0)</f>
        <v>355</v>
      </c>
      <c r="C31" s="12" t="s">
        <v>9</v>
      </c>
      <c r="D31" s="12">
        <v>1245.19072157424</v>
      </c>
      <c r="E31" s="12">
        <v>1878.96001803816</v>
      </c>
      <c r="F31" s="12">
        <v>1462.87167075815</v>
      </c>
      <c r="G31" s="12">
        <v>0.0</v>
      </c>
      <c r="H31" s="12">
        <v>985.491312712635</v>
      </c>
      <c r="I31" s="12">
        <v>625.190857281045</v>
      </c>
      <c r="J31" s="12">
        <v>1376.61632795835</v>
      </c>
      <c r="K31" s="12">
        <v>402.989384825925</v>
      </c>
      <c r="L31" s="12">
        <v>328.691310812818</v>
      </c>
      <c r="M31" s="12">
        <v>962.668045184336</v>
      </c>
      <c r="N31" s="12">
        <v>374.971241186809</v>
      </c>
      <c r="O31" s="12">
        <v>1977.8947065048</v>
      </c>
      <c r="P31" s="12">
        <v>1000.26894342097</v>
      </c>
      <c r="Q31" s="12">
        <v>562.342441911675</v>
      </c>
      <c r="R31" s="12">
        <v>1076.11427948846</v>
      </c>
      <c r="S31" s="12">
        <v>2227.55882352941</v>
      </c>
      <c r="T31" s="12">
        <v>1611.00478993903</v>
      </c>
      <c r="U31" s="12">
        <v>211.0</v>
      </c>
      <c r="V31" s="12">
        <v>1891.87099977436</v>
      </c>
      <c r="W31" s="12">
        <v>964.831482885998</v>
      </c>
      <c r="X31" s="12">
        <v>0.0</v>
      </c>
      <c r="Y31" s="12">
        <v>1041.05101048429</v>
      </c>
      <c r="Z31" s="12">
        <v>805.351988086165</v>
      </c>
      <c r="AA31" s="12">
        <v>622.882811972271</v>
      </c>
      <c r="AB31" s="12">
        <v>1573.16669441449</v>
      </c>
    </row>
    <row r="32">
      <c r="A32" s="8">
        <v>41091.0</v>
      </c>
      <c r="B32" s="9">
        <f>IFERROR(__xludf.DUMMYFUNCTION("""COMPUTED_VALUE"""),347.0)</f>
        <v>347</v>
      </c>
      <c r="C32" s="12" t="s">
        <v>10</v>
      </c>
      <c r="D32" s="12">
        <v>861.988691455398</v>
      </c>
      <c r="E32" s="12">
        <v>1566.88934103863</v>
      </c>
      <c r="F32" s="12">
        <v>1043.82071041636</v>
      </c>
      <c r="G32" s="12">
        <v>0.0</v>
      </c>
      <c r="H32" s="12">
        <v>762.518958419063</v>
      </c>
      <c r="I32" s="12">
        <v>514.0</v>
      </c>
      <c r="J32" s="12">
        <v>687.749858911676</v>
      </c>
      <c r="K32" s="12">
        <v>641.67465280553</v>
      </c>
      <c r="L32" s="12">
        <v>101.259283601742</v>
      </c>
      <c r="M32" s="12">
        <v>106.14773505737</v>
      </c>
      <c r="N32" s="12">
        <v>374.355856571424</v>
      </c>
      <c r="O32" s="12">
        <v>1132.92598503904</v>
      </c>
      <c r="P32" s="12">
        <v>760.262473672086</v>
      </c>
      <c r="Q32" s="12">
        <v>446.315394066911</v>
      </c>
      <c r="R32" s="12">
        <v>953.068745702673</v>
      </c>
      <c r="S32" s="12">
        <v>1682.52147058824</v>
      </c>
      <c r="T32" s="12">
        <v>1163.47978993903</v>
      </c>
      <c r="U32" s="12">
        <v>196.0</v>
      </c>
      <c r="V32" s="12">
        <v>196.0</v>
      </c>
      <c r="W32" s="12">
        <v>118.721564493928</v>
      </c>
      <c r="X32" s="12">
        <v>1260.74048354471</v>
      </c>
      <c r="Y32" s="12">
        <v>939.051010484291</v>
      </c>
      <c r="Z32" s="12">
        <v>1482.23592647746</v>
      </c>
      <c r="AA32" s="12">
        <v>109.651773042991</v>
      </c>
      <c r="AB32" s="12">
        <v>1050.66610456282</v>
      </c>
    </row>
    <row r="33">
      <c r="A33" s="8">
        <v>41122.0</v>
      </c>
      <c r="B33" s="9"/>
      <c r="C33" s="12" t="s">
        <v>11</v>
      </c>
      <c r="D33" s="12">
        <v>859.295003924588</v>
      </c>
      <c r="E33" s="12">
        <v>834.311642006514</v>
      </c>
      <c r="F33" s="12">
        <v>839.707152823622</v>
      </c>
      <c r="G33" s="12">
        <v>0.0</v>
      </c>
      <c r="H33" s="12">
        <v>565.0</v>
      </c>
      <c r="I33" s="12">
        <v>1063.0</v>
      </c>
      <c r="J33" s="12">
        <v>842.724831335185</v>
      </c>
      <c r="K33" s="12">
        <v>263.592199926838</v>
      </c>
      <c r="L33" s="12">
        <v>510.113236997444</v>
      </c>
      <c r="M33" s="12">
        <v>-440.069661853875</v>
      </c>
      <c r="N33" s="12">
        <v>404.50970272527</v>
      </c>
      <c r="O33" s="12">
        <v>454.838198825088</v>
      </c>
      <c r="P33" s="12">
        <v>533.322714630535</v>
      </c>
      <c r="Q33" s="12">
        <v>425.283071494755</v>
      </c>
      <c r="R33" s="12">
        <v>1025.0371032489</v>
      </c>
      <c r="S33" s="12">
        <v>1708.82</v>
      </c>
      <c r="T33" s="12">
        <v>1163.47978993903</v>
      </c>
      <c r="U33" s="12">
        <v>169.0</v>
      </c>
      <c r="V33" s="12">
        <v>169.0</v>
      </c>
      <c r="W33" s="12">
        <v>-459.970104025255</v>
      </c>
      <c r="X33" s="12">
        <v>1410.51562557794</v>
      </c>
      <c r="Y33" s="12">
        <v>826.051010484291</v>
      </c>
      <c r="Z33" s="12">
        <v>1037.71736961939</v>
      </c>
      <c r="AA33" s="12">
        <v>482.407771771382</v>
      </c>
      <c r="AB33" s="12">
        <v>635.025260049038</v>
      </c>
    </row>
    <row r="34">
      <c r="A34" s="8">
        <v>41153.0</v>
      </c>
      <c r="B34" s="9">
        <f>IFERROR(__xludf.DUMMYFUNCTION("""COMPUTED_VALUE"""),27.0)</f>
        <v>27</v>
      </c>
      <c r="C34" s="12" t="s">
        <v>12</v>
      </c>
      <c r="D34" s="12">
        <v>688.913402008345</v>
      </c>
      <c r="E34" s="12">
        <v>1129.3463100519</v>
      </c>
      <c r="F34" s="12">
        <v>877.400268407924</v>
      </c>
      <c r="G34" s="12">
        <v>675.432313211995</v>
      </c>
      <c r="H34" s="12">
        <v>677.507968485425</v>
      </c>
      <c r="I34" s="12">
        <v>597.0</v>
      </c>
      <c r="J34" s="12">
        <v>685.615422841303</v>
      </c>
      <c r="K34" s="12">
        <v>1247.96445447858</v>
      </c>
      <c r="L34" s="12">
        <v>685.617668850679</v>
      </c>
      <c r="M34" s="12">
        <v>-240.477814244571</v>
      </c>
      <c r="N34" s="12">
        <v>1319.48096003763</v>
      </c>
      <c r="O34" s="12">
        <v>439.506418542938</v>
      </c>
      <c r="P34" s="12">
        <v>696.211945652188</v>
      </c>
      <c r="Q34" s="12">
        <v>433.926491729887</v>
      </c>
      <c r="R34" s="12">
        <v>937.687707916337</v>
      </c>
      <c r="S34" s="12">
        <v>1936.24941176471</v>
      </c>
      <c r="T34" s="12">
        <v>1629.16478993903</v>
      </c>
      <c r="U34" s="12">
        <v>179.5</v>
      </c>
      <c r="V34" s="12">
        <v>179.5</v>
      </c>
      <c r="W34" s="12">
        <v>-291.570078099044</v>
      </c>
      <c r="X34" s="12">
        <v>1917.23347814647</v>
      </c>
      <c r="Y34" s="12">
        <v>859.051010484291</v>
      </c>
      <c r="Z34" s="12">
        <v>1167.5325233921</v>
      </c>
      <c r="AA34" s="12">
        <v>308.843017571666</v>
      </c>
      <c r="AB34" s="12">
        <v>849.158661902173</v>
      </c>
    </row>
    <row r="35">
      <c r="A35" s="8">
        <v>41183.0</v>
      </c>
      <c r="B35" s="9">
        <f>IFERROR(__xludf.DUMMYFUNCTION("""COMPUTED_VALUE"""),1498.0)</f>
        <v>1498</v>
      </c>
      <c r="C35" s="12" t="s">
        <v>13</v>
      </c>
      <c r="D35" s="12">
        <v>1545.81557485597</v>
      </c>
      <c r="E35" s="12">
        <v>1492.22596541737</v>
      </c>
      <c r="F35" s="12">
        <v>865.934559724994</v>
      </c>
      <c r="G35" s="12">
        <v>1022.99783254362</v>
      </c>
      <c r="H35" s="12">
        <v>1037.6990624417</v>
      </c>
      <c r="I35" s="12">
        <v>378.0</v>
      </c>
      <c r="J35" s="12">
        <v>1023.87111935526</v>
      </c>
      <c r="K35" s="12">
        <v>1734.50439921903</v>
      </c>
      <c r="L35" s="12">
        <v>975.305781850514</v>
      </c>
      <c r="M35" s="12">
        <v>1036.45178638858</v>
      </c>
      <c r="N35" s="12">
        <v>307.817395032963</v>
      </c>
      <c r="O35" s="12">
        <v>562.348544202484</v>
      </c>
      <c r="P35" s="12">
        <v>1090.87953609269</v>
      </c>
      <c r="Q35" s="12">
        <v>623.439397761819</v>
      </c>
      <c r="R35" s="12">
        <v>1233.97317017076</v>
      </c>
      <c r="S35" s="12">
        <v>2103.36617647059</v>
      </c>
      <c r="T35" s="12">
        <v>1825.09478993903</v>
      </c>
      <c r="U35" s="12">
        <v>339.992301132915</v>
      </c>
      <c r="V35" s="12">
        <v>196.0</v>
      </c>
      <c r="W35" s="12">
        <v>903.883595525565</v>
      </c>
      <c r="X35" s="12">
        <v>1289.92656714237</v>
      </c>
      <c r="Y35" s="12">
        <v>964.051010484291</v>
      </c>
      <c r="Z35" s="12">
        <v>1580.58073994163</v>
      </c>
      <c r="AA35" s="12">
        <v>224.159282838931</v>
      </c>
      <c r="AB35" s="12">
        <v>1320.45341238009</v>
      </c>
    </row>
    <row r="36">
      <c r="A36" s="8">
        <v>41214.0</v>
      </c>
      <c r="B36" s="9">
        <f>IFERROR(__xludf.DUMMYFUNCTION("""COMPUTED_VALUE"""),92.0)</f>
        <v>92</v>
      </c>
      <c r="C36" s="12" t="s">
        <v>14</v>
      </c>
      <c r="D36" s="12">
        <v>-159.0</v>
      </c>
      <c r="E36" s="12">
        <v>0.0</v>
      </c>
      <c r="F36" s="12">
        <v>811.626500149359</v>
      </c>
      <c r="G36" s="12">
        <v>0.0</v>
      </c>
      <c r="H36" s="12">
        <v>565.0</v>
      </c>
      <c r="I36" s="12">
        <v>441.157969896869</v>
      </c>
      <c r="J36" s="12">
        <v>534.795427180965</v>
      </c>
      <c r="K36" s="12">
        <v>455.821921765639</v>
      </c>
      <c r="L36" s="12">
        <v>333.638040640691</v>
      </c>
      <c r="M36" s="12">
        <v>920.482476518742</v>
      </c>
      <c r="N36" s="12">
        <v>281.894318109886</v>
      </c>
      <c r="O36" s="12">
        <v>183.544429618142</v>
      </c>
      <c r="P36" s="12">
        <v>119.493901072124</v>
      </c>
      <c r="Q36" s="12">
        <v>550.055833109355</v>
      </c>
      <c r="R36" s="12">
        <v>213.0</v>
      </c>
      <c r="S36" s="12">
        <v>1661.62970588235</v>
      </c>
      <c r="T36" s="12">
        <v>1379.81478993903</v>
      </c>
      <c r="U36" s="12">
        <v>211.0</v>
      </c>
      <c r="V36" s="12">
        <v>211.0</v>
      </c>
      <c r="W36" s="12">
        <v>482.9818591992</v>
      </c>
      <c r="X36" s="12">
        <v>1430.11958645244</v>
      </c>
      <c r="Y36" s="12">
        <v>786.051010484291</v>
      </c>
      <c r="Z36" s="12">
        <v>626.234218414206</v>
      </c>
      <c r="AA36" s="12">
        <v>512.692078344612</v>
      </c>
      <c r="AB36" s="12">
        <v>623.059740361108</v>
      </c>
    </row>
    <row r="37">
      <c r="A37" s="8">
        <v>41244.0</v>
      </c>
      <c r="B37" s="9">
        <f>IFERROR(__xludf.DUMMYFUNCTION("""COMPUTED_VALUE"""),1112.0)</f>
        <v>1112</v>
      </c>
      <c r="C37" s="12" t="s">
        <v>15</v>
      </c>
      <c r="D37" s="12">
        <v>301.0</v>
      </c>
      <c r="E37" s="12">
        <v>21.0</v>
      </c>
      <c r="F37" s="12">
        <v>882.592808706244</v>
      </c>
      <c r="G37" s="12">
        <v>68.4303962936963</v>
      </c>
      <c r="H37" s="12">
        <v>699.120963948659</v>
      </c>
      <c r="I37" s="12">
        <v>214.0</v>
      </c>
      <c r="J37" s="12">
        <v>494.229439694366</v>
      </c>
      <c r="K37" s="12">
        <v>902.819215075415</v>
      </c>
      <c r="L37" s="12">
        <v>472.079825191961</v>
      </c>
      <c r="M37" s="12">
        <v>858.647676608647</v>
      </c>
      <c r="N37" s="12">
        <v>664.107124318364</v>
      </c>
      <c r="O37" s="12">
        <v>389.61331583629</v>
      </c>
      <c r="P37" s="12">
        <v>56.8840236156811</v>
      </c>
      <c r="Q37" s="12">
        <v>424.418729471241</v>
      </c>
      <c r="R37" s="12">
        <v>251.0</v>
      </c>
      <c r="S37" s="12">
        <v>1398.71117647059</v>
      </c>
      <c r="T37" s="12">
        <v>1155.33478993903</v>
      </c>
      <c r="U37" s="12">
        <v>226.0</v>
      </c>
      <c r="V37" s="12">
        <v>226.0</v>
      </c>
      <c r="W37" s="12">
        <v>645.706547195075</v>
      </c>
      <c r="X37" s="12">
        <v>1097.11906162601</v>
      </c>
      <c r="Y37" s="12">
        <v>837.051010484291</v>
      </c>
      <c r="Z37" s="12">
        <v>1080.98908754363</v>
      </c>
      <c r="AA37" s="12">
        <v>416.301620595992</v>
      </c>
      <c r="AB37" s="12">
        <v>697.960218530164</v>
      </c>
    </row>
    <row r="38">
      <c r="A38" s="8">
        <v>41275.0</v>
      </c>
      <c r="B38" s="9">
        <f>IFERROR(__xludf.DUMMYFUNCTION("""COMPUTED_VALUE"""),259.0)</f>
        <v>259</v>
      </c>
      <c r="C38" s="12" t="s">
        <v>16</v>
      </c>
      <c r="D38" s="12">
        <v>60.3736258427247</v>
      </c>
      <c r="E38" s="12">
        <v>75.7534748310708</v>
      </c>
      <c r="F38" s="12">
        <v>972.817399311313</v>
      </c>
      <c r="G38" s="12">
        <v>397.3980425033</v>
      </c>
      <c r="H38" s="12">
        <v>566.0</v>
      </c>
      <c r="I38" s="12">
        <v>170.0</v>
      </c>
      <c r="J38" s="12">
        <v>227.046442012058</v>
      </c>
      <c r="K38" s="12">
        <v>226.0</v>
      </c>
      <c r="L38" s="12">
        <v>516.83734360557</v>
      </c>
      <c r="M38" s="12">
        <v>350.075109707367</v>
      </c>
      <c r="N38" s="12">
        <v>273.702010417578</v>
      </c>
      <c r="O38" s="12">
        <v>470.268322282068</v>
      </c>
      <c r="P38" s="12">
        <v>3.08608364896549</v>
      </c>
      <c r="Q38" s="12">
        <v>424.994957486917</v>
      </c>
      <c r="R38" s="12">
        <v>227.0</v>
      </c>
      <c r="S38" s="12">
        <v>1362.01912273822</v>
      </c>
      <c r="T38" s="12">
        <v>827.814789939032</v>
      </c>
      <c r="U38" s="12">
        <v>226.0</v>
      </c>
      <c r="V38" s="12">
        <v>226.0</v>
      </c>
      <c r="W38" s="12">
        <v>285.996962521086</v>
      </c>
      <c r="X38" s="12">
        <v>1793.25196662794</v>
      </c>
      <c r="Y38" s="12">
        <v>771.051010484291</v>
      </c>
      <c r="Z38" s="12">
        <v>821.35877999821</v>
      </c>
      <c r="AA38" s="12">
        <v>786.686258379064</v>
      </c>
      <c r="AB38" s="12">
        <v>302.852416685902</v>
      </c>
    </row>
    <row r="39">
      <c r="A39" s="8">
        <v>41306.0</v>
      </c>
      <c r="B39" s="9">
        <f>IFERROR(__xludf.DUMMYFUNCTION("""COMPUTED_VALUE"""),310.0)</f>
        <v>310</v>
      </c>
      <c r="C39" s="12" t="s">
        <v>17</v>
      </c>
      <c r="D39" s="12">
        <v>546.431160281351</v>
      </c>
      <c r="E39" s="12">
        <v>147.786027892722</v>
      </c>
      <c r="F39" s="12">
        <v>858.554042644477</v>
      </c>
      <c r="G39" s="12">
        <v>567.411965422176</v>
      </c>
      <c r="H39" s="12">
        <v>567.0</v>
      </c>
      <c r="I39" s="12">
        <v>135.0</v>
      </c>
      <c r="J39" s="12">
        <v>807.157711094307</v>
      </c>
      <c r="K39" s="12">
        <v>226.0</v>
      </c>
      <c r="L39" s="12">
        <v>554.459805315306</v>
      </c>
      <c r="M39" s="12">
        <v>15.9828358572486</v>
      </c>
      <c r="N39" s="12">
        <v>322.202010417578</v>
      </c>
      <c r="O39" s="12">
        <v>552.516882401802</v>
      </c>
      <c r="P39" s="12">
        <v>66.3822296398719</v>
      </c>
      <c r="Q39" s="12">
        <v>432.485921690699</v>
      </c>
      <c r="R39" s="12">
        <v>203.5</v>
      </c>
      <c r="S39" s="12">
        <v>683.055270120245</v>
      </c>
      <c r="T39" s="12">
        <v>367.564789939032</v>
      </c>
      <c r="U39" s="12">
        <v>194.5</v>
      </c>
      <c r="V39" s="12">
        <v>194.5</v>
      </c>
      <c r="W39" s="12">
        <v>-17.0046922911214</v>
      </c>
      <c r="X39" s="12">
        <v>2043.11339445174</v>
      </c>
      <c r="Y39" s="12">
        <v>759.051010484291</v>
      </c>
      <c r="Z39" s="12">
        <v>774.153269535407</v>
      </c>
      <c r="AA39" s="12">
        <v>824.799670001579</v>
      </c>
      <c r="AB39" s="12">
        <v>170.092841538423</v>
      </c>
    </row>
    <row r="40">
      <c r="A40" s="8">
        <v>41334.0</v>
      </c>
      <c r="B40" s="9">
        <f>IFERROR(__xludf.DUMMYFUNCTION("""COMPUTED_VALUE"""),22.0)</f>
        <v>22</v>
      </c>
      <c r="C40" s="12" t="s">
        <v>18</v>
      </c>
      <c r="D40" s="12">
        <v>162.0</v>
      </c>
      <c r="E40" s="12">
        <v>231.289647324266</v>
      </c>
      <c r="F40" s="12">
        <v>674.973574576999</v>
      </c>
      <c r="G40" s="12">
        <v>181.346153721576</v>
      </c>
      <c r="H40" s="12">
        <v>603.777588793102</v>
      </c>
      <c r="I40" s="12">
        <v>172.895746599852</v>
      </c>
      <c r="J40" s="12">
        <v>979.744490887756</v>
      </c>
      <c r="K40" s="12">
        <v>163.0</v>
      </c>
      <c r="L40" s="12">
        <v>983.35325203437</v>
      </c>
      <c r="M40" s="12">
        <v>500.453974317667</v>
      </c>
      <c r="N40" s="12">
        <v>273.535343750911</v>
      </c>
      <c r="O40" s="12">
        <v>892.884590004666</v>
      </c>
      <c r="P40" s="12">
        <v>1119.65255447595</v>
      </c>
      <c r="Q40" s="12">
        <v>437.960087839616</v>
      </c>
      <c r="R40" s="12">
        <v>2219.2</v>
      </c>
      <c r="S40" s="12">
        <v>529.189594619275</v>
      </c>
      <c r="T40" s="12">
        <v>402.918908612712</v>
      </c>
      <c r="U40" s="12">
        <v>318.743086086103</v>
      </c>
      <c r="V40" s="12">
        <v>593.219053884674</v>
      </c>
      <c r="W40" s="12">
        <v>461.039977494926</v>
      </c>
      <c r="X40" s="12">
        <v>1947.83326032522</v>
      </c>
      <c r="Y40" s="12">
        <v>895.051010484291</v>
      </c>
      <c r="Z40" s="12">
        <v>1351.36152279238</v>
      </c>
      <c r="AA40" s="12">
        <v>45.6182570656805</v>
      </c>
      <c r="AB40" s="12">
        <v>949.514081193157</v>
      </c>
    </row>
    <row r="41">
      <c r="A41" s="8">
        <v>41365.0</v>
      </c>
      <c r="B41" s="9">
        <f>IFERROR(__xludf.DUMMYFUNCTION("""COMPUTED_VALUE"""),444.0)</f>
        <v>444</v>
      </c>
      <c r="C41" s="12" t="s">
        <v>19</v>
      </c>
      <c r="D41" s="12">
        <v>866.275939665002</v>
      </c>
      <c r="E41" s="12">
        <v>1187.2913674486</v>
      </c>
      <c r="F41" s="12">
        <v>479.807715284189</v>
      </c>
      <c r="G41" s="12">
        <v>77.3743589212058</v>
      </c>
      <c r="H41" s="12">
        <v>721.120963948659</v>
      </c>
      <c r="I41" s="12">
        <v>114.0</v>
      </c>
      <c r="J41" s="12">
        <v>916.895619668281</v>
      </c>
      <c r="K41" s="12">
        <v>152.5</v>
      </c>
      <c r="L41" s="12">
        <v>727.495461304902</v>
      </c>
      <c r="M41" s="12">
        <v>93.2160141725667</v>
      </c>
      <c r="N41" s="12">
        <v>317.111101326669</v>
      </c>
      <c r="O41" s="12">
        <v>915.004586813885</v>
      </c>
      <c r="P41" s="12">
        <v>859.008591904138</v>
      </c>
      <c r="Q41" s="12">
        <v>432.478004059486</v>
      </c>
      <c r="R41" s="12">
        <v>947.350548236676</v>
      </c>
      <c r="S41" s="12">
        <v>498.425948853277</v>
      </c>
      <c r="T41" s="12">
        <v>243.454789939032</v>
      </c>
      <c r="U41" s="12">
        <v>421.717905756298</v>
      </c>
      <c r="V41" s="12">
        <v>202.824886590286</v>
      </c>
      <c r="W41" s="12">
        <v>-60.8490616255067</v>
      </c>
      <c r="X41" s="12">
        <v>1531.60884276083</v>
      </c>
      <c r="Y41" s="12">
        <v>882.051010484291</v>
      </c>
      <c r="Z41" s="12">
        <v>1258.00975177914</v>
      </c>
      <c r="AA41" s="12">
        <v>180.83805758384</v>
      </c>
      <c r="AB41" s="12">
        <v>741.617192880286</v>
      </c>
    </row>
    <row r="42">
      <c r="A42" s="8">
        <v>41395.0</v>
      </c>
      <c r="B42" s="9">
        <f>IFERROR(__xludf.DUMMYFUNCTION("""COMPUTED_VALUE"""),110.0)</f>
        <v>110</v>
      </c>
      <c r="C42" s="12" t="s">
        <v>20</v>
      </c>
      <c r="D42" s="12">
        <v>706.452919484332</v>
      </c>
      <c r="E42" s="12">
        <v>744.232198002046</v>
      </c>
      <c r="F42" s="12">
        <v>177.531645255885</v>
      </c>
      <c r="G42" s="12">
        <v>4.02991452714614</v>
      </c>
      <c r="H42" s="12">
        <v>565.0</v>
      </c>
      <c r="I42" s="12">
        <v>182.681358707493</v>
      </c>
      <c r="J42" s="12">
        <v>465.503214975804</v>
      </c>
      <c r="K42" s="12">
        <v>142.0</v>
      </c>
      <c r="L42" s="12">
        <v>49.8057424878754</v>
      </c>
      <c r="M42" s="12">
        <v>526.744547795658</v>
      </c>
      <c r="N42" s="12">
        <v>540.048164263732</v>
      </c>
      <c r="O42" s="12">
        <v>565.02480935012</v>
      </c>
      <c r="P42" s="12">
        <v>774.73133870047</v>
      </c>
      <c r="Q42" s="12">
        <v>445.451052043398</v>
      </c>
      <c r="R42" s="12">
        <v>344.0</v>
      </c>
      <c r="S42" s="12">
        <v>374.980564237892</v>
      </c>
      <c r="T42" s="12">
        <v>108.454789939032</v>
      </c>
      <c r="U42" s="12">
        <v>148.0</v>
      </c>
      <c r="V42" s="12">
        <v>148.0</v>
      </c>
      <c r="W42" s="12">
        <v>8.54928672059655</v>
      </c>
      <c r="X42" s="12">
        <v>1498.34895405945</v>
      </c>
      <c r="Y42" s="12">
        <v>787.051010484291</v>
      </c>
      <c r="Z42" s="12">
        <v>890.003848184453</v>
      </c>
      <c r="AA42" s="12">
        <v>668.721032834527</v>
      </c>
      <c r="AB42" s="12">
        <v>293.258808944769</v>
      </c>
    </row>
    <row r="43">
      <c r="A43" s="8">
        <v>41426.0</v>
      </c>
      <c r="B43" s="9">
        <f>IFERROR(__xludf.DUMMYFUNCTION("""COMPUTED_VALUE"""),870.0)</f>
        <v>870</v>
      </c>
      <c r="C43" s="12" t="s">
        <v>21</v>
      </c>
      <c r="D43" s="12">
        <v>685.209247022974</v>
      </c>
      <c r="E43" s="12">
        <v>1108.06790829068</v>
      </c>
      <c r="F43" s="12">
        <v>576.73478372494</v>
      </c>
      <c r="G43" s="12">
        <v>447.613115736617</v>
      </c>
      <c r="H43" s="12">
        <v>565.0</v>
      </c>
      <c r="I43" s="12">
        <v>731.550799406643</v>
      </c>
      <c r="J43" s="12">
        <v>562.243101730137</v>
      </c>
      <c r="K43" s="12">
        <v>1109.58416034032</v>
      </c>
      <c r="L43" s="12">
        <v>31.9258990415956</v>
      </c>
      <c r="M43" s="12">
        <v>431.664853355287</v>
      </c>
      <c r="N43" s="12">
        <v>600.74047195604</v>
      </c>
      <c r="O43" s="12">
        <v>923.073889575739</v>
      </c>
      <c r="P43" s="12">
        <v>674.108925632977</v>
      </c>
      <c r="Q43" s="12">
        <v>818.126728770743</v>
      </c>
      <c r="R43" s="12">
        <v>1048.98705939186</v>
      </c>
      <c r="S43" s="12">
        <v>642.213880333561</v>
      </c>
      <c r="T43" s="12">
        <v>809.437277971633</v>
      </c>
      <c r="U43" s="12">
        <v>260.454031611577</v>
      </c>
      <c r="V43" s="12">
        <v>452.317746293688</v>
      </c>
      <c r="W43" s="12">
        <v>-246.869414512075</v>
      </c>
      <c r="X43" s="12">
        <v>1282.6364905929</v>
      </c>
      <c r="Y43" s="12">
        <v>867.051010484291</v>
      </c>
      <c r="Z43" s="12">
        <v>1199.00286370064</v>
      </c>
      <c r="AA43" s="12">
        <v>119.596304704409</v>
      </c>
      <c r="AB43" s="12">
        <v>917.205003246758</v>
      </c>
    </row>
    <row r="44">
      <c r="A44" s="8">
        <v>41456.0</v>
      </c>
      <c r="B44" s="9">
        <f>IFERROR(__xludf.DUMMYFUNCTION("""COMPUTED_VALUE"""),646.0)</f>
        <v>646</v>
      </c>
      <c r="C44" s="12" t="s">
        <v>22</v>
      </c>
      <c r="D44" s="12">
        <v>244.39546974721</v>
      </c>
      <c r="E44" s="12">
        <v>234.0</v>
      </c>
      <c r="F44" s="12">
        <v>476.122529300005</v>
      </c>
      <c r="G44" s="12">
        <v>-1400.24654337392</v>
      </c>
      <c r="H44" s="12">
        <v>598.0</v>
      </c>
      <c r="I44" s="12">
        <v>416.214382427305</v>
      </c>
      <c r="J44" s="12">
        <v>457.069206106026</v>
      </c>
      <c r="K44" s="12">
        <v>133.0</v>
      </c>
      <c r="L44" s="12">
        <v>362.294129570132</v>
      </c>
      <c r="M44" s="12">
        <v>3.58024152318194</v>
      </c>
      <c r="N44" s="12">
        <v>552.817395032963</v>
      </c>
      <c r="O44" s="12">
        <v>329.624312157495</v>
      </c>
      <c r="P44" s="12">
        <v>3.3318885588831</v>
      </c>
      <c r="Q44" s="12">
        <v>419.232677330162</v>
      </c>
      <c r="R44" s="12">
        <v>22282.5538461538</v>
      </c>
      <c r="S44" s="12">
        <v>385.638980527485</v>
      </c>
      <c r="T44" s="12">
        <v>469.123155093896</v>
      </c>
      <c r="U44" s="12">
        <v>148.0</v>
      </c>
      <c r="V44" s="12">
        <v>148.0</v>
      </c>
      <c r="W44" s="12">
        <v>-874.151566498286</v>
      </c>
      <c r="X44" s="12">
        <v>4079.90574391145</v>
      </c>
      <c r="Y44" s="12">
        <v>762.051010484291</v>
      </c>
      <c r="Z44" s="12">
        <v>785.954647151108</v>
      </c>
      <c r="AA44" s="12">
        <v>764.535298208506</v>
      </c>
      <c r="AB44" s="12">
        <v>297.065293361003</v>
      </c>
    </row>
    <row r="45">
      <c r="A45" s="8">
        <v>41487.0</v>
      </c>
      <c r="B45" s="9">
        <f>IFERROR(__xludf.DUMMYFUNCTION("""COMPUTED_VALUE"""),1486.0)</f>
        <v>1486</v>
      </c>
      <c r="C45" s="12" t="s">
        <v>23</v>
      </c>
      <c r="D45" s="12">
        <v>352.439429673307</v>
      </c>
      <c r="E45" s="12">
        <v>505.278138703355</v>
      </c>
      <c r="F45" s="12">
        <v>567.43850453827</v>
      </c>
      <c r="G45" s="12">
        <v>109.759993418986</v>
      </c>
      <c r="H45" s="12">
        <v>577.0</v>
      </c>
      <c r="I45" s="12">
        <v>384.123434022854</v>
      </c>
      <c r="J45" s="12">
        <v>268.043947037161</v>
      </c>
      <c r="K45" s="12">
        <v>220.845782297027</v>
      </c>
      <c r="L45" s="12">
        <v>430.085214066474</v>
      </c>
      <c r="M45" s="12">
        <v>-132.812091422022</v>
      </c>
      <c r="N45" s="12">
        <v>543.432779648347</v>
      </c>
      <c r="O45" s="12">
        <v>1722.07993586071</v>
      </c>
      <c r="P45" s="12">
        <v>212.950542226824</v>
      </c>
      <c r="Q45" s="12">
        <v>424.994957486917</v>
      </c>
      <c r="R45" s="12">
        <v>498.184235594083</v>
      </c>
      <c r="S45" s="12">
        <v>460.880396170665</v>
      </c>
      <c r="T45" s="12">
        <v>298.492749007786</v>
      </c>
      <c r="U45" s="12">
        <v>163.0</v>
      </c>
      <c r="V45" s="12">
        <v>163.0</v>
      </c>
      <c r="W45" s="12">
        <v>95.7520112706814</v>
      </c>
      <c r="X45" s="12">
        <v>3227.13807194139</v>
      </c>
      <c r="Y45" s="12">
        <v>713.051010484291</v>
      </c>
      <c r="Z45" s="12">
        <v>657.087953536038</v>
      </c>
      <c r="AA45" s="12">
        <v>822.910564732588</v>
      </c>
      <c r="AB45" s="12">
        <v>167.108755419592</v>
      </c>
    </row>
    <row r="46">
      <c r="A46" s="8">
        <v>41518.0</v>
      </c>
      <c r="B46" s="9">
        <f>IFERROR(__xludf.DUMMYFUNCTION("""COMPUTED_VALUE"""),1180.0)</f>
        <v>1180</v>
      </c>
      <c r="C46" s="12" t="s">
        <v>24</v>
      </c>
      <c r="D46" s="12">
        <v>508.998564732739</v>
      </c>
      <c r="E46" s="12">
        <v>1093.46361410088</v>
      </c>
      <c r="F46" s="12">
        <v>1344.54023509179</v>
      </c>
      <c r="G46" s="12">
        <v>957.507691649922</v>
      </c>
      <c r="H46" s="12">
        <v>565.0</v>
      </c>
      <c r="I46" s="12">
        <v>982.341738313489</v>
      </c>
      <c r="J46" s="12">
        <v>550.989305482032</v>
      </c>
      <c r="K46" s="12">
        <v>854.242402511656</v>
      </c>
      <c r="L46" s="12">
        <v>813.563301096419</v>
      </c>
      <c r="M46" s="12">
        <v>1581.31558400104</v>
      </c>
      <c r="N46" s="12">
        <v>1055.39125852409</v>
      </c>
      <c r="O46" s="12">
        <v>705.657348836492</v>
      </c>
      <c r="P46" s="12">
        <v>443.14000127857</v>
      </c>
      <c r="Q46" s="12">
        <v>1260.91853675193</v>
      </c>
      <c r="R46" s="12">
        <v>2041.0</v>
      </c>
      <c r="S46" s="12">
        <v>1185.5210040735</v>
      </c>
      <c r="T46" s="12">
        <v>958.39310809717</v>
      </c>
      <c r="U46" s="12">
        <v>2018.0</v>
      </c>
      <c r="V46" s="12">
        <v>2018.0</v>
      </c>
      <c r="W46" s="12">
        <v>1872.66700619485</v>
      </c>
      <c r="X46" s="12">
        <v>3832.1156669434</v>
      </c>
      <c r="Y46" s="12">
        <v>1087.45027978771</v>
      </c>
      <c r="Z46" s="12">
        <v>1369.02468432181</v>
      </c>
      <c r="AA46" s="12">
        <v>1105.54151088364</v>
      </c>
      <c r="AB46" s="12">
        <v>1877.8412354447</v>
      </c>
    </row>
    <row r="47">
      <c r="A47" s="8">
        <v>41548.0</v>
      </c>
      <c r="B47" s="9">
        <f>IFERROR(__xludf.DUMMYFUNCTION("""COMPUTED_VALUE"""),387.0)</f>
        <v>387</v>
      </c>
      <c r="C47" s="12" t="s">
        <v>25</v>
      </c>
      <c r="D47" s="12">
        <v>650.911712675117</v>
      </c>
      <c r="E47" s="12">
        <v>631.903127814398</v>
      </c>
      <c r="F47" s="12">
        <v>975.683135205462</v>
      </c>
      <c r="G47" s="12">
        <v>121.478580873817</v>
      </c>
      <c r="H47" s="12">
        <v>565.0</v>
      </c>
      <c r="I47" s="12">
        <v>489.425210602877</v>
      </c>
      <c r="J47" s="12">
        <v>606.797033473553</v>
      </c>
      <c r="K47" s="12">
        <v>531.770960741635</v>
      </c>
      <c r="L47" s="12">
        <v>494.290889195232</v>
      </c>
      <c r="M47" s="12">
        <v>790.855742231535</v>
      </c>
      <c r="N47" s="12">
        <v>509.125087340655</v>
      </c>
      <c r="O47" s="12">
        <v>3094.73390541949</v>
      </c>
      <c r="P47" s="12">
        <v>576.069286401107</v>
      </c>
      <c r="Q47" s="12">
        <v>612.863897571401</v>
      </c>
      <c r="R47" s="12">
        <v>1075.87608821688</v>
      </c>
      <c r="S47" s="12">
        <v>504.215961781525</v>
      </c>
      <c r="T47" s="12">
        <v>359.10575476385</v>
      </c>
      <c r="U47" s="12">
        <v>847.259758497299</v>
      </c>
      <c r="V47" s="12">
        <v>169.0</v>
      </c>
      <c r="W47" s="12">
        <v>969.358518265342</v>
      </c>
      <c r="X47" s="12">
        <v>2153.69777356488</v>
      </c>
      <c r="Y47" s="12">
        <v>779.051010484291</v>
      </c>
      <c r="Z47" s="12">
        <v>866.959373833208</v>
      </c>
      <c r="AA47" s="12">
        <v>319.133842321878</v>
      </c>
      <c r="AB47" s="12">
        <v>1110.75077150307</v>
      </c>
    </row>
    <row r="48">
      <c r="A48" s="8">
        <v>41579.0</v>
      </c>
      <c r="B48" s="9">
        <f>IFERROR(__xludf.DUMMYFUNCTION("""COMPUTED_VALUE"""),607.0)</f>
        <v>607</v>
      </c>
      <c r="C48" s="12" t="s">
        <v>3</v>
      </c>
      <c r="D48" s="12">
        <v>352.545171548506</v>
      </c>
      <c r="E48" s="12">
        <v>566.220268013847</v>
      </c>
      <c r="F48" s="12">
        <v>757.226090679627</v>
      </c>
      <c r="G48" s="12">
        <v>0.0</v>
      </c>
      <c r="H48" s="12">
        <v>610.0</v>
      </c>
      <c r="I48" s="12">
        <v>381.393270867875</v>
      </c>
      <c r="J48" s="12">
        <v>454.716824874124</v>
      </c>
      <c r="K48" s="12">
        <v>280.34953028898</v>
      </c>
      <c r="L48" s="12">
        <v>208.715439649423</v>
      </c>
      <c r="M48" s="12">
        <v>869.947650096826</v>
      </c>
      <c r="N48" s="12">
        <v>933.649152810429</v>
      </c>
      <c r="O48" s="12">
        <v>841.529202409584</v>
      </c>
      <c r="P48" s="12">
        <v>501.053472510982</v>
      </c>
      <c r="Q48" s="12">
        <v>595.810236176915</v>
      </c>
      <c r="R48" s="12">
        <v>912.391626364766</v>
      </c>
      <c r="S48" s="12">
        <v>560.845761393677</v>
      </c>
      <c r="T48" s="12">
        <v>280.546313450703</v>
      </c>
      <c r="U48" s="12">
        <v>639.796667535383</v>
      </c>
      <c r="V48" s="12">
        <v>490.561475710512</v>
      </c>
      <c r="W48" s="12">
        <v>895.188295242903</v>
      </c>
      <c r="X48" s="12">
        <v>2457.86009808165</v>
      </c>
      <c r="Y48" s="12">
        <v>765.051010484291</v>
      </c>
      <c r="Z48" s="12">
        <v>1100.08856593285</v>
      </c>
      <c r="AA48" s="12">
        <v>219.491777087695</v>
      </c>
      <c r="AB48" s="12">
        <v>962.445726914297</v>
      </c>
    </row>
    <row r="49">
      <c r="A49" s="8">
        <v>41609.0</v>
      </c>
      <c r="B49" s="9">
        <f>IFERROR(__xludf.DUMMYFUNCTION("""COMPUTED_VALUE"""),1720.0)</f>
        <v>1720</v>
      </c>
      <c r="C49" s="12" t="s">
        <v>4</v>
      </c>
      <c r="D49" s="12">
        <v>376.87278531239</v>
      </c>
      <c r="E49" s="12">
        <v>784.767038249323</v>
      </c>
      <c r="F49" s="12">
        <v>741.097600437046</v>
      </c>
      <c r="G49" s="12">
        <v>363.319184789238</v>
      </c>
      <c r="H49" s="12">
        <v>1593.12663415498</v>
      </c>
      <c r="I49" s="12">
        <v>949.317373639419</v>
      </c>
      <c r="J49" s="12">
        <v>379.607117778987</v>
      </c>
      <c r="K49" s="12">
        <v>983.080794190006</v>
      </c>
      <c r="L49" s="12">
        <v>1001.27252883226</v>
      </c>
      <c r="M49" s="12">
        <v>742.838961712266</v>
      </c>
      <c r="N49" s="12">
        <v>1328.17971372825</v>
      </c>
      <c r="O49" s="12">
        <v>1329.06850829756</v>
      </c>
      <c r="P49" s="12">
        <v>1085.3855481967</v>
      </c>
      <c r="Q49" s="12">
        <v>706.097482473</v>
      </c>
      <c r="R49" s="12">
        <v>1379.97173563783</v>
      </c>
      <c r="S49" s="12">
        <v>633.907157644485</v>
      </c>
      <c r="T49" s="12">
        <v>890.390016627739</v>
      </c>
      <c r="U49" s="12">
        <v>879.509852372467</v>
      </c>
      <c r="V49" s="12">
        <v>169.0</v>
      </c>
      <c r="W49" s="12">
        <v>1222.43493739857</v>
      </c>
      <c r="X49" s="12">
        <v>2918.55758090068</v>
      </c>
      <c r="Y49" s="12">
        <v>796.051010484291</v>
      </c>
      <c r="Z49" s="12">
        <v>1290.48878545848</v>
      </c>
      <c r="AA49" s="12">
        <v>558.145933260821</v>
      </c>
      <c r="AB49" s="12">
        <v>1423.23875179775</v>
      </c>
    </row>
    <row r="50">
      <c r="A50" s="8">
        <v>41640.0</v>
      </c>
      <c r="B50" s="9">
        <f>IFERROR(__xludf.DUMMYFUNCTION("""COMPUTED_VALUE"""),580.0)</f>
        <v>580</v>
      </c>
      <c r="C50" s="12" t="s">
        <v>5</v>
      </c>
      <c r="D50" s="12">
        <v>524.392727570278</v>
      </c>
      <c r="E50" s="12">
        <v>80.0</v>
      </c>
      <c r="F50" s="12">
        <v>370.453093815675</v>
      </c>
      <c r="G50" s="12">
        <v>150.137071486418</v>
      </c>
      <c r="H50" s="12">
        <v>565.0</v>
      </c>
      <c r="I50" s="12">
        <v>364.054852372766</v>
      </c>
      <c r="J50" s="12">
        <v>532.850026510958</v>
      </c>
      <c r="K50" s="12">
        <v>440.262093499855</v>
      </c>
      <c r="L50" s="12">
        <v>657.301157960579</v>
      </c>
      <c r="M50" s="12">
        <v>350.994375476632</v>
      </c>
      <c r="N50" s="12">
        <v>658.602010417578</v>
      </c>
      <c r="O50" s="12">
        <v>839.730838982973</v>
      </c>
      <c r="P50" s="12">
        <v>181.139493199949</v>
      </c>
      <c r="Q50" s="12">
        <v>366.507813895851</v>
      </c>
      <c r="R50" s="12">
        <v>1133.73846153846</v>
      </c>
      <c r="S50" s="12">
        <v>722.076220346489</v>
      </c>
      <c r="T50" s="12">
        <v>817.360083295223</v>
      </c>
      <c r="U50" s="12">
        <v>185.0</v>
      </c>
      <c r="V50" s="12">
        <v>294.031760258645</v>
      </c>
      <c r="W50" s="12">
        <v>479.254313742462</v>
      </c>
      <c r="X50" s="12">
        <v>3884.82758951349</v>
      </c>
      <c r="Y50" s="12">
        <v>749.051010484291</v>
      </c>
      <c r="Z50" s="12">
        <v>754.210261884918</v>
      </c>
      <c r="AA50" s="12">
        <v>515.400059201993</v>
      </c>
      <c r="AB50" s="12">
        <v>523.47157115879</v>
      </c>
    </row>
    <row r="51">
      <c r="A51" s="8">
        <v>41671.0</v>
      </c>
      <c r="B51" s="9">
        <f>IFERROR(__xludf.DUMMYFUNCTION("""COMPUTED_VALUE"""),821.0)</f>
        <v>821</v>
      </c>
      <c r="C51" s="12" t="s">
        <v>6</v>
      </c>
      <c r="D51" s="12">
        <v>901.043463048016</v>
      </c>
      <c r="E51" s="12">
        <v>93.5157475380968</v>
      </c>
      <c r="F51" s="12">
        <v>316.392857383699</v>
      </c>
      <c r="G51" s="12">
        <v>-9.77328251966699</v>
      </c>
      <c r="H51" s="12">
        <v>582.0</v>
      </c>
      <c r="I51" s="12">
        <v>1614.39804778131</v>
      </c>
      <c r="J51" s="12">
        <v>212.999173862635</v>
      </c>
      <c r="K51" s="12">
        <v>297.720688471879</v>
      </c>
      <c r="L51" s="12">
        <v>555.772806891733</v>
      </c>
      <c r="M51" s="12">
        <v>409.806784400546</v>
      </c>
      <c r="N51" s="12">
        <v>957.817395032963</v>
      </c>
      <c r="O51" s="12">
        <v>646.292688644285</v>
      </c>
      <c r="P51" s="12">
        <v>297.698691834454</v>
      </c>
      <c r="Q51" s="12">
        <v>2066.30478447987</v>
      </c>
      <c r="R51" s="12">
        <v>248.5</v>
      </c>
      <c r="S51" s="12">
        <v>828.920958549463</v>
      </c>
      <c r="T51" s="12">
        <v>379.254788632929</v>
      </c>
      <c r="U51" s="12">
        <v>224.5</v>
      </c>
      <c r="V51" s="12">
        <v>224.5</v>
      </c>
      <c r="W51" s="12">
        <v>551.623784577916</v>
      </c>
      <c r="X51" s="12">
        <v>5552.90825072446</v>
      </c>
      <c r="Y51" s="12">
        <v>699.051010484291</v>
      </c>
      <c r="Z51" s="12">
        <v>777.709995126557</v>
      </c>
      <c r="AA51" s="12">
        <v>618.029429728053</v>
      </c>
      <c r="AB51" s="12">
        <v>367.370681494331</v>
      </c>
    </row>
    <row r="52">
      <c r="A52" s="8">
        <v>41699.0</v>
      </c>
      <c r="B52" s="9">
        <f>IFERROR(__xludf.DUMMYFUNCTION("""COMPUTED_VALUE"""),39606.0)</f>
        <v>39606</v>
      </c>
      <c r="C52" s="12" t="s">
        <v>7</v>
      </c>
      <c r="D52" s="12">
        <v>39606.0775632877</v>
      </c>
      <c r="E52" s="12">
        <v>39473.6926273804</v>
      </c>
      <c r="F52" s="12">
        <v>40320.0</v>
      </c>
      <c r="G52" s="12">
        <v>39605.9999727922</v>
      </c>
      <c r="H52" s="12">
        <v>39605.9079392398</v>
      </c>
      <c r="I52" s="12">
        <v>79181.9722914546</v>
      </c>
      <c r="J52" s="12">
        <v>39557.0747841931</v>
      </c>
      <c r="K52" s="12">
        <v>483.110693110346</v>
      </c>
      <c r="L52" s="12">
        <v>39017.7958022138</v>
      </c>
      <c r="M52" s="12">
        <v>39302.2467279363</v>
      </c>
      <c r="N52" s="12">
        <v>956.663548879117</v>
      </c>
      <c r="O52" s="12">
        <v>23625.2177441452</v>
      </c>
      <c r="P52" s="12">
        <v>39625.974962272</v>
      </c>
      <c r="Q52" s="12">
        <v>39554.8173580719</v>
      </c>
      <c r="R52" s="12">
        <v>38355.8538461538</v>
      </c>
      <c r="S52" s="12">
        <v>39605.9745503628</v>
      </c>
      <c r="T52" s="12">
        <v>481.047179286765</v>
      </c>
      <c r="U52" s="12">
        <v>264.0</v>
      </c>
      <c r="V52" s="12">
        <v>264.0</v>
      </c>
      <c r="W52" s="12">
        <v>276.720908928428</v>
      </c>
      <c r="X52" s="12">
        <v>4463.00266701566</v>
      </c>
      <c r="Y52" s="12">
        <v>38981.7494060161</v>
      </c>
      <c r="Z52" s="12">
        <v>648.271908301265</v>
      </c>
      <c r="AA52" s="12">
        <v>941.664681648067</v>
      </c>
      <c r="AB52" s="12">
        <v>43.6128041847338</v>
      </c>
    </row>
    <row r="53">
      <c r="A53" s="8">
        <v>41730.0</v>
      </c>
      <c r="B53" s="9">
        <f>IFERROR(__xludf.DUMMYFUNCTION("""COMPUTED_VALUE"""),1662.0)</f>
        <v>1662</v>
      </c>
      <c r="C53" s="12" t="s">
        <v>8</v>
      </c>
      <c r="D53" s="12">
        <v>152.672413280935</v>
      </c>
      <c r="E53" s="12">
        <v>1586.90914265153</v>
      </c>
      <c r="F53" s="12">
        <v>671.41000136056</v>
      </c>
      <c r="G53" s="12">
        <v>58.0307691909043</v>
      </c>
      <c r="H53" s="12">
        <v>565.0</v>
      </c>
      <c r="I53" s="12">
        <v>208.69125888315</v>
      </c>
      <c r="J53" s="12">
        <v>2498.32713649403</v>
      </c>
      <c r="K53" s="12">
        <v>291.0</v>
      </c>
      <c r="L53" s="12">
        <v>323.469175399721</v>
      </c>
      <c r="M53" s="12">
        <v>704.483183905826</v>
      </c>
      <c r="N53" s="12">
        <v>944.355856571424</v>
      </c>
      <c r="O53" s="12">
        <v>2604.60973258955</v>
      </c>
      <c r="P53" s="12">
        <v>357.106977236551</v>
      </c>
      <c r="Q53" s="12">
        <v>2456.90502293555</v>
      </c>
      <c r="R53" s="12">
        <v>333.0</v>
      </c>
      <c r="S53" s="12">
        <v>946.521688995488</v>
      </c>
      <c r="T53" s="12">
        <v>313.988609480142</v>
      </c>
      <c r="U53" s="12">
        <v>291.0</v>
      </c>
      <c r="V53" s="12">
        <v>334.845837036104</v>
      </c>
      <c r="W53" s="12">
        <v>575.349652312674</v>
      </c>
      <c r="X53" s="12">
        <v>3377.00203051676</v>
      </c>
      <c r="Y53" s="12">
        <v>751.051010484291</v>
      </c>
      <c r="Z53" s="12">
        <v>902.40578116365</v>
      </c>
      <c r="AA53" s="12">
        <v>585.254444579666</v>
      </c>
      <c r="AB53" s="12">
        <v>430.980017457438</v>
      </c>
    </row>
    <row r="54">
      <c r="A54" s="8">
        <v>41760.0</v>
      </c>
      <c r="B54" s="9">
        <f>IFERROR(__xludf.DUMMYFUNCTION("""COMPUTED_VALUE"""),265.0)</f>
        <v>265</v>
      </c>
      <c r="C54" s="12" t="s">
        <v>9</v>
      </c>
      <c r="D54" s="12">
        <v>365.435463097884</v>
      </c>
      <c r="E54" s="12">
        <v>883.571745988166</v>
      </c>
      <c r="F54" s="10">
        <v>182.500658244157</v>
      </c>
      <c r="G54" s="12">
        <v>268.392307507933</v>
      </c>
      <c r="H54" s="12">
        <v>573.0</v>
      </c>
      <c r="I54" s="12">
        <v>48.0638166482038</v>
      </c>
      <c r="J54" s="12">
        <v>289.642900217434</v>
      </c>
      <c r="K54" s="12">
        <v>291.0</v>
      </c>
      <c r="L54" s="12">
        <v>161.568068955423</v>
      </c>
      <c r="M54" s="12">
        <v>394.085536134316</v>
      </c>
      <c r="N54" s="12">
        <v>933.278933494501</v>
      </c>
      <c r="O54" s="12">
        <v>357.431184992812</v>
      </c>
      <c r="P54" s="12">
        <v>655.285926219223</v>
      </c>
      <c r="Q54" s="12">
        <v>716.581740425012</v>
      </c>
      <c r="R54" s="12">
        <v>393.972397939009</v>
      </c>
      <c r="S54" s="12">
        <v>963.236886151273</v>
      </c>
      <c r="T54" s="12">
        <v>147.904789939032</v>
      </c>
      <c r="U54" s="12">
        <v>291.0</v>
      </c>
      <c r="V54" s="12">
        <v>291.0</v>
      </c>
      <c r="W54" s="12">
        <v>43.9766392050954</v>
      </c>
      <c r="X54" s="12">
        <v>3007.03343212194</v>
      </c>
      <c r="Y54" s="12">
        <v>728.051010484291</v>
      </c>
      <c r="Z54" s="12">
        <v>652.205700839831</v>
      </c>
      <c r="AA54" s="12">
        <v>940.876097724235</v>
      </c>
      <c r="AB54" s="12">
        <v>-302.176600830883</v>
      </c>
    </row>
    <row r="55">
      <c r="A55" s="8">
        <v>41791.0</v>
      </c>
      <c r="B55" s="9">
        <f>IFERROR(__xludf.DUMMYFUNCTION("""COMPUTED_VALUE"""),90.0)</f>
        <v>90</v>
      </c>
      <c r="C55" s="12" t="s">
        <v>10</v>
      </c>
      <c r="D55" s="12">
        <v>379.131156933962</v>
      </c>
      <c r="E55" s="12">
        <v>538.762166258963</v>
      </c>
      <c r="F55" s="10">
        <v>274.972523776472</v>
      </c>
      <c r="G55" s="12">
        <v>203.107692168165</v>
      </c>
      <c r="H55" s="12">
        <v>565.0</v>
      </c>
      <c r="I55" s="12">
        <v>68.161318097461</v>
      </c>
      <c r="J55" s="12">
        <v>472.727527766363</v>
      </c>
      <c r="K55" s="12">
        <v>264.0</v>
      </c>
      <c r="L55" s="12">
        <v>235.883041535122</v>
      </c>
      <c r="M55" s="12">
        <v>407.711181932379</v>
      </c>
      <c r="N55" s="12">
        <v>1591.2011477751</v>
      </c>
      <c r="O55" s="12">
        <v>538.484903839396</v>
      </c>
      <c r="P55" s="12">
        <v>286.723343103683</v>
      </c>
      <c r="Q55" s="12">
        <v>1018.94649187085</v>
      </c>
      <c r="R55" s="12">
        <v>264.0</v>
      </c>
      <c r="S55" s="12">
        <v>953.755166694259</v>
      </c>
      <c r="T55" s="12">
        <v>107.014789939032</v>
      </c>
      <c r="U55" s="12">
        <v>264.0</v>
      </c>
      <c r="V55" s="12">
        <v>264.0</v>
      </c>
      <c r="W55" s="12">
        <v>-64.4272824538035</v>
      </c>
      <c r="X55" s="12">
        <v>2334.74573799234</v>
      </c>
      <c r="Y55" s="12">
        <v>729.051010484291</v>
      </c>
      <c r="Z55" s="12">
        <v>656.139493378398</v>
      </c>
      <c r="AA55" s="12">
        <v>852.522261663024</v>
      </c>
      <c r="AB55" s="12">
        <v>-108.488089850878</v>
      </c>
    </row>
    <row r="56">
      <c r="A56" s="8">
        <v>41821.0</v>
      </c>
      <c r="B56" s="9">
        <f>IFERROR(__xludf.DUMMYFUNCTION("""COMPUTED_VALUE"""),6.0)</f>
        <v>6</v>
      </c>
      <c r="C56" s="12" t="s">
        <v>11</v>
      </c>
      <c r="D56" s="12">
        <v>44.0551072722421</v>
      </c>
      <c r="E56" s="12">
        <v>0.0</v>
      </c>
      <c r="F56" s="10">
        <v>192.01086218931</v>
      </c>
      <c r="G56" s="12">
        <v>-576.679817248195</v>
      </c>
      <c r="H56" s="12">
        <v>687.0</v>
      </c>
      <c r="I56" s="12">
        <v>33.0</v>
      </c>
      <c r="J56" s="12">
        <v>31.7441677096246</v>
      </c>
      <c r="K56" s="12">
        <v>291.0</v>
      </c>
      <c r="L56" s="12">
        <v>0.410512134094688</v>
      </c>
      <c r="M56" s="12">
        <v>-541.051663395551</v>
      </c>
      <c r="N56" s="12">
        <v>338.432779648347</v>
      </c>
      <c r="O56" s="12">
        <v>435.0</v>
      </c>
      <c r="P56" s="12">
        <v>8.21072537724763</v>
      </c>
      <c r="Q56" s="12">
        <v>441.129341925832</v>
      </c>
      <c r="R56" s="12">
        <v>413.0</v>
      </c>
      <c r="S56" s="12">
        <v>1058.1787154984</v>
      </c>
      <c r="T56" s="12">
        <v>116.254789939032</v>
      </c>
      <c r="U56" s="12">
        <v>291.0</v>
      </c>
      <c r="V56" s="12">
        <v>291.0</v>
      </c>
      <c r="W56" s="12">
        <v>-426.365210195243</v>
      </c>
      <c r="X56" s="12">
        <v>0.0</v>
      </c>
      <c r="Y56" s="12">
        <v>651.051010484291</v>
      </c>
      <c r="Z56" s="12">
        <v>350.141860066347</v>
      </c>
      <c r="AA56" s="12">
        <v>1206.46175750773</v>
      </c>
      <c r="AB56" s="12">
        <v>-362.210057822872</v>
      </c>
    </row>
    <row r="57">
      <c r="A57" s="8">
        <v>41852.0</v>
      </c>
      <c r="B57" s="9">
        <f>IFERROR(__xludf.DUMMYFUNCTION("""COMPUTED_VALUE"""),995.0)</f>
        <v>995</v>
      </c>
      <c r="C57" s="12" t="s">
        <v>12</v>
      </c>
      <c r="D57" s="12">
        <v>-12.0</v>
      </c>
      <c r="E57" s="12">
        <v>42.0</v>
      </c>
      <c r="F57" s="10">
        <v>60.0032182319244</v>
      </c>
      <c r="G57" s="12">
        <v>-347.0</v>
      </c>
      <c r="H57" s="12">
        <v>565.0</v>
      </c>
      <c r="I57" s="12">
        <v>33.0</v>
      </c>
      <c r="J57" s="12">
        <v>7.21262110114256</v>
      </c>
      <c r="K57" s="12">
        <v>264.0</v>
      </c>
      <c r="L57" s="12">
        <v>0.0</v>
      </c>
      <c r="M57" s="12">
        <v>-324.426210008943</v>
      </c>
      <c r="N57" s="12">
        <v>386.618677084245</v>
      </c>
      <c r="O57" s="12">
        <v>383.024797393761</v>
      </c>
      <c r="P57" s="12">
        <v>4.0</v>
      </c>
      <c r="Q57" s="12">
        <v>447.7559641061</v>
      </c>
      <c r="R57" s="12">
        <v>264.0</v>
      </c>
      <c r="S57" s="12">
        <v>959.8897469302</v>
      </c>
      <c r="T57" s="12">
        <v>132.214789939032</v>
      </c>
      <c r="U57" s="12">
        <v>264.0</v>
      </c>
      <c r="V57" s="12">
        <v>264.0</v>
      </c>
      <c r="W57" s="12">
        <v>-558.5</v>
      </c>
      <c r="X57" s="12">
        <v>0.0</v>
      </c>
      <c r="Y57" s="12">
        <v>651.051010484291</v>
      </c>
      <c r="Z57" s="12">
        <v>350.407041959674</v>
      </c>
      <c r="AA57" s="12">
        <v>1338.60534187287</v>
      </c>
      <c r="AB57" s="12">
        <v>-502.5</v>
      </c>
    </row>
    <row r="58">
      <c r="A58" s="8">
        <v>41883.0</v>
      </c>
      <c r="B58" s="9">
        <f>IFERROR(__xludf.DUMMYFUNCTION("""COMPUTED_VALUE"""),25.0)</f>
        <v>25</v>
      </c>
      <c r="C58" s="12" t="s">
        <v>13</v>
      </c>
      <c r="D58" s="12">
        <v>24.0</v>
      </c>
      <c r="E58" s="12">
        <v>25.5</v>
      </c>
      <c r="F58" s="10">
        <v>114.141489074311</v>
      </c>
      <c r="G58" s="12">
        <v>-441.0</v>
      </c>
      <c r="H58" s="12">
        <v>1336.74517643887</v>
      </c>
      <c r="I58" s="12">
        <v>35.5</v>
      </c>
      <c r="J58" s="12">
        <v>113.157879431233</v>
      </c>
      <c r="K58" s="12">
        <v>249.0</v>
      </c>
      <c r="L58" s="12">
        <v>846.878147061762</v>
      </c>
      <c r="M58" s="12">
        <v>-345.045718703106</v>
      </c>
      <c r="N58" s="12">
        <v>705.397196516346</v>
      </c>
      <c r="O58" s="12">
        <v>800.5</v>
      </c>
      <c r="P58" s="12">
        <v>155.999994196195</v>
      </c>
      <c r="Q58" s="12">
        <v>447.7559641061</v>
      </c>
      <c r="R58" s="12">
        <v>294.150400856004</v>
      </c>
      <c r="S58" s="12">
        <v>949.527399402727</v>
      </c>
      <c r="T58" s="12">
        <v>206.374789939032</v>
      </c>
      <c r="U58" s="12">
        <v>249.0</v>
      </c>
      <c r="V58" s="12">
        <v>249.0</v>
      </c>
      <c r="W58" s="12">
        <v>-482.541714663828</v>
      </c>
      <c r="X58" s="12">
        <v>0.0</v>
      </c>
      <c r="Y58" s="12">
        <v>651.051010484291</v>
      </c>
      <c r="Z58" s="12">
        <v>355.136119057353</v>
      </c>
      <c r="AA58" s="12">
        <v>1304.11715503138</v>
      </c>
      <c r="AB58" s="12">
        <v>-203.864196597764</v>
      </c>
    </row>
    <row r="59">
      <c r="A59" s="8">
        <v>41913.0</v>
      </c>
      <c r="B59" s="9">
        <f>IFERROR(__xludf.DUMMYFUNCTION("""COMPUTED_VALUE"""),1015.0)</f>
        <v>1015</v>
      </c>
      <c r="C59" s="12" t="s">
        <v>14</v>
      </c>
      <c r="D59" s="12">
        <v>69.8169262435445</v>
      </c>
      <c r="E59" s="12">
        <v>135.814911749241</v>
      </c>
      <c r="F59" s="10">
        <v>104.893845091917</v>
      </c>
      <c r="G59" s="12">
        <v>-552.17422996941</v>
      </c>
      <c r="H59" s="12">
        <v>565.0</v>
      </c>
      <c r="I59" s="12">
        <v>430.849511945328</v>
      </c>
      <c r="J59" s="12">
        <v>114.654782859138</v>
      </c>
      <c r="K59" s="12">
        <v>264.0</v>
      </c>
      <c r="L59" s="12">
        <v>424.622889504966</v>
      </c>
      <c r="M59" s="12">
        <v>251.209814872905</v>
      </c>
      <c r="N59" s="12">
        <v>661.035343750911</v>
      </c>
      <c r="O59" s="12">
        <v>1013.89308487317</v>
      </c>
      <c r="P59" s="12">
        <v>162.28528164113</v>
      </c>
      <c r="Q59" s="12">
        <v>442.858025972858</v>
      </c>
      <c r="R59" s="12">
        <v>268.79006279539</v>
      </c>
      <c r="S59" s="12">
        <v>917.935729073057</v>
      </c>
      <c r="T59" s="12">
        <v>396.049789939032</v>
      </c>
      <c r="U59" s="12">
        <v>249.0</v>
      </c>
      <c r="V59" s="12">
        <v>249.0</v>
      </c>
      <c r="W59" s="12">
        <v>-425.026449699864</v>
      </c>
      <c r="X59" s="12">
        <v>0.0</v>
      </c>
      <c r="Y59" s="12">
        <v>669.051010484291</v>
      </c>
      <c r="Z59" s="12">
        <v>420.111941064381</v>
      </c>
      <c r="AA59" s="12">
        <v>1226.67962795735</v>
      </c>
      <c r="AB59" s="12">
        <v>-209.169622575564</v>
      </c>
    </row>
    <row r="60">
      <c r="A60" s="8">
        <v>41944.0</v>
      </c>
      <c r="B60" s="9">
        <f>IFERROR(__xludf.DUMMYFUNCTION("""COMPUTED_VALUE"""),320.0)</f>
        <v>320</v>
      </c>
      <c r="C60" s="12" t="s">
        <v>15</v>
      </c>
      <c r="D60" s="12">
        <v>537.371482913406</v>
      </c>
      <c r="E60" s="12">
        <v>791.483632388393</v>
      </c>
      <c r="F60" s="10">
        <v>50.0434461308702</v>
      </c>
      <c r="G60" s="12">
        <v>0.0</v>
      </c>
      <c r="H60" s="12">
        <v>565.0</v>
      </c>
      <c r="I60" s="12">
        <v>504.519110671587</v>
      </c>
      <c r="J60" s="12">
        <v>519.584488704898</v>
      </c>
      <c r="K60" s="12">
        <v>264.0</v>
      </c>
      <c r="L60" s="12">
        <v>723.379343126081</v>
      </c>
      <c r="M60" s="12">
        <v>350.123294408347</v>
      </c>
      <c r="N60" s="12">
        <v>806.702010417578</v>
      </c>
      <c r="O60" s="12">
        <v>582.147710032462</v>
      </c>
      <c r="P60" s="12">
        <v>1268.53148626732</v>
      </c>
      <c r="Q60" s="12">
        <v>429.604781612321</v>
      </c>
      <c r="R60" s="12">
        <v>840.388401010133</v>
      </c>
      <c r="S60" s="12">
        <v>459.367597204925</v>
      </c>
      <c r="T60" s="12">
        <v>293.453915327248</v>
      </c>
      <c r="U60" s="12">
        <v>264.0</v>
      </c>
      <c r="V60" s="12">
        <v>264.0</v>
      </c>
      <c r="W60" s="12">
        <v>233.250159387211</v>
      </c>
      <c r="X60" s="12">
        <v>0.0</v>
      </c>
      <c r="Y60" s="12">
        <v>811.051010484291</v>
      </c>
      <c r="Z60" s="12">
        <v>532.682262279807</v>
      </c>
      <c r="AA60" s="12">
        <v>528.778341044537</v>
      </c>
      <c r="AB60" s="12">
        <v>427.620050221541</v>
      </c>
    </row>
    <row r="61">
      <c r="A61" s="8">
        <v>41974.0</v>
      </c>
      <c r="B61" s="9">
        <f>IFERROR(__xludf.DUMMYFUNCTION("""COMPUTED_VALUE"""),701.0)</f>
        <v>701</v>
      </c>
      <c r="C61" s="12" t="s">
        <v>16</v>
      </c>
      <c r="D61" s="12">
        <v>666.402877111875</v>
      </c>
      <c r="E61" s="12">
        <v>17.0</v>
      </c>
      <c r="F61" s="10">
        <v>111.509937650265</v>
      </c>
      <c r="G61" s="12">
        <v>573.792341277819</v>
      </c>
      <c r="H61" s="12">
        <v>570.0</v>
      </c>
      <c r="I61" s="12">
        <v>984.879204668267</v>
      </c>
      <c r="J61" s="12">
        <v>1546.51106732389</v>
      </c>
      <c r="K61" s="12">
        <v>1720.17191166372</v>
      </c>
      <c r="L61" s="12">
        <v>1542.4654495251</v>
      </c>
      <c r="M61" s="12">
        <v>1243.55933488029</v>
      </c>
      <c r="N61" s="12">
        <v>1250.09372064486</v>
      </c>
      <c r="O61" s="12">
        <v>1505.01964660719</v>
      </c>
      <c r="P61" s="12">
        <v>618.514066872664</v>
      </c>
      <c r="Q61" s="12">
        <v>699.802795178788</v>
      </c>
      <c r="R61" s="12">
        <v>30272.4230769231</v>
      </c>
      <c r="S61" s="12">
        <v>761.072971318684</v>
      </c>
      <c r="T61" s="12">
        <v>1878.03901433191</v>
      </c>
      <c r="U61" s="12">
        <v>421.5</v>
      </c>
      <c r="V61" s="12">
        <v>593.552171150472</v>
      </c>
      <c r="W61" s="12">
        <v>1050.36442295054</v>
      </c>
      <c r="X61" s="12">
        <v>0.0</v>
      </c>
      <c r="Y61" s="12">
        <v>974.051010484291</v>
      </c>
      <c r="Z61" s="12">
        <v>1619.9186653273</v>
      </c>
      <c r="AA61" s="12">
        <v>317.462651033557</v>
      </c>
      <c r="AB61" s="12">
        <v>530.540633868141</v>
      </c>
    </row>
    <row r="62">
      <c r="A62" s="8">
        <v>42005.0</v>
      </c>
      <c r="B62" s="9">
        <f>IFERROR(__xludf.DUMMYFUNCTION("""COMPUTED_VALUE"""),544.0)</f>
        <v>544</v>
      </c>
      <c r="C62" s="12" t="s">
        <v>17</v>
      </c>
      <c r="D62" s="12">
        <v>348.815347199755</v>
      </c>
      <c r="E62" s="12">
        <v>112.0</v>
      </c>
      <c r="F62" s="10">
        <v>178.382631544699</v>
      </c>
      <c r="G62" s="12">
        <v>-1175.11574384343</v>
      </c>
      <c r="H62" s="12">
        <v>583.0</v>
      </c>
      <c r="I62" s="12">
        <v>59.6500592954139</v>
      </c>
      <c r="J62" s="12">
        <v>991.13950078019</v>
      </c>
      <c r="K62" s="12">
        <v>579.0</v>
      </c>
      <c r="L62" s="12">
        <v>990.320162643648</v>
      </c>
      <c r="M62" s="12">
        <v>103.099295695675</v>
      </c>
      <c r="N62" s="12">
        <v>4180.39152205443</v>
      </c>
      <c r="O62" s="12">
        <v>378.130178996742</v>
      </c>
      <c r="P62" s="12">
        <v>216.269857367503</v>
      </c>
      <c r="Q62" s="12">
        <v>817.398917970393</v>
      </c>
      <c r="R62" s="12">
        <v>31101.3230769231</v>
      </c>
      <c r="S62" s="12">
        <v>353.364570231898</v>
      </c>
      <c r="T62" s="12">
        <v>1201.68579507852</v>
      </c>
      <c r="U62" s="12">
        <v>654.0</v>
      </c>
      <c r="V62" s="12">
        <v>654.0</v>
      </c>
      <c r="W62" s="12">
        <v>-52.7129559758409</v>
      </c>
      <c r="X62" s="12">
        <v>0.0</v>
      </c>
      <c r="Y62" s="12">
        <v>892.051010484291</v>
      </c>
      <c r="Z62" s="12">
        <v>1297.34767716481</v>
      </c>
      <c r="AA62" s="12">
        <v>84.0406792989215</v>
      </c>
      <c r="AB62" s="12">
        <v>308.403595549858</v>
      </c>
    </row>
    <row r="63">
      <c r="A63" s="8">
        <v>42036.0</v>
      </c>
      <c r="B63" s="9">
        <f>IFERROR(__xludf.DUMMYFUNCTION("""COMPUTED_VALUE"""),454.0)</f>
        <v>454</v>
      </c>
      <c r="C63" s="12" t="s">
        <v>18</v>
      </c>
      <c r="D63" s="12">
        <v>272.718821853776</v>
      </c>
      <c r="E63" s="12">
        <v>56.0</v>
      </c>
      <c r="F63" s="10">
        <v>137.15324824813</v>
      </c>
      <c r="G63" s="12">
        <v>430.284073543748</v>
      </c>
      <c r="H63" s="12">
        <v>586.0</v>
      </c>
      <c r="I63" s="12">
        <v>82.267192061376</v>
      </c>
      <c r="J63" s="12">
        <v>626.698484390275</v>
      </c>
      <c r="K63" s="12">
        <v>579.0</v>
      </c>
      <c r="L63" s="12">
        <v>677.02210516362</v>
      </c>
      <c r="M63" s="12">
        <v>-290.455723717986</v>
      </c>
      <c r="N63" s="12">
        <v>981.035343750911</v>
      </c>
      <c r="O63" s="12">
        <v>51.2375501273491</v>
      </c>
      <c r="P63" s="12">
        <v>394.36512871347</v>
      </c>
      <c r="Q63" s="12">
        <v>454.010729470528</v>
      </c>
      <c r="R63" s="12">
        <v>34014.5076923077</v>
      </c>
      <c r="S63" s="12">
        <v>450.66231248964</v>
      </c>
      <c r="T63" s="12">
        <v>427.754789939032</v>
      </c>
      <c r="U63" s="12">
        <v>654.0</v>
      </c>
      <c r="V63" s="12">
        <v>654.0</v>
      </c>
      <c r="W63" s="12">
        <v>-83.00452059482</v>
      </c>
      <c r="X63" s="12">
        <v>0.0</v>
      </c>
      <c r="Y63" s="12">
        <v>1335.71047566355</v>
      </c>
      <c r="Z63" s="12">
        <v>923.637386000951</v>
      </c>
      <c r="AA63" s="12">
        <v>331.382567938558</v>
      </c>
      <c r="AB63" s="12">
        <v>-87.7133813974428</v>
      </c>
    </row>
    <row r="64">
      <c r="A64" s="8">
        <v>42064.0</v>
      </c>
      <c r="B64" s="9">
        <f>IFERROR(__xludf.DUMMYFUNCTION("""COMPUTED_VALUE"""),748.0)</f>
        <v>748</v>
      </c>
      <c r="C64" s="12" t="s">
        <v>19</v>
      </c>
      <c r="D64" s="12">
        <v>267.710647092331</v>
      </c>
      <c r="E64" s="12">
        <v>206.520848986425</v>
      </c>
      <c r="F64" s="10">
        <v>127.791714849805</v>
      </c>
      <c r="G64" s="12">
        <v>444.69573363533</v>
      </c>
      <c r="H64" s="12">
        <v>1359.45518982705</v>
      </c>
      <c r="I64" s="12">
        <v>94.7977337275193</v>
      </c>
      <c r="J64" s="12">
        <v>2318.09675229329</v>
      </c>
      <c r="K64" s="12">
        <v>856.857311804853</v>
      </c>
      <c r="L64" s="12">
        <v>597.208370021801</v>
      </c>
      <c r="M64" s="12">
        <v>597.628136355307</v>
      </c>
      <c r="N64" s="12">
        <v>707.663548879116</v>
      </c>
      <c r="O64" s="12">
        <v>350.0</v>
      </c>
      <c r="P64" s="12">
        <v>43.58379478539</v>
      </c>
      <c r="Q64" s="12">
        <v>989.167817601951</v>
      </c>
      <c r="R64" s="12">
        <v>25131.3461538462</v>
      </c>
      <c r="S64" s="12">
        <v>522.183201600529</v>
      </c>
      <c r="T64" s="12">
        <v>448.842599676307</v>
      </c>
      <c r="U64" s="12">
        <v>579.0</v>
      </c>
      <c r="V64" s="12">
        <v>579.0</v>
      </c>
      <c r="W64" s="12">
        <v>420.413780674592</v>
      </c>
      <c r="X64" s="12">
        <v>0.0</v>
      </c>
      <c r="Y64" s="12">
        <v>784.051010484291</v>
      </c>
      <c r="Z64" s="12">
        <v>501.878569406286</v>
      </c>
      <c r="AA64" s="12">
        <v>680.228388533194</v>
      </c>
      <c r="AB64" s="12">
        <v>-889.821555522166</v>
      </c>
    </row>
    <row r="65">
      <c r="A65" s="8">
        <v>42095.0</v>
      </c>
      <c r="B65" s="9">
        <f>IFERROR(__xludf.DUMMYFUNCTION("""COMPUTED_VALUE"""),635.0)</f>
        <v>635</v>
      </c>
      <c r="C65" s="12" t="s">
        <v>20</v>
      </c>
      <c r="D65" s="12">
        <v>619.216456378091</v>
      </c>
      <c r="E65" s="12">
        <v>596.096601679096</v>
      </c>
      <c r="F65" s="10">
        <v>112.737104398447</v>
      </c>
      <c r="G65" s="12">
        <v>394.687679973218</v>
      </c>
      <c r="H65" s="12">
        <v>571.0</v>
      </c>
      <c r="I65" s="12">
        <v>77.0</v>
      </c>
      <c r="J65" s="12">
        <v>1549.46317644315</v>
      </c>
      <c r="K65" s="12">
        <v>654.0</v>
      </c>
      <c r="L65" s="12">
        <v>921.850103234461</v>
      </c>
      <c r="M65" s="12">
        <v>614.128705733261</v>
      </c>
      <c r="N65" s="12">
        <v>695.059153274721</v>
      </c>
      <c r="O65" s="12">
        <v>97.8434731566838</v>
      </c>
      <c r="P65" s="12">
        <v>606.413165437205</v>
      </c>
      <c r="Q65" s="12">
        <v>1262.44163756591</v>
      </c>
      <c r="R65" s="12">
        <v>586.0</v>
      </c>
      <c r="S65" s="12">
        <v>613.228756046084</v>
      </c>
      <c r="T65" s="12">
        <v>392.824789939032</v>
      </c>
      <c r="U65" s="12">
        <v>579.0</v>
      </c>
      <c r="V65" s="12">
        <v>579.0</v>
      </c>
      <c r="W65" s="12">
        <v>467.500588584694</v>
      </c>
      <c r="X65" s="12">
        <v>0.0</v>
      </c>
      <c r="Y65" s="12">
        <v>770.051010484291</v>
      </c>
      <c r="Z65" s="12">
        <v>817.424987459644</v>
      </c>
      <c r="AA65" s="12">
        <v>707.535373830391</v>
      </c>
      <c r="AB65" s="12">
        <v>555.401437893978</v>
      </c>
    </row>
    <row r="66">
      <c r="A66" s="8">
        <v>42125.0</v>
      </c>
      <c r="B66" s="9">
        <f>IFERROR(__xludf.DUMMYFUNCTION("""COMPUTED_VALUE"""),311.0)</f>
        <v>311</v>
      </c>
      <c r="C66" s="12" t="s">
        <v>21</v>
      </c>
      <c r="D66" s="12">
        <v>237.120208603484</v>
      </c>
      <c r="E66" s="12">
        <v>0.0</v>
      </c>
      <c r="F66" s="12">
        <v>29.2573768329498</v>
      </c>
      <c r="G66" s="12">
        <v>481.843840984149</v>
      </c>
      <c r="H66" s="12">
        <v>573.0</v>
      </c>
      <c r="I66" s="12">
        <v>161.817772630008</v>
      </c>
      <c r="J66" s="12">
        <v>774.332178037311</v>
      </c>
      <c r="K66" s="12">
        <v>1421.34653107653</v>
      </c>
      <c r="L66" s="12">
        <v>435.5018228522</v>
      </c>
      <c r="M66" s="12">
        <v>1777.95499662892</v>
      </c>
      <c r="N66" s="12">
        <v>1213.12909301419</v>
      </c>
      <c r="O66" s="12">
        <v>294.0</v>
      </c>
      <c r="P66" s="12">
        <v>301.324576337206</v>
      </c>
      <c r="Q66" s="12">
        <v>603.937561469214</v>
      </c>
      <c r="R66" s="12">
        <v>712104.061538461</v>
      </c>
      <c r="S66" s="12">
        <v>1370.25865214998</v>
      </c>
      <c r="T66" s="12">
        <v>420.094789939032</v>
      </c>
      <c r="U66" s="12">
        <v>508.5</v>
      </c>
      <c r="V66" s="12">
        <v>935.98090900254</v>
      </c>
      <c r="W66" s="12">
        <v>942.886088941179</v>
      </c>
      <c r="X66" s="12">
        <v>0.0</v>
      </c>
      <c r="Y66" s="12">
        <v>860.051010484291</v>
      </c>
      <c r="Z66" s="12">
        <v>588.58526045768</v>
      </c>
      <c r="AA66" s="12">
        <v>266.987024408588</v>
      </c>
      <c r="AB66" s="12">
        <v>994.076253694287</v>
      </c>
    </row>
    <row r="67">
      <c r="A67" s="8">
        <v>42156.0</v>
      </c>
      <c r="B67" s="9">
        <f>IFERROR(__xludf.DUMMYFUNCTION("""COMPUTED_VALUE"""),494.0)</f>
        <v>494</v>
      </c>
      <c r="C67" s="12" t="s">
        <v>22</v>
      </c>
      <c r="D67" s="12">
        <v>57.8225730275249</v>
      </c>
      <c r="E67" s="12">
        <v>38.1167770084197</v>
      </c>
      <c r="F67" s="12">
        <v>133.332173042551</v>
      </c>
      <c r="G67" s="12">
        <v>-251.078989414651</v>
      </c>
      <c r="H67" s="12">
        <v>565.0</v>
      </c>
      <c r="I67" s="12">
        <v>270.660800398403</v>
      </c>
      <c r="J67" s="12">
        <v>225.240117423504</v>
      </c>
      <c r="K67" s="12">
        <v>438.0</v>
      </c>
      <c r="L67" s="12">
        <v>279.246199215924</v>
      </c>
      <c r="M67" s="12">
        <v>446.832016561923</v>
      </c>
      <c r="N67" s="12">
        <v>662.202010417578</v>
      </c>
      <c r="O67" s="12">
        <v>218.623384656468</v>
      </c>
      <c r="P67" s="12">
        <v>12.009014849997</v>
      </c>
      <c r="Q67" s="12">
        <v>446.891622082587</v>
      </c>
      <c r="R67" s="12">
        <v>17818.0307692308</v>
      </c>
      <c r="S67" s="12">
        <v>1362.26265214998</v>
      </c>
      <c r="T67" s="12">
        <v>737.698235679242</v>
      </c>
      <c r="U67" s="12">
        <v>508.5</v>
      </c>
      <c r="V67" s="12">
        <v>508.5</v>
      </c>
      <c r="W67" s="12">
        <v>226.024784470837</v>
      </c>
      <c r="X67" s="12">
        <v>0.0</v>
      </c>
      <c r="Y67" s="12">
        <v>726.051010484291</v>
      </c>
      <c r="Z67" s="12">
        <v>651.183380845702</v>
      </c>
      <c r="AA67" s="12">
        <v>908.738852601282</v>
      </c>
      <c r="AB67" s="12">
        <v>389.418145484913</v>
      </c>
    </row>
    <row r="68">
      <c r="A68" s="8">
        <v>42186.0</v>
      </c>
      <c r="B68" s="9">
        <f>IFERROR(__xludf.DUMMYFUNCTION("""COMPUTED_VALUE"""),1417.0)</f>
        <v>1417</v>
      </c>
      <c r="C68" s="12" t="s">
        <v>23</v>
      </c>
      <c r="D68" s="12">
        <v>841.219860123735</v>
      </c>
      <c r="E68" s="12">
        <v>22.1883687077677</v>
      </c>
      <c r="F68" s="12">
        <v>174.228725149381</v>
      </c>
      <c r="G68" s="12">
        <v>668.52608069526</v>
      </c>
      <c r="H68" s="12">
        <v>565.0</v>
      </c>
      <c r="I68" s="12">
        <v>132.517161513618</v>
      </c>
      <c r="J68" s="12">
        <v>1252.16326121265</v>
      </c>
      <c r="K68" s="12">
        <v>706.571698214089</v>
      </c>
      <c r="L68" s="12">
        <v>1979.48018361194</v>
      </c>
      <c r="M68" s="12">
        <v>917.142440456535</v>
      </c>
      <c r="N68" s="12">
        <v>796.785343750911</v>
      </c>
      <c r="O68" s="12">
        <v>175.61665730844</v>
      </c>
      <c r="P68" s="12">
        <v>66.0137432278711</v>
      </c>
      <c r="Q68" s="12">
        <v>958.396769708408</v>
      </c>
      <c r="R68" s="12">
        <v>10686.1307692308</v>
      </c>
      <c r="S68" s="12">
        <v>1362.31265214998</v>
      </c>
      <c r="T68" s="12">
        <v>401.131112447531</v>
      </c>
      <c r="U68" s="12">
        <v>400.5</v>
      </c>
      <c r="V68" s="12">
        <v>400.5</v>
      </c>
      <c r="W68" s="12">
        <v>259.548492777381</v>
      </c>
      <c r="X68" s="12">
        <v>0.0</v>
      </c>
      <c r="Y68" s="12">
        <v>713.051010484291</v>
      </c>
      <c r="Z68" s="12">
        <v>593.198812761327</v>
      </c>
      <c r="AA68" s="12">
        <v>1005.00834769565</v>
      </c>
      <c r="AB68" s="12">
        <v>296.700390963256</v>
      </c>
    </row>
    <row r="69">
      <c r="A69" s="8">
        <v>42217.0</v>
      </c>
      <c r="B69" s="9">
        <f>IFERROR(__xludf.DUMMYFUNCTION("""COMPUTED_VALUE"""),1011.0)</f>
        <v>1011</v>
      </c>
      <c r="C69" s="12" t="s">
        <v>24</v>
      </c>
      <c r="D69" s="12">
        <v>923.174669828067</v>
      </c>
      <c r="E69" s="12">
        <v>3.5</v>
      </c>
      <c r="F69" s="12">
        <v>1055.1086264133</v>
      </c>
      <c r="G69" s="12">
        <v>968.155730383345</v>
      </c>
      <c r="H69" s="12">
        <v>565.0</v>
      </c>
      <c r="I69" s="12">
        <v>122.648677810321</v>
      </c>
      <c r="J69" s="12">
        <v>977.102080165066</v>
      </c>
      <c r="K69" s="12">
        <v>1051.47702376147</v>
      </c>
      <c r="L69" s="12">
        <v>209.714822905666</v>
      </c>
      <c r="M69" s="12">
        <v>847.618593849412</v>
      </c>
      <c r="N69" s="12">
        <v>780.618677084245</v>
      </c>
      <c r="O69" s="12">
        <v>670.882508818669</v>
      </c>
      <c r="P69" s="12">
        <v>0.0961583999677661</v>
      </c>
      <c r="Q69" s="12">
        <v>986.191578845421</v>
      </c>
      <c r="R69" s="12">
        <v>6240.19230769231</v>
      </c>
      <c r="S69" s="12">
        <v>1362.38550929284</v>
      </c>
      <c r="T69" s="12">
        <v>505.794789939032</v>
      </c>
      <c r="U69" s="12">
        <v>583.5</v>
      </c>
      <c r="V69" s="12">
        <v>583.5</v>
      </c>
      <c r="W69" s="12">
        <v>106.541723764033</v>
      </c>
      <c r="X69" s="12">
        <v>0.0</v>
      </c>
      <c r="Y69" s="12">
        <v>666.051010484291</v>
      </c>
      <c r="Z69" s="12">
        <v>493.822793459011</v>
      </c>
      <c r="AA69" s="12">
        <v>1213.00327359522</v>
      </c>
      <c r="AB69" s="12">
        <v>104.95295109895</v>
      </c>
    </row>
    <row r="70">
      <c r="A70" s="8">
        <v>42248.0</v>
      </c>
      <c r="B70" s="9">
        <f>IFERROR(__xludf.DUMMYFUNCTION("""COMPUTED_VALUE"""),666.0)</f>
        <v>666</v>
      </c>
      <c r="C70" s="12" t="s">
        <v>25</v>
      </c>
      <c r="D70" s="12">
        <v>423.81530783471</v>
      </c>
      <c r="E70" s="12">
        <v>-465.765179073556</v>
      </c>
      <c r="F70" s="12">
        <v>1448.83961458607</v>
      </c>
      <c r="G70" s="12">
        <v>380.020634231307</v>
      </c>
      <c r="H70" s="12">
        <v>565.0</v>
      </c>
      <c r="I70" s="12">
        <v>3546.95242701501</v>
      </c>
      <c r="J70" s="12">
        <v>-2028.03032933008</v>
      </c>
      <c r="K70" s="12">
        <v>1358.61089560031</v>
      </c>
      <c r="L70" s="12">
        <v>438.397395556363</v>
      </c>
      <c r="M70" s="12">
        <v>5677.61852716879</v>
      </c>
      <c r="N70" s="12">
        <v>710.278933494501</v>
      </c>
      <c r="O70" s="12">
        <v>137.596336314149</v>
      </c>
      <c r="P70" s="12">
        <v>297.635599906124</v>
      </c>
      <c r="Q70" s="12">
        <v>-220.480504771153</v>
      </c>
      <c r="R70" s="12">
        <v>7476.65384615385</v>
      </c>
      <c r="S70" s="12">
        <v>1635.32583333333</v>
      </c>
      <c r="T70" s="12">
        <v>1366.14478993903</v>
      </c>
      <c r="U70" s="12">
        <v>960.301420717258</v>
      </c>
      <c r="V70" s="12">
        <v>1427.4745392627</v>
      </c>
      <c r="W70" s="12">
        <v>5973.20462768226</v>
      </c>
      <c r="X70" s="12">
        <v>0.0</v>
      </c>
      <c r="Y70" s="12">
        <v>5606.08349610773</v>
      </c>
      <c r="Z70" s="12">
        <v>4421.01198573611</v>
      </c>
      <c r="AA70" s="12">
        <v>4716.5286365192</v>
      </c>
      <c r="AB70" s="12">
        <v>5955.19361449556</v>
      </c>
    </row>
    <row r="71">
      <c r="A71" s="8">
        <v>42278.0</v>
      </c>
      <c r="B71" s="9">
        <f>IFERROR(__xludf.DUMMYFUNCTION("""COMPUTED_VALUE"""),5938.0)</f>
        <v>5938</v>
      </c>
      <c r="C71" s="12" t="s">
        <v>3</v>
      </c>
      <c r="D71" s="12">
        <v>3000.0</v>
      </c>
      <c r="E71" s="12">
        <v>5735.87893508581</v>
      </c>
      <c r="F71" s="12">
        <v>1023.79280113775</v>
      </c>
      <c r="G71" s="12">
        <v>5483.90768854046</v>
      </c>
      <c r="H71" s="12">
        <v>565.0</v>
      </c>
      <c r="I71" s="12">
        <v>105.5</v>
      </c>
      <c r="J71" s="12">
        <v>577.251498514556</v>
      </c>
      <c r="K71" s="12">
        <v>729.0</v>
      </c>
      <c r="L71" s="12">
        <v>1158.67691245141</v>
      </c>
      <c r="M71" s="12">
        <v>1284.50962865386</v>
      </c>
      <c r="N71" s="12">
        <v>4664.38879475971</v>
      </c>
      <c r="O71" s="12">
        <v>5839.44489363914</v>
      </c>
      <c r="P71" s="12">
        <v>3576.77005990464</v>
      </c>
      <c r="Q71" s="12">
        <v>503.705431625206</v>
      </c>
      <c r="R71" s="12">
        <v>663.0</v>
      </c>
      <c r="S71" s="12">
        <v>1362.45465214998</v>
      </c>
      <c r="T71" s="12">
        <v>914.774789939032</v>
      </c>
      <c r="U71" s="12">
        <v>657.0</v>
      </c>
      <c r="V71" s="12">
        <v>657.0</v>
      </c>
      <c r="W71" s="12">
        <v>384.501565135295</v>
      </c>
      <c r="X71" s="12">
        <v>0.0</v>
      </c>
      <c r="Y71" s="12">
        <v>731.051010484291</v>
      </c>
      <c r="Z71" s="12">
        <v>664.007078455532</v>
      </c>
      <c r="AA71" s="12">
        <v>904.59210101948</v>
      </c>
      <c r="AB71" s="12">
        <v>392.588747634374</v>
      </c>
    </row>
    <row r="72">
      <c r="A72" s="8">
        <v>42309.0</v>
      </c>
      <c r="B72" s="9">
        <f>IFERROR(__xludf.DUMMYFUNCTION("""COMPUTED_VALUE"""),446.0)</f>
        <v>446</v>
      </c>
      <c r="C72" s="12" t="s">
        <v>4</v>
      </c>
      <c r="D72" s="12">
        <v>-40.3</v>
      </c>
      <c r="E72" s="12">
        <v>126.0</v>
      </c>
      <c r="F72" s="12">
        <v>921.721834804171</v>
      </c>
      <c r="G72" s="12">
        <v>90.6481465643711</v>
      </c>
      <c r="H72" s="12">
        <v>565.0</v>
      </c>
      <c r="I72" s="12">
        <v>331.0</v>
      </c>
      <c r="J72" s="12">
        <v>800.644144788474</v>
      </c>
      <c r="K72" s="12">
        <v>729.0</v>
      </c>
      <c r="L72" s="12">
        <v>770.669613482606</v>
      </c>
      <c r="M72" s="12">
        <v>475.501488150119</v>
      </c>
      <c r="N72" s="12">
        <v>720.817395032963</v>
      </c>
      <c r="O72" s="12">
        <v>352.283364601866</v>
      </c>
      <c r="P72" s="12">
        <v>350.626580732464</v>
      </c>
      <c r="Q72" s="12">
        <v>1315.0329200097</v>
      </c>
      <c r="R72" s="12">
        <v>660.0</v>
      </c>
      <c r="S72" s="12">
        <v>1362.16015214998</v>
      </c>
      <c r="T72" s="12">
        <v>899.494789939032</v>
      </c>
      <c r="U72" s="12">
        <v>657.0</v>
      </c>
      <c r="V72" s="12">
        <v>657.0</v>
      </c>
      <c r="W72" s="12">
        <v>326.430202291195</v>
      </c>
      <c r="X72" s="12">
        <v>0.0</v>
      </c>
      <c r="Y72" s="12">
        <v>728.051010484291</v>
      </c>
      <c r="Z72" s="12">
        <v>652.205700839831</v>
      </c>
      <c r="AA72" s="12">
        <v>904.418625969478</v>
      </c>
      <c r="AB72" s="12">
        <v>394.020114053772</v>
      </c>
    </row>
    <row r="73">
      <c r="A73" s="8">
        <v>42339.0</v>
      </c>
      <c r="B73" s="9">
        <f>IFERROR(__xludf.DUMMYFUNCTION("""COMPUTED_VALUE"""),476.0)</f>
        <v>476</v>
      </c>
      <c r="C73" s="12" t="s">
        <v>5</v>
      </c>
      <c r="D73" s="12">
        <v>-76.7</v>
      </c>
      <c r="E73" s="12">
        <v>126.0</v>
      </c>
      <c r="F73" s="12">
        <v>1029.42440042397</v>
      </c>
      <c r="G73" s="12">
        <v>-283.133505279095</v>
      </c>
      <c r="H73" s="12">
        <v>566.0</v>
      </c>
      <c r="I73" s="12">
        <v>116.0</v>
      </c>
      <c r="J73" s="12">
        <v>372.909774477932</v>
      </c>
      <c r="K73" s="12">
        <v>729.0</v>
      </c>
      <c r="L73" s="12">
        <v>26.8498398515288</v>
      </c>
      <c r="M73" s="12">
        <v>136.293422952578</v>
      </c>
      <c r="N73" s="12">
        <v>908.61377512346</v>
      </c>
      <c r="O73" s="12">
        <v>494.75047038127</v>
      </c>
      <c r="P73" s="12">
        <v>88.9381061101865</v>
      </c>
      <c r="Q73" s="12">
        <v>227.363756259561</v>
      </c>
      <c r="R73" s="12">
        <v>663.0</v>
      </c>
      <c r="S73" s="12">
        <v>475.0</v>
      </c>
      <c r="T73" s="12">
        <v>1142.75478993903</v>
      </c>
      <c r="U73" s="12">
        <v>657.0</v>
      </c>
      <c r="V73" s="12">
        <v>657.0</v>
      </c>
      <c r="W73" s="12">
        <v>-80.3257864725476</v>
      </c>
      <c r="X73" s="12">
        <v>0.0</v>
      </c>
      <c r="Y73" s="12">
        <v>679.051010484291</v>
      </c>
      <c r="Z73" s="12">
        <v>459.449866450051</v>
      </c>
      <c r="AA73" s="12">
        <v>1155.41151991619</v>
      </c>
      <c r="AB73" s="12">
        <v>-232.931973619824</v>
      </c>
    </row>
    <row r="74">
      <c r="A74" s="8">
        <v>42370.0</v>
      </c>
      <c r="B74" s="9">
        <f>IFERROR(__xludf.DUMMYFUNCTION("""COMPUTED_VALUE"""),1429.0)</f>
        <v>1429</v>
      </c>
      <c r="C74" s="12" t="s">
        <v>6</v>
      </c>
      <c r="D74" s="12">
        <v>8.0</v>
      </c>
      <c r="E74" s="12">
        <v>883.441843538838</v>
      </c>
      <c r="F74" s="12">
        <v>903.842840843547</v>
      </c>
      <c r="G74" s="12">
        <v>791.687956698575</v>
      </c>
      <c r="H74" s="12">
        <v>2289.57920103801</v>
      </c>
      <c r="I74" s="12">
        <v>141.0</v>
      </c>
      <c r="J74" s="12">
        <v>928.2328616496</v>
      </c>
      <c r="K74" s="12">
        <v>707.0</v>
      </c>
      <c r="L74" s="12">
        <v>1514.32222669048</v>
      </c>
      <c r="M74" s="12">
        <v>-214.027585050933</v>
      </c>
      <c r="N74" s="12">
        <v>941.025539829343</v>
      </c>
      <c r="O74" s="12">
        <v>98.7661241021652</v>
      </c>
      <c r="P74" s="12">
        <v>3131.22040191036</v>
      </c>
      <c r="Q74" s="12">
        <v>850.462025754726</v>
      </c>
      <c r="R74" s="12">
        <v>650.0</v>
      </c>
      <c r="S74" s="12">
        <v>475.0</v>
      </c>
      <c r="T74" s="12">
        <v>1142.75478993903</v>
      </c>
      <c r="U74" s="12">
        <v>646.0</v>
      </c>
      <c r="V74" s="12">
        <v>646.0</v>
      </c>
      <c r="W74" s="12">
        <v>-260.485768282244</v>
      </c>
      <c r="X74" s="12">
        <v>0.0</v>
      </c>
      <c r="Y74" s="12">
        <v>651.051010484291</v>
      </c>
      <c r="Z74" s="12">
        <v>377.455595079106</v>
      </c>
      <c r="AA74" s="12">
        <v>1342.6016966713</v>
      </c>
      <c r="AB74" s="12">
        <v>-403.495874319669</v>
      </c>
    </row>
    <row r="75">
      <c r="A75" s="8">
        <v>42401.0</v>
      </c>
      <c r="B75" s="9">
        <f>IFERROR(__xludf.DUMMYFUNCTION("""COMPUTED_VALUE"""),1552.0)</f>
        <v>1552</v>
      </c>
      <c r="C75" s="12" t="s">
        <v>7</v>
      </c>
      <c r="D75" s="12">
        <v>0.0</v>
      </c>
      <c r="E75" s="12">
        <v>860.0</v>
      </c>
      <c r="F75" s="12">
        <v>796.209000984169</v>
      </c>
      <c r="G75" s="12">
        <v>114.986326196022</v>
      </c>
      <c r="H75" s="12">
        <v>571.0</v>
      </c>
      <c r="I75" s="12">
        <v>198.0</v>
      </c>
      <c r="J75" s="12">
        <v>551.355790681201</v>
      </c>
      <c r="K75" s="12">
        <v>699.0</v>
      </c>
      <c r="L75" s="12">
        <v>1514.80501019993</v>
      </c>
      <c r="M75" s="12">
        <v>1516.88806994617</v>
      </c>
      <c r="N75" s="12">
        <v>968.378481005813</v>
      </c>
      <c r="O75" s="12">
        <v>267.199579658921</v>
      </c>
      <c r="P75" s="12">
        <v>80.5422758130009</v>
      </c>
      <c r="Q75" s="12">
        <v>-108.391355989632</v>
      </c>
      <c r="R75" s="12">
        <v>709.0</v>
      </c>
      <c r="S75" s="12">
        <v>568.040383544482</v>
      </c>
      <c r="T75" s="12">
        <v>1116.62978993903</v>
      </c>
      <c r="U75" s="12">
        <v>703.0</v>
      </c>
      <c r="V75" s="12">
        <v>703.0</v>
      </c>
      <c r="W75" s="12">
        <v>143.018095165716</v>
      </c>
      <c r="X75" s="12">
        <v>0.0</v>
      </c>
      <c r="Y75" s="12">
        <v>794.051010484291</v>
      </c>
      <c r="Z75" s="12">
        <v>911.836008385251</v>
      </c>
      <c r="AA75" s="12">
        <v>888.733723682457</v>
      </c>
      <c r="AB75" s="12">
        <v>-38.0872662566181</v>
      </c>
    </row>
    <row r="76">
      <c r="A76" s="8">
        <v>42430.0</v>
      </c>
      <c r="B76" s="9">
        <f>IFERROR(__xludf.DUMMYFUNCTION("""COMPUTED_VALUE"""),1378.0)</f>
        <v>1378</v>
      </c>
      <c r="C76" s="12" t="s">
        <v>8</v>
      </c>
      <c r="D76" s="12">
        <v>35.6397670986202</v>
      </c>
      <c r="E76" s="12">
        <v>1548.0</v>
      </c>
      <c r="F76" s="12">
        <v>1359.35008566748</v>
      </c>
      <c r="G76" s="12">
        <v>0.0</v>
      </c>
      <c r="H76" s="12">
        <v>836.0</v>
      </c>
      <c r="I76" s="12">
        <v>1367.93563685987</v>
      </c>
      <c r="J76" s="12">
        <v>1362.6480268394</v>
      </c>
      <c r="K76" s="12">
        <v>699.0</v>
      </c>
      <c r="L76" s="12">
        <v>1202.15420713149</v>
      </c>
      <c r="M76" s="12">
        <v>1077.61158579197</v>
      </c>
      <c r="N76" s="12">
        <v>829.202010417578</v>
      </c>
      <c r="O76" s="12">
        <v>520.861527669687</v>
      </c>
      <c r="P76" s="12">
        <v>11.0221565963052</v>
      </c>
      <c r="Q76" s="12">
        <v>1377.10124527796</v>
      </c>
      <c r="R76" s="12">
        <v>978.0</v>
      </c>
      <c r="S76" s="12">
        <v>424.763141420353</v>
      </c>
      <c r="T76" s="12">
        <v>531.139789939032</v>
      </c>
      <c r="U76" s="12">
        <v>743.68136498068</v>
      </c>
      <c r="V76" s="12">
        <v>703.0</v>
      </c>
      <c r="W76" s="12">
        <v>445.415547947032</v>
      </c>
      <c r="X76" s="12">
        <v>0.0</v>
      </c>
      <c r="Y76" s="12">
        <v>763.051010484291</v>
      </c>
      <c r="Z76" s="12">
        <v>789.888439689675</v>
      </c>
      <c r="AA76" s="12">
        <v>499.67658650952</v>
      </c>
      <c r="AB76" s="12">
        <v>392.620949275111</v>
      </c>
    </row>
    <row r="77">
      <c r="A77" s="8">
        <v>42461.0</v>
      </c>
      <c r="B77" s="9">
        <f>IFERROR(__xludf.DUMMYFUNCTION("""COMPUTED_VALUE"""),964.0)</f>
        <v>964</v>
      </c>
      <c r="C77" s="12" t="s">
        <v>9</v>
      </c>
      <c r="D77" s="12">
        <v>219.0</v>
      </c>
      <c r="E77" s="12">
        <v>265.5</v>
      </c>
      <c r="F77" s="12">
        <v>1610.6313112326</v>
      </c>
      <c r="G77" s="12">
        <v>714.934041833751</v>
      </c>
      <c r="H77" s="12">
        <v>784.172090918466</v>
      </c>
      <c r="I77" s="12">
        <v>489.0</v>
      </c>
      <c r="J77" s="12">
        <v>2532.55185768487</v>
      </c>
      <c r="K77" s="12">
        <v>976.13828182237</v>
      </c>
      <c r="L77" s="12">
        <v>1215.56912071227</v>
      </c>
      <c r="M77" s="12">
        <v>690.245124180497</v>
      </c>
      <c r="N77" s="12">
        <v>599.496128064637</v>
      </c>
      <c r="O77" s="12">
        <v>388.943140443064</v>
      </c>
      <c r="P77" s="12">
        <v>722.495153007807</v>
      </c>
      <c r="Q77" s="12">
        <v>2982.1560510051</v>
      </c>
      <c r="R77" s="12">
        <v>651.0</v>
      </c>
      <c r="S77" s="12">
        <v>1361.58265214998</v>
      </c>
      <c r="T77" s="12">
        <v>1685.37536379516</v>
      </c>
      <c r="U77" s="12">
        <v>642.0</v>
      </c>
      <c r="V77" s="12">
        <v>642.0</v>
      </c>
      <c r="W77" s="12">
        <v>145.324245224285</v>
      </c>
      <c r="X77" s="12">
        <v>0.0</v>
      </c>
      <c r="Y77" s="12">
        <v>717.051010484291</v>
      </c>
      <c r="Z77" s="12">
        <v>608.933982915595</v>
      </c>
      <c r="AA77" s="12">
        <v>981.107741725085</v>
      </c>
      <c r="AB77" s="12">
        <v>312.677832925578</v>
      </c>
    </row>
    <row r="78">
      <c r="A78" s="8">
        <v>42491.0</v>
      </c>
      <c r="B78" s="9">
        <f>IFERROR(__xludf.DUMMYFUNCTION("""COMPUTED_VALUE"""),520.0)</f>
        <v>520</v>
      </c>
      <c r="C78" s="12" t="s">
        <v>10</v>
      </c>
      <c r="D78" s="12">
        <v>-8.3</v>
      </c>
      <c r="E78" s="12">
        <v>124.5</v>
      </c>
      <c r="F78" s="12">
        <v>803.81639484393</v>
      </c>
      <c r="G78" s="12">
        <v>-241.083090411147</v>
      </c>
      <c r="H78" s="12">
        <v>565.0</v>
      </c>
      <c r="I78" s="12">
        <v>415.365602730361</v>
      </c>
      <c r="J78" s="12">
        <v>539.065993932175</v>
      </c>
      <c r="K78" s="12">
        <v>730.219689889972</v>
      </c>
      <c r="L78" s="12">
        <v>348.310568652346</v>
      </c>
      <c r="M78" s="12">
        <v>494.11066102818</v>
      </c>
      <c r="N78" s="12">
        <v>591.378481005813</v>
      </c>
      <c r="O78" s="12">
        <v>1071.0</v>
      </c>
      <c r="P78" s="12">
        <v>3.65401919877511</v>
      </c>
      <c r="Q78" s="12">
        <v>1222.96480914494</v>
      </c>
      <c r="R78" s="12">
        <v>708.0</v>
      </c>
      <c r="S78" s="12">
        <v>1361.64408072141</v>
      </c>
      <c r="T78" s="12">
        <v>684.664789939032</v>
      </c>
      <c r="U78" s="12">
        <v>823.363767124838</v>
      </c>
      <c r="V78" s="12">
        <v>672.0</v>
      </c>
      <c r="W78" s="12">
        <v>343.678250527865</v>
      </c>
      <c r="X78" s="12">
        <v>0.0</v>
      </c>
      <c r="Y78" s="12">
        <v>834.051010484291</v>
      </c>
      <c r="Z78" s="12">
        <v>1069.18770992793</v>
      </c>
      <c r="AA78" s="12">
        <v>412.241212059605</v>
      </c>
      <c r="AB78" s="12">
        <v>846.05714548094</v>
      </c>
    </row>
    <row r="79">
      <c r="A79" s="8">
        <v>42522.0</v>
      </c>
      <c r="B79" s="9">
        <f>IFERROR(__xludf.DUMMYFUNCTION("""COMPUTED_VALUE"""),1038.0)</f>
        <v>1038</v>
      </c>
      <c r="C79" s="12" t="s">
        <v>11</v>
      </c>
      <c r="D79" s="12">
        <v>-16.0</v>
      </c>
      <c r="E79" s="12">
        <v>212.930230442355</v>
      </c>
      <c r="F79" s="12">
        <v>1236.78298662856</v>
      </c>
      <c r="G79" s="12">
        <v>381.723023401791</v>
      </c>
      <c r="H79" s="12">
        <v>565.0</v>
      </c>
      <c r="I79" s="12">
        <v>601.584278498229</v>
      </c>
      <c r="J79" s="12">
        <v>937.766845854666</v>
      </c>
      <c r="K79" s="12">
        <v>1216.161777419</v>
      </c>
      <c r="L79" s="12">
        <v>409.441052281404</v>
      </c>
      <c r="M79" s="12">
        <v>576.23613056773</v>
      </c>
      <c r="N79" s="12">
        <v>689.025539829343</v>
      </c>
      <c r="O79" s="12">
        <v>933.202005329338</v>
      </c>
      <c r="P79" s="12">
        <v>291.311872702347</v>
      </c>
      <c r="Q79" s="12">
        <v>1192.21389027535</v>
      </c>
      <c r="R79" s="12">
        <v>707.0</v>
      </c>
      <c r="S79" s="12">
        <v>1064.1542730291</v>
      </c>
      <c r="T79" s="12">
        <v>829.142289939032</v>
      </c>
      <c r="U79" s="12">
        <v>703.0</v>
      </c>
      <c r="V79" s="12">
        <v>703.0</v>
      </c>
      <c r="W79" s="12">
        <v>163.187829747682</v>
      </c>
      <c r="X79" s="12">
        <v>0.0</v>
      </c>
      <c r="Y79" s="12">
        <v>763.051010484291</v>
      </c>
      <c r="Z79" s="12">
        <v>789.888439689675</v>
      </c>
      <c r="AA79" s="12">
        <v>771.410892278018</v>
      </c>
      <c r="AB79" s="12">
        <v>524.895694666826</v>
      </c>
    </row>
    <row r="80">
      <c r="A80" s="8">
        <v>42552.0</v>
      </c>
      <c r="B80" s="9">
        <f>IFERROR(__xludf.DUMMYFUNCTION("""COMPUTED_VALUE"""),905.0)</f>
        <v>905</v>
      </c>
      <c r="C80" s="12" t="s">
        <v>12</v>
      </c>
      <c r="D80" s="12">
        <v>51216.5</v>
      </c>
      <c r="E80" s="12">
        <v>78.0</v>
      </c>
      <c r="F80" s="12">
        <v>783.527781152895</v>
      </c>
      <c r="G80" s="12">
        <v>304.367403715547</v>
      </c>
      <c r="H80" s="12">
        <v>1087.52149947569</v>
      </c>
      <c r="I80" s="12">
        <v>1002.97484387306</v>
      </c>
      <c r="J80" s="12">
        <v>800.188041978636</v>
      </c>
      <c r="K80" s="12">
        <v>699.0</v>
      </c>
      <c r="L80" s="12">
        <v>1214.15710604657</v>
      </c>
      <c r="M80" s="12">
        <v>1296.60208646676</v>
      </c>
      <c r="N80" s="12">
        <v>701.731422182284</v>
      </c>
      <c r="O80" s="12">
        <v>429.07440245888</v>
      </c>
      <c r="P80" s="12">
        <v>19.9648877933074</v>
      </c>
      <c r="Q80" s="12">
        <v>680.142771742993</v>
      </c>
      <c r="R80" s="12">
        <v>736.0</v>
      </c>
      <c r="S80" s="12">
        <v>1033.18208896317</v>
      </c>
      <c r="T80" s="12">
        <v>829.142289939032</v>
      </c>
      <c r="U80" s="12">
        <v>946.935658388733</v>
      </c>
      <c r="V80" s="12">
        <v>703.0</v>
      </c>
      <c r="W80" s="12">
        <v>-265.819230753896</v>
      </c>
      <c r="X80" s="12">
        <v>0.0</v>
      </c>
      <c r="Y80" s="12">
        <v>859.051010484291</v>
      </c>
      <c r="Z80" s="12">
        <v>1167.5325233921</v>
      </c>
      <c r="AA80" s="12">
        <v>1202.09072101709</v>
      </c>
      <c r="AB80" s="12">
        <v>-39.8485733767443</v>
      </c>
    </row>
    <row r="81">
      <c r="A81" s="8">
        <v>42583.0</v>
      </c>
      <c r="B81" s="9">
        <f>IFERROR(__xludf.DUMMYFUNCTION("""COMPUTED_VALUE"""),1669.0)</f>
        <v>1669</v>
      </c>
      <c r="C81" s="12" t="s">
        <v>13</v>
      </c>
      <c r="D81" s="12">
        <v>-0.5</v>
      </c>
      <c r="E81" s="12">
        <v>0.0</v>
      </c>
      <c r="F81" s="12">
        <v>730.679391917382</v>
      </c>
      <c r="G81" s="12">
        <v>698.163608776764</v>
      </c>
      <c r="H81" s="12">
        <v>867.061043591801</v>
      </c>
      <c r="I81" s="12">
        <v>665.36009399668</v>
      </c>
      <c r="J81" s="12">
        <v>1831.18239137332</v>
      </c>
      <c r="K81" s="12">
        <v>1393.8230354799</v>
      </c>
      <c r="L81" s="12">
        <v>1442.3415097569</v>
      </c>
      <c r="M81" s="12">
        <v>1019.80278557804</v>
      </c>
      <c r="N81" s="12">
        <v>838.971241186809</v>
      </c>
      <c r="O81" s="12">
        <v>1121.35070649668</v>
      </c>
      <c r="P81" s="12">
        <v>651.48998750161</v>
      </c>
      <c r="Q81" s="12">
        <v>2061.76869700197</v>
      </c>
      <c r="R81" s="12">
        <v>1525.0</v>
      </c>
      <c r="S81" s="12">
        <v>1070.96658072141</v>
      </c>
      <c r="T81" s="12">
        <v>645.222289939032</v>
      </c>
      <c r="U81" s="12">
        <v>740.865518295825</v>
      </c>
      <c r="V81" s="12">
        <v>703.0</v>
      </c>
      <c r="W81" s="12">
        <v>529.829410637551</v>
      </c>
      <c r="X81" s="12">
        <v>0.0</v>
      </c>
      <c r="Y81" s="12">
        <v>814.051010484291</v>
      </c>
      <c r="Z81" s="12">
        <v>536.10489482131</v>
      </c>
      <c r="AA81" s="12">
        <v>506.000805458881</v>
      </c>
      <c r="AB81" s="12">
        <v>772.534368536494</v>
      </c>
    </row>
    <row r="82">
      <c r="A82" s="8">
        <v>42614.0</v>
      </c>
      <c r="B82" s="9">
        <f>IFERROR(__xludf.DUMMYFUNCTION("""COMPUTED_VALUE"""),1248.0)</f>
        <v>1248</v>
      </c>
      <c r="C82" s="12" t="s">
        <v>14</v>
      </c>
      <c r="D82" s="12">
        <v>26.5</v>
      </c>
      <c r="E82" s="12">
        <v>278.930230442355</v>
      </c>
      <c r="F82" s="12">
        <v>679.248841034781</v>
      </c>
      <c r="G82" s="12">
        <v>331.233744393907</v>
      </c>
      <c r="H82" s="12">
        <v>565.0</v>
      </c>
      <c r="I82" s="12">
        <v>205.942771242995</v>
      </c>
      <c r="J82" s="12">
        <v>586.889268033596</v>
      </c>
      <c r="K82" s="12">
        <v>1053.71232514376</v>
      </c>
      <c r="L82" s="12">
        <v>155.902290435642</v>
      </c>
      <c r="M82" s="12">
        <v>559.59261048326</v>
      </c>
      <c r="N82" s="12">
        <v>872.202010417578</v>
      </c>
      <c r="O82" s="12">
        <v>826.796972423814</v>
      </c>
      <c r="P82" s="12">
        <v>3.49375519882883</v>
      </c>
      <c r="Q82" s="12">
        <v>476.91475507807</v>
      </c>
      <c r="R82" s="12">
        <v>718.0</v>
      </c>
      <c r="S82" s="12">
        <v>1098.04971258954</v>
      </c>
      <c r="T82" s="12">
        <v>1037.14205964729</v>
      </c>
      <c r="U82" s="12">
        <v>703.0</v>
      </c>
      <c r="V82" s="12">
        <v>703.0</v>
      </c>
      <c r="W82" s="12">
        <v>357.957728490863</v>
      </c>
      <c r="X82" s="12">
        <v>0.0</v>
      </c>
      <c r="Y82" s="12">
        <v>730.051010484291</v>
      </c>
      <c r="Z82" s="12">
        <v>660.073285916965</v>
      </c>
      <c r="AA82" s="12">
        <v>926.526758204597</v>
      </c>
      <c r="AB82" s="12">
        <v>379.082613093926</v>
      </c>
    </row>
    <row r="83">
      <c r="A83" s="8">
        <v>42644.0</v>
      </c>
      <c r="B83" s="9">
        <f>IFERROR(__xludf.DUMMYFUNCTION("""COMPUTED_VALUE"""),822.0)</f>
        <v>822</v>
      </c>
      <c r="C83" s="12" t="s">
        <v>15</v>
      </c>
      <c r="D83" s="12">
        <v>88.0</v>
      </c>
      <c r="E83" s="12">
        <v>0.0</v>
      </c>
      <c r="F83" s="12">
        <v>664.959610154438</v>
      </c>
      <c r="G83" s="12">
        <v>279.073548435317</v>
      </c>
      <c r="H83" s="12">
        <v>565.0</v>
      </c>
      <c r="I83" s="12">
        <v>428.024583127307</v>
      </c>
      <c r="J83" s="12">
        <v>306.925558043801</v>
      </c>
      <c r="K83" s="12">
        <v>1023.30402903317</v>
      </c>
      <c r="L83" s="12">
        <v>295.180378150682</v>
      </c>
      <c r="M83" s="12">
        <v>424.215100044827</v>
      </c>
      <c r="N83" s="12">
        <v>861.663548879117</v>
      </c>
      <c r="O83" s="12">
        <v>395.641224984489</v>
      </c>
      <c r="P83" s="12">
        <v>0.385635249870729</v>
      </c>
      <c r="Q83" s="12">
        <v>539.744714123182</v>
      </c>
      <c r="R83" s="12">
        <v>777.0</v>
      </c>
      <c r="S83" s="12">
        <v>1131.95121136854</v>
      </c>
      <c r="T83" s="12">
        <v>707.294789939032</v>
      </c>
      <c r="U83" s="12">
        <v>866.987351368298</v>
      </c>
      <c r="V83" s="12">
        <v>703.0</v>
      </c>
      <c r="W83" s="12">
        <v>866.317732890872</v>
      </c>
      <c r="X83" s="12">
        <v>0.0</v>
      </c>
      <c r="Y83" s="12">
        <v>726.051010484291</v>
      </c>
      <c r="Z83" s="12">
        <v>435.707673603906</v>
      </c>
      <c r="AA83" s="12">
        <v>411.126276004007</v>
      </c>
      <c r="AB83" s="12">
        <v>887.790984836379</v>
      </c>
    </row>
    <row r="84">
      <c r="A84" s="8">
        <v>42675.0</v>
      </c>
      <c r="B84" s="9">
        <f>IFERROR(__xludf.DUMMYFUNCTION("""COMPUTED_VALUE"""),780.0)</f>
        <v>780</v>
      </c>
      <c r="C84" s="12" t="s">
        <v>16</v>
      </c>
      <c r="D84" s="12">
        <v>121.0</v>
      </c>
      <c r="E84" s="12">
        <v>348672.0</v>
      </c>
      <c r="F84" s="12">
        <v>786.246704580668</v>
      </c>
      <c r="G84" s="12">
        <v>2917.17838311134</v>
      </c>
      <c r="H84" s="12">
        <v>565.0</v>
      </c>
      <c r="I84" s="12">
        <v>540.92567761845</v>
      </c>
      <c r="J84" s="12">
        <v>1074.40596997198</v>
      </c>
      <c r="K84" s="12">
        <v>699.0</v>
      </c>
      <c r="L84" s="12">
        <v>1518.8534389062</v>
      </c>
      <c r="M84" s="12">
        <v>304.783433836268</v>
      </c>
      <c r="N84" s="12">
        <v>784.740471956039</v>
      </c>
      <c r="O84" s="12">
        <v>490.952358144365</v>
      </c>
      <c r="P84" s="12">
        <v>437.634907953297</v>
      </c>
      <c r="Q84" s="12">
        <v>341.820605437991</v>
      </c>
      <c r="R84" s="12">
        <v>720.0</v>
      </c>
      <c r="S84" s="12">
        <v>1149.59169610602</v>
      </c>
      <c r="T84" s="12">
        <v>1040.17035644238</v>
      </c>
      <c r="U84" s="12">
        <v>672.0</v>
      </c>
      <c r="V84" s="12">
        <v>672.0</v>
      </c>
      <c r="W84" s="12">
        <v>236.297326467019</v>
      </c>
      <c r="X84" s="12">
        <v>0.0</v>
      </c>
      <c r="Y84" s="12">
        <v>709.051010484291</v>
      </c>
      <c r="Z84" s="12">
        <v>577.463642607059</v>
      </c>
      <c r="AA84" s="12">
        <v>1044.94805816062</v>
      </c>
      <c r="AB84" s="12">
        <v>269.168593183798</v>
      </c>
    </row>
    <row r="85">
      <c r="A85" s="8">
        <v>42705.0</v>
      </c>
      <c r="B85" s="9">
        <f>IFERROR(__xludf.DUMMYFUNCTION("""COMPUTED_VALUE"""),2709.0)</f>
        <v>2709</v>
      </c>
      <c r="C85" s="12" t="s">
        <v>17</v>
      </c>
      <c r="D85" s="12">
        <v>17630.5</v>
      </c>
      <c r="E85" s="12">
        <v>0.0</v>
      </c>
      <c r="F85" s="12">
        <v>875.494918165739</v>
      </c>
      <c r="G85" s="12">
        <v>8281.00767359212</v>
      </c>
      <c r="H85" s="12">
        <v>2060.71280066262</v>
      </c>
      <c r="I85" s="12">
        <v>1605.4054209476</v>
      </c>
      <c r="J85" s="12">
        <v>2798.92608285459</v>
      </c>
      <c r="K85" s="12">
        <v>3259.98674978192</v>
      </c>
      <c r="L85" s="12">
        <v>5617.62309765229</v>
      </c>
      <c r="M85" s="12">
        <v>2284.85943428295</v>
      </c>
      <c r="N85" s="12">
        <v>1983.41322495461</v>
      </c>
      <c r="O85" s="12">
        <v>575.675868832264</v>
      </c>
      <c r="P85" s="12">
        <v>1208.71228957482</v>
      </c>
      <c r="Q85" s="12">
        <v>1648.66503851175</v>
      </c>
      <c r="R85" s="12">
        <v>634.5</v>
      </c>
      <c r="S85" s="12">
        <v>2669.34218922406</v>
      </c>
      <c r="T85" s="12">
        <v>670.114967851678</v>
      </c>
      <c r="U85" s="12">
        <v>2273.57040121806</v>
      </c>
      <c r="V85" s="12">
        <v>634.5</v>
      </c>
      <c r="W85" s="12">
        <v>2295.29235535765</v>
      </c>
      <c r="X85" s="12">
        <v>0.0</v>
      </c>
      <c r="Y85" s="12">
        <v>1115.05101048429</v>
      </c>
      <c r="Z85" s="12">
        <v>879.509026485383</v>
      </c>
      <c r="AA85" s="12">
        <v>1130.22189777723</v>
      </c>
      <c r="AB85" s="12">
        <v>2284.74572655081</v>
      </c>
    </row>
    <row r="86">
      <c r="A86" s="8">
        <v>42736.0</v>
      </c>
      <c r="B86" s="9">
        <f>IFERROR(__xludf.DUMMYFUNCTION("""COMPUTED_VALUE"""),10095.0)</f>
        <v>10095</v>
      </c>
      <c r="C86" s="12" t="s">
        <v>18</v>
      </c>
      <c r="D86" s="12">
        <v>6176.0</v>
      </c>
      <c r="E86" s="12">
        <v>4240.0</v>
      </c>
      <c r="F86" s="12">
        <v>10249.5170654142</v>
      </c>
      <c r="G86" s="12">
        <v>13730.2340069348</v>
      </c>
      <c r="H86" s="12">
        <v>9513.0</v>
      </c>
      <c r="I86" s="12">
        <v>1469.06280447048</v>
      </c>
      <c r="J86" s="12">
        <v>9896.63077964223</v>
      </c>
      <c r="K86" s="12">
        <v>9099.99788935012</v>
      </c>
      <c r="L86" s="12">
        <v>8841.82251657866</v>
      </c>
      <c r="M86" s="12">
        <v>5565.40627828805</v>
      </c>
      <c r="N86" s="12">
        <v>9722.40963109026</v>
      </c>
      <c r="O86" s="12">
        <v>9336.76750897364</v>
      </c>
      <c r="P86" s="12">
        <v>1423.32221256288</v>
      </c>
      <c r="Q86" s="12">
        <v>9307.52239456032</v>
      </c>
      <c r="R86" s="12">
        <v>10054.5</v>
      </c>
      <c r="S86" s="12">
        <v>10310.5684854833</v>
      </c>
      <c r="T86" s="12">
        <v>8811.22386653831</v>
      </c>
      <c r="U86" s="12">
        <v>10759.2992306709</v>
      </c>
      <c r="V86" s="12">
        <v>10874.3751757375</v>
      </c>
      <c r="W86" s="12">
        <v>10724.6062017767</v>
      </c>
      <c r="X86" s="12">
        <v>0.0</v>
      </c>
      <c r="Y86" s="12">
        <v>1046.05101048429</v>
      </c>
      <c r="Z86" s="12">
        <v>800.788478030828</v>
      </c>
      <c r="AA86" s="12">
        <v>9600.5275548501</v>
      </c>
      <c r="AB86" s="12">
        <v>10768.2808599588</v>
      </c>
    </row>
    <row r="87">
      <c r="A87" s="8">
        <v>42767.0</v>
      </c>
      <c r="B87" s="9">
        <f>IFERROR(__xludf.DUMMYFUNCTION("""COMPUTED_VALUE"""),26787.0)</f>
        <v>26787</v>
      </c>
      <c r="C87" s="12" t="s">
        <v>19</v>
      </c>
      <c r="D87" s="12">
        <v>23.0</v>
      </c>
      <c r="E87" s="12">
        <v>0.0</v>
      </c>
      <c r="F87" s="12">
        <v>27260.8707194075</v>
      </c>
      <c r="G87" s="12">
        <v>26417.0146530347</v>
      </c>
      <c r="H87" s="12">
        <v>26787.6012912338</v>
      </c>
      <c r="I87" s="12">
        <v>26645.1054960354</v>
      </c>
      <c r="J87" s="12">
        <v>26786.6400642869</v>
      </c>
      <c r="K87" s="12">
        <v>27135.0003992038</v>
      </c>
      <c r="L87" s="12">
        <v>3794.93577215917</v>
      </c>
      <c r="M87" s="12">
        <v>26603.8854080824</v>
      </c>
      <c r="N87" s="12">
        <v>26873.7250393953</v>
      </c>
      <c r="O87" s="12">
        <v>18501.8494039454</v>
      </c>
      <c r="P87" s="12">
        <v>414.460959821409</v>
      </c>
      <c r="Q87" s="12">
        <v>26786.9675556467</v>
      </c>
      <c r="R87" s="12">
        <v>741.5</v>
      </c>
      <c r="S87" s="12">
        <v>26331.2311847135</v>
      </c>
      <c r="T87" s="12">
        <v>27090.048476183</v>
      </c>
      <c r="U87" s="12">
        <v>26595.7812898295</v>
      </c>
      <c r="V87" s="12">
        <v>26960.9996912853</v>
      </c>
      <c r="W87" s="12">
        <v>26738.8399152961</v>
      </c>
      <c r="X87" s="12">
        <v>0.0</v>
      </c>
      <c r="Y87" s="12">
        <v>27626.9601558261</v>
      </c>
      <c r="Z87" s="12">
        <v>21937.9571270256</v>
      </c>
      <c r="AA87" s="12">
        <v>26546.1791080731</v>
      </c>
      <c r="AB87" s="12">
        <v>26544.7374774538</v>
      </c>
    </row>
    <row r="88">
      <c r="A88" s="8">
        <v>42795.0</v>
      </c>
      <c r="B88" s="9">
        <f>IFERROR(__xludf.DUMMYFUNCTION("""COMPUTED_VALUE"""),71880.0)</f>
        <v>71880</v>
      </c>
      <c r="C88" s="12" t="s">
        <v>20</v>
      </c>
      <c r="D88" s="12">
        <v>249.0</v>
      </c>
      <c r="E88" s="12">
        <v>24.0</v>
      </c>
      <c r="F88" s="12">
        <v>68351.6167674977</v>
      </c>
      <c r="G88" s="12">
        <v>220039.99084565</v>
      </c>
      <c r="H88" s="12">
        <v>71866.4919010489</v>
      </c>
      <c r="I88" s="12">
        <v>71730.6317174585</v>
      </c>
      <c r="J88" s="12">
        <v>71880.7331323887</v>
      </c>
      <c r="K88" s="12">
        <v>71639.5952629544</v>
      </c>
      <c r="L88" s="12">
        <v>11519.9394082043</v>
      </c>
      <c r="M88" s="12">
        <v>71868.2450846516</v>
      </c>
      <c r="N88" s="12">
        <v>71479.5491441171</v>
      </c>
      <c r="O88" s="12">
        <v>67433.6159178506</v>
      </c>
      <c r="P88" s="12">
        <v>61399.2699513302</v>
      </c>
      <c r="Q88" s="12">
        <v>71879.9414808807</v>
      </c>
      <c r="R88" s="12">
        <v>21913.8</v>
      </c>
      <c r="S88" s="12">
        <v>71871.4396776152</v>
      </c>
      <c r="T88" s="12">
        <v>71362.6155679585</v>
      </c>
      <c r="U88" s="12">
        <v>72306.2408132268</v>
      </c>
      <c r="V88" s="12">
        <v>71882.0314183043</v>
      </c>
      <c r="W88" s="12">
        <v>71838.0828664476</v>
      </c>
      <c r="X88" s="12">
        <v>0.0</v>
      </c>
      <c r="Y88" s="12">
        <v>71805.9927520102</v>
      </c>
      <c r="Z88" s="12">
        <v>1929.11633921278</v>
      </c>
      <c r="AA88" s="12">
        <v>71652.5747778691</v>
      </c>
      <c r="AB88" s="12">
        <v>71629.0017319836</v>
      </c>
    </row>
    <row r="89">
      <c r="A89" s="8">
        <v>42826.0</v>
      </c>
      <c r="B89" s="9">
        <f>IFERROR(__xludf.DUMMYFUNCTION("""COMPUTED_VALUE"""),56900.0)</f>
        <v>56900</v>
      </c>
      <c r="C89" s="12" t="s">
        <v>21</v>
      </c>
      <c r="D89" s="12">
        <v>9595.0</v>
      </c>
      <c r="E89" s="12">
        <v>762.293292348582</v>
      </c>
      <c r="F89" s="12">
        <v>222366.394605928</v>
      </c>
      <c r="G89" s="12">
        <v>159787.478010045</v>
      </c>
      <c r="H89" s="12">
        <v>56990.0514780074</v>
      </c>
      <c r="I89" s="12">
        <v>56915.3744880642</v>
      </c>
      <c r="J89" s="12">
        <v>54912.5493374098</v>
      </c>
      <c r="K89" s="12">
        <v>57259.8274204582</v>
      </c>
      <c r="L89" s="12">
        <v>7928.44316230501</v>
      </c>
      <c r="M89" s="12">
        <v>57088.7679702304</v>
      </c>
      <c r="N89" s="12">
        <v>56915.2781725019</v>
      </c>
      <c r="O89" s="12">
        <v>3731.48165550782</v>
      </c>
      <c r="P89" s="12">
        <v>48933.454915938</v>
      </c>
      <c r="Q89" s="12">
        <v>57973.7560000062</v>
      </c>
      <c r="R89" s="12">
        <v>9058.6</v>
      </c>
      <c r="S89" s="12">
        <v>43104.3294492855</v>
      </c>
      <c r="T89" s="12">
        <v>55526.7520977845</v>
      </c>
      <c r="U89" s="12">
        <v>59352.6729756348</v>
      </c>
      <c r="V89" s="12">
        <v>57219.3634003963</v>
      </c>
      <c r="W89" s="12">
        <v>57044.0452112002</v>
      </c>
      <c r="X89" s="12">
        <v>0.0</v>
      </c>
      <c r="Y89" s="12">
        <v>59174.630513821</v>
      </c>
      <c r="Z89" s="12">
        <v>41227.1979108935</v>
      </c>
      <c r="AA89" s="12">
        <v>56857.8107132067</v>
      </c>
      <c r="AB89" s="12">
        <v>56862.5256546373</v>
      </c>
    </row>
    <row r="90">
      <c r="A90" s="8">
        <v>42856.0</v>
      </c>
      <c r="B90" s="9">
        <f>IFERROR(__xludf.DUMMYFUNCTION("""COMPUTED_VALUE"""),11544.0)</f>
        <v>11544</v>
      </c>
      <c r="C90" s="12" t="s">
        <v>22</v>
      </c>
      <c r="D90" s="12">
        <v>34597.7306337833</v>
      </c>
      <c r="E90" s="12">
        <v>124.000155368116</v>
      </c>
      <c r="F90" s="12">
        <v>48153.1710886968</v>
      </c>
      <c r="G90" s="12">
        <v>14707.6803322395</v>
      </c>
      <c r="H90" s="12">
        <v>11544.0822596818</v>
      </c>
      <c r="I90" s="12">
        <v>12247.1286356763</v>
      </c>
      <c r="J90" s="12">
        <v>11552.5295140623</v>
      </c>
      <c r="K90" s="12">
        <v>11898.3732606246</v>
      </c>
      <c r="L90" s="12">
        <v>3452.68797446522</v>
      </c>
      <c r="M90" s="12">
        <v>15582.9421654973</v>
      </c>
      <c r="N90" s="12">
        <v>13703.269679743</v>
      </c>
      <c r="O90" s="12">
        <v>5674.12506744323</v>
      </c>
      <c r="P90" s="12">
        <v>1937.92205539274</v>
      </c>
      <c r="Q90" s="12">
        <v>11465.5773456511</v>
      </c>
      <c r="R90" s="12">
        <v>6577.73333333333</v>
      </c>
      <c r="S90" s="12">
        <v>9517.64876654266</v>
      </c>
      <c r="T90" s="12">
        <v>13494.0561225575</v>
      </c>
      <c r="U90" s="12">
        <v>12699.6430711121</v>
      </c>
      <c r="V90" s="12">
        <v>11889.4954079029</v>
      </c>
      <c r="W90" s="12">
        <v>11638.5343986837</v>
      </c>
      <c r="X90" s="12">
        <v>0.0</v>
      </c>
      <c r="Y90" s="12">
        <v>8990.36568800681</v>
      </c>
      <c r="Z90" s="12">
        <v>11869.0553038449</v>
      </c>
      <c r="AA90" s="12">
        <v>11425.2957212253</v>
      </c>
      <c r="AB90" s="12">
        <v>11525.7865658067</v>
      </c>
    </row>
    <row r="91">
      <c r="A91" s="8">
        <v>42887.0</v>
      </c>
      <c r="B91" s="9">
        <f>IFERROR(__xludf.DUMMYFUNCTION("""COMPUTED_VALUE"""),35977.0)</f>
        <v>35977</v>
      </c>
      <c r="C91" s="12" t="s">
        <v>23</v>
      </c>
      <c r="D91" s="12">
        <v>68504.5899543876</v>
      </c>
      <c r="E91" s="12">
        <v>68.8428535160197</v>
      </c>
      <c r="F91" s="12">
        <v>34103.1224799026</v>
      </c>
      <c r="G91" s="12">
        <v>101637.919986759</v>
      </c>
      <c r="H91" s="12">
        <v>35870.8735702781</v>
      </c>
      <c r="I91" s="12">
        <v>36314.3170193147</v>
      </c>
      <c r="J91" s="12">
        <v>37051.0370564378</v>
      </c>
      <c r="K91" s="12">
        <v>35914.0231891834</v>
      </c>
      <c r="L91" s="12">
        <v>1961.57527929064</v>
      </c>
      <c r="M91" s="12">
        <v>36325.995907789</v>
      </c>
      <c r="N91" s="12">
        <v>35502.859702126</v>
      </c>
      <c r="O91" s="12">
        <v>22491.5318946206</v>
      </c>
      <c r="P91" s="12">
        <v>34243.2289381523</v>
      </c>
      <c r="Q91" s="12">
        <v>35786.9326931624</v>
      </c>
      <c r="R91" s="12">
        <v>1217.5</v>
      </c>
      <c r="S91" s="12">
        <v>36858.3164058949</v>
      </c>
      <c r="T91" s="12">
        <v>34438.3033678888</v>
      </c>
      <c r="U91" s="12">
        <v>34351.646643155</v>
      </c>
      <c r="V91" s="12">
        <v>35952.9336320419</v>
      </c>
      <c r="W91" s="12">
        <v>36204.7773801141</v>
      </c>
      <c r="X91" s="12">
        <v>0.0</v>
      </c>
      <c r="Y91" s="12">
        <v>32093.1898423647</v>
      </c>
      <c r="Z91" s="12">
        <v>24290.4708477835</v>
      </c>
      <c r="AA91" s="12">
        <v>35936.9342642311</v>
      </c>
      <c r="AB91" s="12">
        <v>35935.1480035773</v>
      </c>
    </row>
    <row r="92">
      <c r="A92" s="33">
        <v>42917.0</v>
      </c>
      <c r="B92" s="9">
        <f>IFERROR(__xludf.DUMMYFUNCTION("""COMPUTED_VALUE"""),30985.0)</f>
        <v>30985</v>
      </c>
      <c r="C92" s="12" t="s">
        <v>24</v>
      </c>
      <c r="D92" s="12">
        <v>17141.9626104842</v>
      </c>
      <c r="E92" s="12">
        <v>126.52105726198</v>
      </c>
      <c r="F92" s="12">
        <v>15866.1691893534</v>
      </c>
      <c r="G92" s="12">
        <v>2836.16467101974</v>
      </c>
      <c r="H92" s="12">
        <v>2890.99087837786</v>
      </c>
      <c r="I92" s="12">
        <v>674.415287816856</v>
      </c>
      <c r="J92" s="12">
        <v>2842.86388845657</v>
      </c>
      <c r="K92" s="12">
        <v>31140.149847446</v>
      </c>
      <c r="L92" s="12">
        <v>15137.4331790933</v>
      </c>
      <c r="M92" s="12">
        <v>4408.58292389779</v>
      </c>
      <c r="N92" s="12">
        <v>3174.72609781569</v>
      </c>
      <c r="O92" s="12">
        <v>17411.3782097405</v>
      </c>
      <c r="P92" s="12">
        <v>638.13225426828</v>
      </c>
      <c r="Q92" s="12">
        <v>2552.32048522438</v>
      </c>
      <c r="R92" s="12">
        <v>1105.5</v>
      </c>
      <c r="S92" s="12">
        <v>2862.44322510425</v>
      </c>
      <c r="T92" s="12">
        <v>2624.4795809481</v>
      </c>
      <c r="U92" s="12">
        <v>31275.9033106046</v>
      </c>
      <c r="V92" s="12">
        <v>740.5</v>
      </c>
      <c r="W92" s="12">
        <v>31610.5627169193</v>
      </c>
      <c r="X92" s="12">
        <v>0.0</v>
      </c>
      <c r="Y92" s="12">
        <v>1280.05101048429</v>
      </c>
      <c r="Z92" s="12">
        <v>2823.65918212879</v>
      </c>
      <c r="AA92" s="12">
        <v>31090.0061919348</v>
      </c>
      <c r="AB92" s="12">
        <v>31357.0973635768</v>
      </c>
    </row>
    <row r="93">
      <c r="A93" s="8">
        <v>42948.0</v>
      </c>
      <c r="B93" s="9">
        <f>IFERROR(__xludf.DUMMYFUNCTION("""COMPUTED_VALUE"""),23217.0)</f>
        <v>23217</v>
      </c>
      <c r="C93" s="12" t="s">
        <v>25</v>
      </c>
      <c r="D93" s="12">
        <v>2098.36626864056</v>
      </c>
      <c r="E93" s="12">
        <v>539.109220453159</v>
      </c>
      <c r="F93" s="12">
        <v>16084.8088709305</v>
      </c>
      <c r="G93" s="12">
        <v>15055.2149776786</v>
      </c>
      <c r="H93" s="12">
        <v>14922.7347946072</v>
      </c>
      <c r="I93" s="12">
        <v>955.550230839545</v>
      </c>
      <c r="J93" s="12">
        <v>15807.7808501323</v>
      </c>
      <c r="K93" s="12">
        <v>23534.4937148473</v>
      </c>
      <c r="L93" s="12">
        <v>14024.681967846</v>
      </c>
      <c r="M93" s="12">
        <v>12101.359849973</v>
      </c>
      <c r="N93" s="12">
        <v>21430.0474070176</v>
      </c>
      <c r="O93" s="12">
        <v>51261.5493764811</v>
      </c>
      <c r="P93" s="12">
        <v>2412.44283076286</v>
      </c>
      <c r="Q93" s="12">
        <v>18816.471341205</v>
      </c>
      <c r="R93" s="12">
        <v>30845.0</v>
      </c>
      <c r="S93" s="12">
        <v>10374.63991328</v>
      </c>
      <c r="T93" s="12">
        <v>13309.2572932711</v>
      </c>
      <c r="U93" s="12">
        <v>25148.4461252155</v>
      </c>
      <c r="V93" s="12">
        <v>24188.0142728695</v>
      </c>
      <c r="W93" s="12">
        <v>24178.5624685998</v>
      </c>
      <c r="X93" s="12">
        <v>0.0</v>
      </c>
      <c r="Y93" s="12">
        <v>2840.05101048429</v>
      </c>
      <c r="Z93" s="12">
        <v>9026.54643809562</v>
      </c>
      <c r="AA93" s="12">
        <v>23848.467938965</v>
      </c>
      <c r="AB93" s="12">
        <v>23758.2080257005</v>
      </c>
    </row>
    <row r="94">
      <c r="A94" s="14">
        <v>42979.0</v>
      </c>
      <c r="B94" s="9">
        <f>IFERROR(__xludf.DUMMYFUNCTION("""COMPUTED_VALUE"""),11094.0)</f>
        <v>11094</v>
      </c>
      <c r="C94" s="12" t="s">
        <v>3</v>
      </c>
      <c r="D94" s="12">
        <v>475479.320090692</v>
      </c>
      <c r="E94" s="12">
        <v>160.854996600615</v>
      </c>
      <c r="F94" s="12">
        <v>36472.5346624834</v>
      </c>
      <c r="G94" s="12">
        <v>9938.01292152989</v>
      </c>
      <c r="H94" s="12">
        <v>8736.02755442733</v>
      </c>
      <c r="I94" s="12">
        <v>8586.96832498147</v>
      </c>
      <c r="J94" s="12">
        <v>8460.28807092021</v>
      </c>
      <c r="K94" s="12">
        <v>14300.0283788152</v>
      </c>
      <c r="L94" s="12">
        <v>12088.8916658121</v>
      </c>
      <c r="M94" s="12">
        <v>20825.7418179042</v>
      </c>
      <c r="N94" s="12">
        <v>15068.6159687663</v>
      </c>
      <c r="O94" s="12">
        <v>16276.1552605142</v>
      </c>
      <c r="P94" s="12">
        <v>2391.91597846656</v>
      </c>
      <c r="Q94" s="12">
        <v>8016.560310987</v>
      </c>
      <c r="R94" s="12">
        <v>3806.0</v>
      </c>
      <c r="S94" s="12">
        <v>8619.10664625343</v>
      </c>
      <c r="T94" s="12">
        <v>7291.02135052949</v>
      </c>
      <c r="U94" s="12">
        <v>12012.1406636542</v>
      </c>
      <c r="V94" s="12">
        <v>14376.8116713576</v>
      </c>
      <c r="W94" s="12">
        <v>13882.6920988095</v>
      </c>
      <c r="X94" s="12">
        <v>0.0</v>
      </c>
      <c r="Y94" s="12">
        <v>9811.50372316608</v>
      </c>
      <c r="Z94" s="12">
        <v>11243.3179219266</v>
      </c>
      <c r="AA94" s="12">
        <v>12982.6949172763</v>
      </c>
      <c r="AB94" s="12">
        <v>13763.1364227201</v>
      </c>
    </row>
    <row r="95">
      <c r="A95" s="14">
        <v>43009.0</v>
      </c>
      <c r="B95" s="9">
        <f>IFERROR(__xludf.DUMMYFUNCTION("""COMPUTED_VALUE"""),10003.0)</f>
        <v>10003</v>
      </c>
      <c r="C95" s="12" t="s">
        <v>4</v>
      </c>
      <c r="D95" s="12">
        <v>19193.3346196744</v>
      </c>
      <c r="E95" s="12">
        <v>1702.58856104035</v>
      </c>
      <c r="F95" s="12">
        <v>26137.8608829348</v>
      </c>
      <c r="G95" s="12">
        <v>2267.71772760803</v>
      </c>
      <c r="H95" s="12">
        <v>7025.02642703642</v>
      </c>
      <c r="I95" s="12">
        <v>5002.63073047453</v>
      </c>
      <c r="J95" s="12">
        <v>2479.93188081644</v>
      </c>
      <c r="K95" s="12">
        <v>2905.09512516388</v>
      </c>
      <c r="L95" s="12">
        <v>6459.78301053584</v>
      </c>
      <c r="M95" s="12">
        <v>9062.57520771379</v>
      </c>
      <c r="N95" s="12">
        <v>6908.21834654666</v>
      </c>
      <c r="O95" s="12">
        <v>8193.93309606869</v>
      </c>
      <c r="P95" s="12">
        <v>4485.67396841633</v>
      </c>
      <c r="Q95" s="12">
        <v>5593.8916465698</v>
      </c>
      <c r="R95" s="12">
        <v>12363.0</v>
      </c>
      <c r="S95" s="12">
        <v>4149.83214392046</v>
      </c>
      <c r="T95" s="12">
        <v>10353.8648057203</v>
      </c>
      <c r="U95" s="12">
        <v>8490.90929405633</v>
      </c>
      <c r="V95" s="12">
        <v>2875.64751966157</v>
      </c>
      <c r="W95" s="12">
        <v>9076.10164825428</v>
      </c>
      <c r="X95" s="12">
        <v>0.0</v>
      </c>
      <c r="Y95" s="12">
        <v>7074.08275587658</v>
      </c>
      <c r="Z95" s="12">
        <v>6079.86737633263</v>
      </c>
      <c r="AA95" s="12">
        <v>8157.54294786645</v>
      </c>
      <c r="AB95" s="12">
        <v>9015.16727484632</v>
      </c>
    </row>
    <row r="96">
      <c r="A96" s="14">
        <v>43040.0</v>
      </c>
      <c r="B96" s="9">
        <f>IFERROR(__xludf.DUMMYFUNCTION("""COMPUTED_VALUE"""),7550.0)</f>
        <v>7550</v>
      </c>
      <c r="C96" s="12" t="s">
        <v>5</v>
      </c>
      <c r="D96" s="12">
        <v>13574.4164664076</v>
      </c>
      <c r="E96" s="12">
        <v>1330.06552250732</v>
      </c>
      <c r="F96" s="12">
        <v>19377.663433924</v>
      </c>
      <c r="G96" s="12">
        <v>2214.03884965874</v>
      </c>
      <c r="H96" s="12">
        <v>4081.92643321506</v>
      </c>
      <c r="I96" s="12">
        <v>4672.67253830464</v>
      </c>
      <c r="J96" s="12">
        <v>3679.91791805967</v>
      </c>
      <c r="K96" s="12">
        <v>290960.06538093</v>
      </c>
      <c r="L96" s="12">
        <v>8928.68831649427</v>
      </c>
      <c r="M96" s="12">
        <v>6496.59537163433</v>
      </c>
      <c r="N96" s="12">
        <v>844.50970272527</v>
      </c>
      <c r="O96" s="12">
        <v>4503.0</v>
      </c>
      <c r="P96" s="12">
        <v>3488.3494020792</v>
      </c>
      <c r="Q96" s="12">
        <v>11060.0690587334</v>
      </c>
      <c r="R96" s="12">
        <v>13582.5</v>
      </c>
      <c r="S96" s="12">
        <v>4594.33352941176</v>
      </c>
      <c r="T96" s="12">
        <v>3878.19478993903</v>
      </c>
      <c r="U96" s="12">
        <v>288955.103441618</v>
      </c>
      <c r="V96" s="12">
        <v>291589.380163093</v>
      </c>
      <c r="W96" s="12">
        <v>290668.466190739</v>
      </c>
      <c r="X96" s="12">
        <v>0.0</v>
      </c>
      <c r="Y96" s="12">
        <v>5257.19369923109</v>
      </c>
      <c r="Z96" s="12">
        <v>3909.67970322883</v>
      </c>
      <c r="AA96" s="12">
        <v>292064.658268741</v>
      </c>
      <c r="AB96" s="12">
        <v>289673.724567626</v>
      </c>
    </row>
    <row r="97">
      <c r="A97" s="14">
        <v>43070.0</v>
      </c>
      <c r="B97" s="9">
        <f>IFERROR(__xludf.DUMMYFUNCTION("""COMPUTED_VALUE"""),9468.0)</f>
        <v>9468</v>
      </c>
      <c r="C97" s="12" t="s">
        <v>6</v>
      </c>
      <c r="D97" s="12">
        <v>15032.0426567467</v>
      </c>
      <c r="E97" s="13">
        <v>11437.3815744146</v>
      </c>
      <c r="F97" s="12">
        <v>22491.777301328</v>
      </c>
      <c r="G97" s="12">
        <v>8240.36922510842</v>
      </c>
      <c r="H97" s="12">
        <v>9521.22500339444</v>
      </c>
      <c r="I97" s="12">
        <v>2642.10096596943</v>
      </c>
      <c r="J97" s="12">
        <v>9382.91649462679</v>
      </c>
      <c r="K97" s="12">
        <v>20575.6349562034</v>
      </c>
      <c r="L97" s="12">
        <v>8063.9055735832</v>
      </c>
      <c r="M97" s="12">
        <v>3464.7630473275</v>
      </c>
      <c r="N97" s="12">
        <v>5332.95652242696</v>
      </c>
      <c r="O97" s="12">
        <v>2132.82673886498</v>
      </c>
      <c r="P97" s="12">
        <v>11759.0003649125</v>
      </c>
      <c r="Q97" s="12">
        <v>93287.2414588931</v>
      </c>
      <c r="R97" s="12">
        <v>3140.5</v>
      </c>
      <c r="S97" s="12">
        <v>4717.50387475071</v>
      </c>
      <c r="T97" s="12">
        <v>19000.1405059964</v>
      </c>
      <c r="U97" s="12">
        <v>20063.6421111142</v>
      </c>
      <c r="V97" s="12">
        <v>20635.9020788224</v>
      </c>
      <c r="W97" s="12">
        <v>20873.811980043</v>
      </c>
      <c r="X97" s="12">
        <v>15698.9039722813</v>
      </c>
      <c r="Y97" s="12">
        <v>1985.29963135178</v>
      </c>
      <c r="Z97" s="12">
        <v>1811.60595528787</v>
      </c>
      <c r="AA97" s="12">
        <v>19865.8285128971</v>
      </c>
      <c r="AB97" s="12">
        <v>20786.8639596933</v>
      </c>
    </row>
    <row r="98">
      <c r="A98" s="19">
        <v>43101.0</v>
      </c>
      <c r="B98" s="34">
        <f>IFERROR(__xludf.DUMMYFUNCTION("""COMPUTED_VALUE"""),25581.0)</f>
        <v>25581</v>
      </c>
      <c r="C98" s="12" t="s">
        <v>7</v>
      </c>
      <c r="D98" s="12">
        <v>8112.19406238906</v>
      </c>
      <c r="E98" s="12">
        <v>0.0</v>
      </c>
      <c r="F98" s="13">
        <v>15230.6887614399</v>
      </c>
      <c r="G98" s="13">
        <v>3722.89962166754</v>
      </c>
      <c r="H98" s="13">
        <v>6264.40220779489</v>
      </c>
      <c r="I98" s="13">
        <v>1820.11784754971</v>
      </c>
      <c r="J98" s="13">
        <v>6473.99655240947</v>
      </c>
      <c r="K98" s="13">
        <v>2031990.9222186</v>
      </c>
      <c r="L98" s="13">
        <v>18702.0007506116</v>
      </c>
      <c r="M98" s="13">
        <v>11254.8901736282</v>
      </c>
      <c r="N98" s="13">
        <v>4617.59485092519</v>
      </c>
      <c r="O98" s="12">
        <v>1517.41367235068</v>
      </c>
      <c r="P98" s="12">
        <v>6173.50705367837</v>
      </c>
      <c r="Q98" s="12">
        <v>6806.76153746451</v>
      </c>
      <c r="R98" s="12">
        <v>1588.5</v>
      </c>
      <c r="S98" s="12">
        <v>2966.49717515646</v>
      </c>
      <c r="T98" s="12">
        <v>2924.55478993903</v>
      </c>
      <c r="U98" s="12">
        <v>2026145.26969182</v>
      </c>
      <c r="V98" s="12">
        <v>2031876.54018736</v>
      </c>
      <c r="W98" s="12">
        <v>2031158.27145157</v>
      </c>
      <c r="X98" s="12">
        <v>13828.6798475711</v>
      </c>
      <c r="Y98" s="12">
        <v>1033.34638330269</v>
      </c>
      <c r="Z98" s="12">
        <v>1161.30577240241</v>
      </c>
      <c r="AA98" s="12">
        <v>2048512.6692069</v>
      </c>
      <c r="AB98" s="12">
        <v>2024266.33184381</v>
      </c>
    </row>
    <row r="99">
      <c r="A99" s="19">
        <v>43132.0</v>
      </c>
      <c r="B99" s="34">
        <f>IFERROR(__xludf.DUMMYFUNCTION("""COMPUTED_VALUE"""),18781.0)</f>
        <v>18781</v>
      </c>
      <c r="C99" s="12" t="s">
        <v>8</v>
      </c>
      <c r="D99" s="12">
        <v>3260.02368456775</v>
      </c>
      <c r="E99" s="12">
        <v>64122.5298741325</v>
      </c>
      <c r="F99" s="12">
        <v>14345.9526947193</v>
      </c>
      <c r="G99" s="12">
        <v>58683.615344302</v>
      </c>
      <c r="H99" s="12">
        <v>5535.65515344189</v>
      </c>
      <c r="I99" s="12">
        <v>2110.31911938703</v>
      </c>
      <c r="J99" s="12">
        <v>3918.65756564072</v>
      </c>
      <c r="K99" s="12">
        <v>72812.5526063796</v>
      </c>
      <c r="L99" s="12">
        <v>12806.9190812343</v>
      </c>
      <c r="M99" s="12">
        <v>263706.619022472</v>
      </c>
      <c r="N99" s="12">
        <v>5214.35849313159</v>
      </c>
      <c r="O99" s="12">
        <v>3196.4004013642</v>
      </c>
      <c r="P99" s="12">
        <v>3439.07031389533</v>
      </c>
      <c r="Q99" s="12">
        <v>3443.64785579249</v>
      </c>
      <c r="R99" s="12">
        <v>6024.0</v>
      </c>
      <c r="S99" s="12">
        <v>2628.02582265072</v>
      </c>
      <c r="T99" s="12">
        <v>8607.68692739086</v>
      </c>
      <c r="U99" s="12">
        <v>74274.9091262185</v>
      </c>
      <c r="V99" s="12">
        <v>72821.4194922511</v>
      </c>
      <c r="W99" s="12">
        <v>74569.7281727422</v>
      </c>
      <c r="X99" s="12">
        <v>14480.6085856244</v>
      </c>
      <c r="Y99" s="12">
        <v>1340.30000146736</v>
      </c>
      <c r="Z99" s="12">
        <v>2466.94540505935</v>
      </c>
      <c r="AA99" s="12">
        <v>73986.5294432294</v>
      </c>
      <c r="AB99" s="12">
        <v>74313.8205518882</v>
      </c>
    </row>
    <row r="100">
      <c r="A100" s="19">
        <v>43160.0</v>
      </c>
      <c r="B100" s="18">
        <f>IFERROR(__xludf.DUMMYFUNCTION("""COMPUTED_VALUE"""),24376.0)</f>
        <v>24376</v>
      </c>
      <c r="C100" s="12" t="s">
        <v>9</v>
      </c>
      <c r="D100" s="12">
        <v>26723.4525921869</v>
      </c>
      <c r="E100" s="12">
        <v>27589.9760728873</v>
      </c>
      <c r="F100" s="12">
        <v>24143.580605352</v>
      </c>
      <c r="G100" s="12">
        <v>14621.3373690891</v>
      </c>
      <c r="H100" s="12">
        <v>22130.2292836547</v>
      </c>
      <c r="I100" s="12">
        <v>1898.24775337106</v>
      </c>
      <c r="J100" s="12">
        <v>18124.5689870635</v>
      </c>
      <c r="K100" s="12">
        <v>19905.058052495</v>
      </c>
      <c r="L100" s="12">
        <v>26968.3929232147</v>
      </c>
      <c r="M100" s="12">
        <v>12589.8742453663</v>
      </c>
      <c r="N100" s="12">
        <v>6488.74876352715</v>
      </c>
      <c r="O100" s="12">
        <v>3393.81591821528</v>
      </c>
      <c r="P100" s="12">
        <v>24676.4048489957</v>
      </c>
      <c r="Q100" s="12">
        <v>22017.8910796667</v>
      </c>
      <c r="R100" s="12">
        <v>13692.3373728064</v>
      </c>
      <c r="S100" s="12">
        <v>25350.2053621401</v>
      </c>
      <c r="T100" s="12">
        <v>26545.4802738947</v>
      </c>
      <c r="U100" s="12">
        <v>20910.6477611615</v>
      </c>
      <c r="V100" s="12">
        <v>20012.6368766508</v>
      </c>
      <c r="W100" s="12">
        <v>21213.3151754128</v>
      </c>
      <c r="X100" s="12">
        <v>15550.1656163563</v>
      </c>
      <c r="Y100" s="12">
        <v>2676.58330371317</v>
      </c>
      <c r="Z100" s="12">
        <v>8077.74830240615</v>
      </c>
      <c r="AA100" s="12">
        <v>20321.4318250443</v>
      </c>
      <c r="AB100" s="12">
        <v>21075.7911730002</v>
      </c>
    </row>
    <row r="101">
      <c r="A101" s="15">
        <v>43191.0</v>
      </c>
      <c r="B101" s="18">
        <f>IFERROR(__xludf.DUMMYFUNCTION("""COMPUTED_VALUE"""),192958.0)</f>
        <v>192958</v>
      </c>
      <c r="C101" s="12" t="s">
        <v>10</v>
      </c>
      <c r="D101" s="12">
        <v>407859.869259439</v>
      </c>
      <c r="E101" s="12">
        <v>16485.1039380571</v>
      </c>
      <c r="F101" s="12">
        <v>20798.9749179274</v>
      </c>
      <c r="G101" s="12">
        <v>21849.9683284774</v>
      </c>
      <c r="H101" s="12">
        <v>11660.7163315963</v>
      </c>
      <c r="I101" s="12">
        <v>2909.03924657076</v>
      </c>
      <c r="J101" s="12">
        <v>35488.7096870515</v>
      </c>
      <c r="K101" s="12">
        <v>58811.1275152689</v>
      </c>
      <c r="L101" s="12">
        <v>37398.3039438003</v>
      </c>
      <c r="M101" s="12">
        <v>9582.39374152246</v>
      </c>
      <c r="N101" s="12">
        <v>1466.2789334945</v>
      </c>
      <c r="O101" s="12">
        <v>35346.2751315818</v>
      </c>
      <c r="P101" s="12">
        <v>14962.3499474107</v>
      </c>
      <c r="Q101" s="12">
        <v>10649.6423370306</v>
      </c>
      <c r="R101" s="12">
        <v>15045.9242598027</v>
      </c>
      <c r="S101" s="12">
        <v>15962.3681005524</v>
      </c>
      <c r="T101" s="12">
        <v>14739.0079372846</v>
      </c>
      <c r="U101" s="12">
        <v>58732.1348066196</v>
      </c>
      <c r="V101" s="12">
        <v>58954.7690059317</v>
      </c>
      <c r="W101" s="12">
        <v>59094.3516121104</v>
      </c>
      <c r="X101" s="12">
        <v>14753.2245556079</v>
      </c>
      <c r="Y101" s="12">
        <v>2631.89536328382</v>
      </c>
      <c r="Z101" s="12">
        <v>7536.70022479773</v>
      </c>
      <c r="AA101" s="12">
        <v>58514.6665090365</v>
      </c>
      <c r="AB101" s="12">
        <v>58834.4749172697</v>
      </c>
    </row>
    <row r="102">
      <c r="A102" s="15">
        <v>43221.0</v>
      </c>
      <c r="B102" s="18">
        <f>IFERROR(__xludf.DUMMYFUNCTION("""COMPUTED_VALUE"""),9056.0)</f>
        <v>9056</v>
      </c>
      <c r="C102" s="12" t="s">
        <v>11</v>
      </c>
      <c r="D102" s="12">
        <v>232632.793582069</v>
      </c>
      <c r="E102" s="12">
        <v>7320.17051798185</v>
      </c>
      <c r="F102" s="12">
        <v>1688567.53038317</v>
      </c>
      <c r="G102" s="12">
        <v>171847.799476082</v>
      </c>
      <c r="H102" s="12">
        <v>239917.867722277</v>
      </c>
      <c r="I102" s="12">
        <v>2932.39804778131</v>
      </c>
      <c r="J102" s="12">
        <v>320299.764508955</v>
      </c>
      <c r="K102" s="12">
        <v>901346.79290548</v>
      </c>
      <c r="L102" s="12">
        <v>16706.4715401205</v>
      </c>
      <c r="M102" s="12">
        <v>2856.29500916486</v>
      </c>
      <c r="N102" s="12">
        <v>8184.24588648986</v>
      </c>
      <c r="O102" s="12">
        <v>-306.300403304452</v>
      </c>
      <c r="P102" s="12">
        <v>415974.829175913</v>
      </c>
      <c r="Q102" s="12">
        <v>224678.810362262</v>
      </c>
      <c r="R102" s="12">
        <v>2265.44389039963</v>
      </c>
      <c r="S102" s="12">
        <v>40636.9344682322</v>
      </c>
      <c r="T102" s="12">
        <v>318471.367486666</v>
      </c>
      <c r="U102" s="12">
        <v>898002.469961542</v>
      </c>
      <c r="V102" s="12">
        <v>900782.373657179</v>
      </c>
      <c r="W102" s="12">
        <v>900316.541041941</v>
      </c>
      <c r="X102" s="12">
        <v>13518.573314585</v>
      </c>
      <c r="Y102" s="12">
        <v>1464.6697607455</v>
      </c>
      <c r="Z102" s="12">
        <v>8894.61184196231</v>
      </c>
      <c r="AA102" s="12">
        <v>84484.2620942416</v>
      </c>
      <c r="AB102" s="12">
        <v>84739.3856732576</v>
      </c>
    </row>
    <row r="103">
      <c r="A103" s="15">
        <v>43252.0</v>
      </c>
      <c r="B103" s="18">
        <f>IFERROR(__xludf.DUMMYFUNCTION("""COMPUTED_VALUE"""),13370.0)</f>
        <v>13370</v>
      </c>
      <c r="C103" s="29" t="s">
        <v>12</v>
      </c>
      <c r="D103" s="29">
        <v>155831.497198963</v>
      </c>
      <c r="E103" s="23">
        <v>170639.992415781</v>
      </c>
      <c r="F103" s="23">
        <v>17361.4007430737</v>
      </c>
      <c r="G103" s="23">
        <v>131762.753606688</v>
      </c>
      <c r="H103" s="23">
        <v>6261.44800825103</v>
      </c>
      <c r="I103" s="23">
        <v>19756.2921292279</v>
      </c>
      <c r="J103" s="23">
        <v>181167.620336963</v>
      </c>
      <c r="K103" s="23">
        <v>1151931.07178362</v>
      </c>
      <c r="L103" s="23">
        <v>122041.654586564</v>
      </c>
      <c r="M103" s="23">
        <v>21388.8335041139</v>
      </c>
      <c r="N103" s="23">
        <v>124328.622400715</v>
      </c>
      <c r="O103" s="23">
        <v>-22838.7541447143</v>
      </c>
      <c r="P103" s="23">
        <v>133449.639417587</v>
      </c>
      <c r="Q103" s="23">
        <v>95118.5732490704</v>
      </c>
      <c r="R103" s="23">
        <v>16614.2495457514</v>
      </c>
      <c r="S103" s="23">
        <v>261507.624235284</v>
      </c>
      <c r="T103" s="23">
        <v>120317.159485274</v>
      </c>
      <c r="U103" s="23">
        <v>1147453.84412659</v>
      </c>
      <c r="V103" s="23">
        <v>1151251.74108011</v>
      </c>
      <c r="W103" s="23">
        <v>1150273.63369624</v>
      </c>
      <c r="X103" s="23">
        <v>13656.7385754242</v>
      </c>
      <c r="Y103" s="23">
        <v>8494.77737305983</v>
      </c>
      <c r="Z103" s="23">
        <v>7466.93579136365</v>
      </c>
      <c r="AA103" s="24"/>
      <c r="AB103" s="24"/>
    </row>
    <row r="104">
      <c r="A104" s="15">
        <v>43282.0</v>
      </c>
      <c r="B104" s="18">
        <f>IFERROR(__xludf.DUMMYFUNCTION("""COMPUTED_VALUE"""),6942.0)</f>
        <v>6942</v>
      </c>
      <c r="C104" s="29" t="s">
        <v>13</v>
      </c>
      <c r="D104" s="29">
        <v>53127.8864860246</v>
      </c>
      <c r="E104" s="23">
        <v>13926.4306548052</v>
      </c>
      <c r="F104" s="23">
        <v>22157.498155465</v>
      </c>
      <c r="G104" s="23">
        <v>23448.2206575732</v>
      </c>
      <c r="H104" s="23">
        <v>22201.0475288402</v>
      </c>
      <c r="I104" s="23">
        <v>430124.724021773</v>
      </c>
      <c r="J104" s="23">
        <v>35137.9555297133</v>
      </c>
      <c r="K104" s="23">
        <v>330212.237557191</v>
      </c>
      <c r="L104" s="23">
        <v>42662.6879357579</v>
      </c>
      <c r="M104" s="23">
        <v>8630.4352824261</v>
      </c>
      <c r="N104" s="23">
        <v>4439.66354887912</v>
      </c>
      <c r="O104" s="23">
        <v>4274.18425789542</v>
      </c>
      <c r="P104" s="23">
        <v>89720.3186388482</v>
      </c>
      <c r="Q104" s="23">
        <v>32673.9486687526</v>
      </c>
      <c r="R104" s="23">
        <v>4931.73421772762</v>
      </c>
      <c r="S104" s="23">
        <v>14066.1925141555</v>
      </c>
      <c r="T104" s="23">
        <v>27704.8488901187</v>
      </c>
      <c r="U104" s="23">
        <v>330352.65234912</v>
      </c>
      <c r="V104" s="23">
        <v>330139.831695331</v>
      </c>
      <c r="W104" s="23">
        <v>331280.587375451</v>
      </c>
      <c r="X104" s="23">
        <v>13022.5038658243</v>
      </c>
      <c r="Y104" s="23">
        <v>2300.4209672895</v>
      </c>
      <c r="Z104" s="23">
        <v>3836.95859953466</v>
      </c>
      <c r="AA104" s="24"/>
      <c r="AB104" s="24"/>
    </row>
    <row r="105">
      <c r="A105" s="17">
        <v>43313.0</v>
      </c>
      <c r="B105" s="18"/>
      <c r="C105" s="29" t="s">
        <v>14</v>
      </c>
      <c r="D105" s="29">
        <v>29737.4732134409</v>
      </c>
      <c r="E105" s="23">
        <v>47530.0637290777</v>
      </c>
      <c r="F105" s="23">
        <v>19013.4101208796</v>
      </c>
      <c r="G105" s="23">
        <v>27299.2302326182</v>
      </c>
      <c r="H105" s="23">
        <v>24904.4969026614</v>
      </c>
      <c r="I105" s="23">
        <v>2698.52038985581</v>
      </c>
      <c r="J105" s="23">
        <v>-1815.75144338343</v>
      </c>
      <c r="K105" s="23">
        <v>93171.4517201083</v>
      </c>
      <c r="L105" s="23">
        <v>27586.0108618614</v>
      </c>
      <c r="M105" s="23">
        <v>22543.5007889973</v>
      </c>
      <c r="N105" s="23">
        <v>17507.091776554</v>
      </c>
      <c r="O105" s="23">
        <v>3140.14227404353</v>
      </c>
      <c r="P105" s="23">
        <v>29803.6709234296</v>
      </c>
      <c r="Q105" s="23">
        <v>27162.4150066115</v>
      </c>
      <c r="R105" s="23">
        <v>14331.9640345092</v>
      </c>
      <c r="S105" s="23">
        <v>44965.3070862193</v>
      </c>
      <c r="T105" s="23">
        <v>23221.1809092823</v>
      </c>
      <c r="U105" s="23">
        <v>92743.4982811062</v>
      </c>
      <c r="V105" s="23">
        <v>93493.609512589</v>
      </c>
      <c r="W105" s="23">
        <v>93197.5799932929</v>
      </c>
      <c r="X105" s="23">
        <v>16638.6756701377</v>
      </c>
      <c r="Y105" s="23">
        <v>4610.16104101915</v>
      </c>
      <c r="Z105" s="23">
        <v>4907.9475278337</v>
      </c>
      <c r="AA105" s="24"/>
      <c r="AB105" s="24"/>
    </row>
    <row r="106">
      <c r="A106" s="15">
        <v>43344.0</v>
      </c>
      <c r="B106" s="18"/>
      <c r="C106" s="35"/>
      <c r="D106" s="35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</row>
    <row r="107">
      <c r="A107" s="15">
        <v>43374.0</v>
      </c>
      <c r="B107" s="18"/>
      <c r="C107" s="35"/>
      <c r="D107" s="35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</row>
    <row r="108">
      <c r="A108" s="15">
        <v>43405.0</v>
      </c>
      <c r="B108" s="18"/>
      <c r="C108" s="35"/>
      <c r="D108" s="35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</row>
    <row r="109">
      <c r="B109" s="18"/>
      <c r="C109" s="35"/>
      <c r="D109" s="35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</row>
    <row r="110">
      <c r="B110" s="18"/>
      <c r="C110" s="35"/>
      <c r="D110" s="35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</row>
    <row r="111">
      <c r="B111" s="18"/>
      <c r="C111" s="35"/>
      <c r="D111" s="35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</row>
    <row r="112">
      <c r="B112" s="18"/>
      <c r="C112" s="35"/>
      <c r="D112" s="35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</row>
    <row r="113">
      <c r="B113" s="18"/>
      <c r="C113" s="35"/>
      <c r="D113" s="35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</row>
    <row r="114">
      <c r="B114" s="18"/>
      <c r="C114" s="35"/>
      <c r="D114" s="35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</row>
    <row r="115">
      <c r="B115" s="18"/>
      <c r="C115" s="35"/>
      <c r="D115" s="35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</row>
    <row r="116">
      <c r="B116" s="18"/>
      <c r="C116" s="35"/>
      <c r="D116" s="35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</row>
    <row r="117">
      <c r="B117" s="18"/>
      <c r="C117" s="35"/>
      <c r="D117" s="35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</row>
    <row r="118">
      <c r="B118" s="18"/>
      <c r="C118" s="35"/>
      <c r="D118" s="35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</row>
    <row r="119">
      <c r="B119" s="18"/>
      <c r="C119" s="35"/>
      <c r="D119" s="35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</row>
    <row r="120">
      <c r="B120" s="18"/>
      <c r="C120" s="35"/>
      <c r="D120" s="35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</row>
    <row r="121">
      <c r="B121" s="18"/>
      <c r="C121" s="35"/>
      <c r="D121" s="35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</row>
    <row r="122">
      <c r="B122" s="18"/>
      <c r="C122" s="35"/>
      <c r="D122" s="35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</row>
    <row r="123">
      <c r="B123" s="18"/>
      <c r="C123" s="35"/>
      <c r="D123" s="35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</row>
    <row r="124">
      <c r="B124" s="18"/>
      <c r="C124" s="35"/>
      <c r="D124" s="35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</row>
    <row r="125">
      <c r="B125" s="18"/>
      <c r="C125" s="35"/>
      <c r="D125" s="35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</row>
    <row r="126">
      <c r="B126" s="18"/>
      <c r="C126" s="35"/>
      <c r="D126" s="35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</row>
    <row r="127">
      <c r="B127" s="18"/>
      <c r="C127" s="35"/>
      <c r="D127" s="35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</row>
    <row r="128">
      <c r="B128" s="18"/>
      <c r="C128" s="35"/>
      <c r="D128" s="35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</row>
    <row r="129">
      <c r="B129" s="18"/>
      <c r="C129" s="35"/>
      <c r="D129" s="35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</row>
    <row r="130">
      <c r="B130" s="18"/>
      <c r="C130" s="35"/>
      <c r="D130" s="35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</row>
    <row r="131">
      <c r="B131" s="18"/>
      <c r="C131" s="35"/>
      <c r="D131" s="35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</row>
    <row r="132">
      <c r="B132" s="18"/>
      <c r="C132" s="35"/>
      <c r="D132" s="35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</row>
    <row r="133">
      <c r="B133" s="18"/>
      <c r="C133" s="35"/>
      <c r="D133" s="35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</row>
    <row r="134">
      <c r="B134" s="18"/>
      <c r="C134" s="35"/>
      <c r="D134" s="35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</row>
    <row r="135">
      <c r="B135" s="18"/>
      <c r="C135" s="35"/>
      <c r="D135" s="35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</row>
    <row r="136">
      <c r="B136" s="18"/>
      <c r="C136" s="35"/>
      <c r="D136" s="35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</row>
    <row r="137">
      <c r="B137" s="18"/>
      <c r="C137" s="35"/>
      <c r="D137" s="35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</row>
    <row r="138">
      <c r="B138" s="18"/>
      <c r="C138" s="35"/>
      <c r="D138" s="35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</row>
    <row r="139">
      <c r="B139" s="18"/>
      <c r="C139" s="35"/>
      <c r="D139" s="35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</row>
    <row r="140">
      <c r="B140" s="18"/>
      <c r="C140" s="35"/>
      <c r="D140" s="35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</row>
    <row r="141">
      <c r="B141" s="18"/>
      <c r="C141" s="35"/>
      <c r="D141" s="35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</row>
    <row r="142">
      <c r="B142" s="18"/>
      <c r="C142" s="35"/>
      <c r="D142" s="35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</row>
    <row r="143">
      <c r="B143" s="18"/>
      <c r="C143" s="35"/>
      <c r="D143" s="35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</row>
    <row r="144">
      <c r="B144" s="18"/>
      <c r="C144" s="35"/>
      <c r="D144" s="35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</row>
    <row r="145">
      <c r="B145" s="18"/>
      <c r="C145" s="35"/>
      <c r="D145" s="35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</row>
    <row r="146">
      <c r="B146" s="18"/>
      <c r="C146" s="35"/>
      <c r="D146" s="35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</row>
    <row r="147">
      <c r="B147" s="18"/>
      <c r="C147" s="35"/>
      <c r="D147" s="35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</row>
    <row r="148">
      <c r="B148" s="18"/>
      <c r="C148" s="35"/>
      <c r="D148" s="35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</row>
    <row r="149">
      <c r="B149" s="18"/>
      <c r="C149" s="35"/>
      <c r="D149" s="35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</row>
    <row r="150">
      <c r="B150" s="18"/>
      <c r="C150" s="35"/>
      <c r="D150" s="35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</row>
    <row r="151">
      <c r="B151" s="18"/>
      <c r="C151" s="35"/>
      <c r="D151" s="35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</row>
    <row r="152">
      <c r="B152" s="18"/>
      <c r="C152" s="35"/>
      <c r="D152" s="35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</row>
    <row r="153">
      <c r="B153" s="18"/>
      <c r="C153" s="35"/>
      <c r="D153" s="35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</row>
    <row r="154">
      <c r="B154" s="18"/>
      <c r="C154" s="35"/>
      <c r="D154" s="35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</row>
    <row r="155">
      <c r="B155" s="18"/>
      <c r="C155" s="35"/>
      <c r="D155" s="35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</row>
    <row r="156">
      <c r="B156" s="18"/>
      <c r="C156" s="35"/>
      <c r="D156" s="35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</row>
    <row r="157">
      <c r="B157" s="18"/>
      <c r="C157" s="35"/>
      <c r="D157" s="35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</row>
    <row r="158">
      <c r="B158" s="18"/>
      <c r="C158" s="35"/>
      <c r="D158" s="35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</row>
    <row r="159">
      <c r="B159" s="18"/>
      <c r="C159" s="35"/>
      <c r="D159" s="35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</row>
    <row r="160">
      <c r="B160" s="18"/>
      <c r="C160" s="35"/>
      <c r="D160" s="35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</row>
    <row r="161">
      <c r="B161" s="18"/>
      <c r="C161" s="35"/>
      <c r="D161" s="35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</row>
    <row r="162">
      <c r="B162" s="18"/>
      <c r="C162" s="35"/>
      <c r="D162" s="35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</row>
    <row r="163">
      <c r="B163" s="18"/>
      <c r="C163" s="35"/>
      <c r="D163" s="35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</row>
    <row r="164">
      <c r="B164" s="18"/>
      <c r="C164" s="35"/>
      <c r="D164" s="35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</row>
    <row r="165">
      <c r="B165" s="18"/>
      <c r="C165" s="35"/>
      <c r="D165" s="35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</row>
    <row r="166">
      <c r="B166" s="18"/>
      <c r="C166" s="35"/>
      <c r="D166" s="35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</row>
    <row r="167">
      <c r="B167" s="18"/>
      <c r="C167" s="35"/>
      <c r="D167" s="35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</row>
    <row r="168">
      <c r="B168" s="18"/>
      <c r="C168" s="35"/>
      <c r="D168" s="35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</row>
    <row r="169">
      <c r="B169" s="18"/>
      <c r="C169" s="35"/>
      <c r="D169" s="35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</row>
    <row r="170">
      <c r="B170" s="18"/>
      <c r="C170" s="35"/>
      <c r="D170" s="35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</row>
    <row r="171">
      <c r="B171" s="18"/>
      <c r="C171" s="35"/>
      <c r="D171" s="35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</row>
    <row r="172">
      <c r="B172" s="18"/>
      <c r="C172" s="35"/>
      <c r="D172" s="35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</row>
    <row r="173">
      <c r="B173" s="18"/>
      <c r="C173" s="35"/>
      <c r="D173" s="35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</row>
    <row r="174">
      <c r="B174" s="18"/>
      <c r="C174" s="35"/>
      <c r="D174" s="35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</row>
    <row r="175">
      <c r="B175" s="18"/>
      <c r="C175" s="35"/>
      <c r="D175" s="35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</row>
    <row r="176">
      <c r="B176" s="18"/>
      <c r="C176" s="35"/>
      <c r="D176" s="35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</row>
    <row r="177">
      <c r="B177" s="18"/>
      <c r="C177" s="35"/>
      <c r="D177" s="35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</row>
    <row r="178">
      <c r="B178" s="18"/>
      <c r="C178" s="35"/>
      <c r="D178" s="35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</row>
    <row r="179">
      <c r="B179" s="18"/>
      <c r="C179" s="35"/>
      <c r="D179" s="35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</row>
    <row r="180">
      <c r="B180" s="18"/>
      <c r="C180" s="35"/>
      <c r="D180" s="35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</row>
    <row r="181">
      <c r="B181" s="18"/>
      <c r="C181" s="35"/>
      <c r="D181" s="35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</row>
    <row r="182">
      <c r="B182" s="18"/>
      <c r="C182" s="35"/>
      <c r="D182" s="35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</row>
    <row r="183">
      <c r="B183" s="18"/>
      <c r="C183" s="35"/>
      <c r="D183" s="35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</row>
    <row r="184">
      <c r="B184" s="18"/>
      <c r="C184" s="35"/>
      <c r="D184" s="35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</row>
    <row r="185">
      <c r="B185" s="18"/>
      <c r="C185" s="35"/>
      <c r="D185" s="35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</row>
    <row r="186">
      <c r="B186" s="18"/>
      <c r="C186" s="35"/>
      <c r="D186" s="35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</row>
    <row r="187">
      <c r="B187" s="18"/>
      <c r="C187" s="35"/>
      <c r="D187" s="35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</row>
    <row r="188">
      <c r="B188" s="18"/>
      <c r="C188" s="35"/>
      <c r="D188" s="35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</row>
    <row r="189">
      <c r="B189" s="18"/>
      <c r="C189" s="35"/>
      <c r="D189" s="35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</row>
    <row r="190">
      <c r="B190" s="18"/>
      <c r="C190" s="35"/>
      <c r="D190" s="35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</row>
    <row r="191">
      <c r="B191" s="18"/>
      <c r="C191" s="35"/>
      <c r="D191" s="35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</row>
    <row r="192">
      <c r="B192" s="18"/>
      <c r="C192" s="35"/>
      <c r="D192" s="35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</row>
    <row r="193">
      <c r="B193" s="18"/>
      <c r="C193" s="35"/>
      <c r="D193" s="35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</row>
    <row r="194">
      <c r="B194" s="18"/>
      <c r="C194" s="35"/>
      <c r="D194" s="35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</row>
    <row r="195">
      <c r="B195" s="18"/>
      <c r="C195" s="35"/>
      <c r="D195" s="35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</row>
    <row r="196">
      <c r="B196" s="18"/>
      <c r="C196" s="35"/>
      <c r="D196" s="35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</row>
    <row r="197">
      <c r="B197" s="18"/>
      <c r="C197" s="35"/>
      <c r="D197" s="35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</row>
    <row r="198">
      <c r="B198" s="18"/>
      <c r="C198" s="35"/>
      <c r="D198" s="35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</row>
    <row r="199">
      <c r="B199" s="18"/>
      <c r="C199" s="35"/>
      <c r="D199" s="35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</row>
    <row r="200">
      <c r="B200" s="18"/>
      <c r="C200" s="35"/>
      <c r="D200" s="35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</row>
    <row r="201">
      <c r="B201" s="18"/>
      <c r="C201" s="35"/>
      <c r="D201" s="35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</row>
    <row r="202">
      <c r="B202" s="18"/>
      <c r="C202" s="35"/>
      <c r="D202" s="35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</row>
    <row r="203">
      <c r="B203" s="18"/>
      <c r="C203" s="35"/>
      <c r="D203" s="35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</row>
    <row r="204">
      <c r="B204" s="18"/>
      <c r="C204" s="35"/>
      <c r="D204" s="35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</row>
    <row r="205">
      <c r="B205" s="18"/>
      <c r="C205" s="35"/>
      <c r="D205" s="35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</row>
    <row r="206">
      <c r="B206" s="18"/>
      <c r="C206" s="35"/>
      <c r="D206" s="35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</row>
    <row r="207">
      <c r="B207" s="18"/>
      <c r="C207" s="35"/>
      <c r="D207" s="35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</row>
    <row r="208">
      <c r="B208" s="18"/>
      <c r="C208" s="35"/>
      <c r="D208" s="35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</row>
    <row r="209">
      <c r="B209" s="18"/>
      <c r="C209" s="35"/>
      <c r="D209" s="35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</row>
    <row r="210">
      <c r="B210" s="18"/>
      <c r="C210" s="35"/>
      <c r="D210" s="35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</row>
    <row r="211">
      <c r="B211" s="18"/>
      <c r="C211" s="35"/>
      <c r="D211" s="35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</row>
    <row r="212">
      <c r="B212" s="18"/>
      <c r="C212" s="35"/>
      <c r="D212" s="35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</row>
    <row r="213">
      <c r="B213" s="18"/>
      <c r="C213" s="35"/>
      <c r="D213" s="35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</row>
    <row r="214">
      <c r="B214" s="18"/>
      <c r="C214" s="35"/>
      <c r="D214" s="35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</row>
    <row r="215">
      <c r="B215" s="18"/>
      <c r="C215" s="35"/>
      <c r="D215" s="35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</row>
    <row r="216">
      <c r="B216" s="18"/>
      <c r="C216" s="35"/>
      <c r="D216" s="35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</row>
    <row r="217">
      <c r="B217" s="18"/>
      <c r="C217" s="35"/>
      <c r="D217" s="35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</row>
    <row r="218">
      <c r="B218" s="18"/>
      <c r="C218" s="35"/>
      <c r="D218" s="35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</row>
    <row r="219">
      <c r="B219" s="18"/>
      <c r="C219" s="35"/>
      <c r="D219" s="35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</row>
    <row r="220">
      <c r="B220" s="18"/>
      <c r="C220" s="35"/>
      <c r="D220" s="35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</row>
    <row r="221">
      <c r="B221" s="18"/>
      <c r="C221" s="35"/>
      <c r="D221" s="35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</row>
    <row r="222">
      <c r="B222" s="18"/>
      <c r="C222" s="35"/>
      <c r="D222" s="35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</row>
    <row r="223">
      <c r="B223" s="18"/>
      <c r="C223" s="35"/>
      <c r="D223" s="35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</row>
    <row r="224">
      <c r="B224" s="18"/>
      <c r="C224" s="35"/>
      <c r="D224" s="35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</row>
    <row r="225">
      <c r="B225" s="18"/>
      <c r="C225" s="35"/>
      <c r="D225" s="35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</row>
    <row r="226">
      <c r="B226" s="18"/>
      <c r="C226" s="35"/>
      <c r="D226" s="35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</row>
    <row r="227">
      <c r="B227" s="18"/>
      <c r="C227" s="35"/>
      <c r="D227" s="35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</row>
    <row r="228">
      <c r="B228" s="18"/>
      <c r="C228" s="35"/>
      <c r="D228" s="35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</row>
    <row r="229">
      <c r="B229" s="18"/>
      <c r="C229" s="35"/>
      <c r="D229" s="35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</row>
    <row r="230">
      <c r="B230" s="18"/>
      <c r="C230" s="35"/>
      <c r="D230" s="35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</row>
    <row r="231">
      <c r="B231" s="18"/>
      <c r="C231" s="35"/>
      <c r="D231" s="35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</row>
    <row r="232">
      <c r="B232" s="18"/>
      <c r="C232" s="35"/>
      <c r="D232" s="35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</row>
    <row r="233">
      <c r="B233" s="18"/>
      <c r="C233" s="35"/>
      <c r="D233" s="35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</row>
    <row r="234">
      <c r="B234" s="18"/>
      <c r="C234" s="35"/>
      <c r="D234" s="35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</row>
    <row r="235">
      <c r="B235" s="18"/>
      <c r="C235" s="35"/>
      <c r="D235" s="35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</row>
    <row r="236">
      <c r="B236" s="18"/>
      <c r="C236" s="35"/>
      <c r="D236" s="35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</row>
    <row r="237">
      <c r="B237" s="18"/>
      <c r="C237" s="35"/>
      <c r="D237" s="35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</row>
    <row r="238">
      <c r="B238" s="18"/>
      <c r="C238" s="35"/>
      <c r="D238" s="35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</row>
    <row r="239">
      <c r="B239" s="18"/>
      <c r="C239" s="35"/>
      <c r="D239" s="35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</row>
    <row r="240">
      <c r="B240" s="18"/>
      <c r="C240" s="35"/>
      <c r="D240" s="35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</row>
    <row r="241">
      <c r="B241" s="18"/>
      <c r="C241" s="35"/>
      <c r="D241" s="35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</row>
    <row r="242">
      <c r="B242" s="18"/>
      <c r="C242" s="35"/>
      <c r="D242" s="35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</row>
    <row r="243">
      <c r="B243" s="18"/>
      <c r="C243" s="35"/>
      <c r="D243" s="35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</row>
    <row r="244">
      <c r="B244" s="18"/>
      <c r="C244" s="35"/>
      <c r="D244" s="35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</row>
    <row r="245">
      <c r="B245" s="18"/>
      <c r="C245" s="35"/>
      <c r="D245" s="35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</row>
    <row r="246">
      <c r="B246" s="18"/>
      <c r="C246" s="35"/>
      <c r="D246" s="35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</row>
    <row r="247">
      <c r="B247" s="18"/>
      <c r="C247" s="35"/>
      <c r="D247" s="35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</row>
    <row r="248">
      <c r="B248" s="18"/>
      <c r="C248" s="35"/>
      <c r="D248" s="35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</row>
    <row r="249">
      <c r="B249" s="18"/>
      <c r="C249" s="35"/>
      <c r="D249" s="35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</row>
    <row r="250">
      <c r="B250" s="18"/>
      <c r="C250" s="35"/>
      <c r="D250" s="35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</row>
    <row r="251">
      <c r="B251" s="18"/>
      <c r="C251" s="35"/>
      <c r="D251" s="35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</row>
    <row r="252">
      <c r="B252" s="18"/>
      <c r="C252" s="35"/>
      <c r="D252" s="35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</row>
    <row r="253">
      <c r="B253" s="18"/>
      <c r="C253" s="35"/>
      <c r="D253" s="35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</row>
    <row r="254">
      <c r="B254" s="18"/>
      <c r="C254" s="35"/>
      <c r="D254" s="35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</row>
    <row r="255">
      <c r="B255" s="18"/>
      <c r="C255" s="35"/>
      <c r="D255" s="35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</row>
    <row r="256">
      <c r="B256" s="18"/>
      <c r="C256" s="35"/>
      <c r="D256" s="35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</row>
    <row r="257">
      <c r="B257" s="18"/>
      <c r="C257" s="35"/>
      <c r="D257" s="35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</row>
    <row r="258">
      <c r="B258" s="18"/>
      <c r="C258" s="35"/>
      <c r="D258" s="35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</row>
    <row r="259">
      <c r="B259" s="18"/>
      <c r="C259" s="35"/>
      <c r="D259" s="35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</row>
    <row r="260">
      <c r="B260" s="18"/>
      <c r="C260" s="35"/>
      <c r="D260" s="35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</row>
    <row r="261">
      <c r="B261" s="18"/>
      <c r="C261" s="35"/>
      <c r="D261" s="35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</row>
    <row r="262">
      <c r="B262" s="18"/>
      <c r="C262" s="35"/>
      <c r="D262" s="35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</row>
    <row r="263">
      <c r="B263" s="18"/>
      <c r="C263" s="36"/>
      <c r="D263" s="36"/>
    </row>
    <row r="264">
      <c r="B264" s="18"/>
      <c r="C264" s="36"/>
      <c r="D264" s="36"/>
    </row>
    <row r="265">
      <c r="B265" s="18"/>
      <c r="C265" s="36"/>
      <c r="D265" s="36"/>
    </row>
    <row r="266">
      <c r="B266" s="18"/>
      <c r="C266" s="36"/>
      <c r="D266" s="36"/>
    </row>
    <row r="267">
      <c r="B267" s="18"/>
      <c r="C267" s="36"/>
      <c r="D267" s="36"/>
    </row>
    <row r="268">
      <c r="B268" s="18"/>
      <c r="C268" s="36"/>
      <c r="D268" s="36"/>
    </row>
    <row r="269">
      <c r="B269" s="18"/>
      <c r="C269" s="36"/>
      <c r="D269" s="36"/>
    </row>
    <row r="270">
      <c r="B270" s="18"/>
      <c r="C270" s="36"/>
      <c r="D270" s="36"/>
    </row>
    <row r="271">
      <c r="B271" s="18"/>
      <c r="C271" s="36"/>
      <c r="D271" s="36"/>
    </row>
    <row r="272">
      <c r="B272" s="18"/>
      <c r="C272" s="36"/>
      <c r="D272" s="36"/>
    </row>
    <row r="273">
      <c r="B273" s="18"/>
      <c r="C273" s="36"/>
      <c r="D273" s="36"/>
    </row>
    <row r="274">
      <c r="B274" s="18"/>
      <c r="C274" s="36"/>
      <c r="D274" s="36"/>
    </row>
    <row r="275">
      <c r="B275" s="18"/>
      <c r="C275" s="36"/>
      <c r="D275" s="36"/>
    </row>
    <row r="276">
      <c r="B276" s="18"/>
      <c r="C276" s="36"/>
      <c r="D276" s="36"/>
    </row>
    <row r="277">
      <c r="B277" s="18"/>
      <c r="C277" s="36"/>
      <c r="D277" s="36"/>
    </row>
    <row r="278">
      <c r="B278" s="18"/>
      <c r="C278" s="36"/>
      <c r="D278" s="36"/>
    </row>
    <row r="279">
      <c r="B279" s="18"/>
      <c r="C279" s="36"/>
      <c r="D279" s="36"/>
    </row>
    <row r="280">
      <c r="B280" s="18"/>
      <c r="C280" s="36"/>
      <c r="D280" s="36"/>
    </row>
    <row r="281">
      <c r="B281" s="18"/>
      <c r="C281" s="36"/>
      <c r="D281" s="36"/>
    </row>
    <row r="282">
      <c r="B282" s="18"/>
      <c r="C282" s="36"/>
      <c r="D282" s="36"/>
    </row>
    <row r="283">
      <c r="B283" s="18"/>
      <c r="C283" s="36"/>
      <c r="D283" s="36"/>
    </row>
    <row r="284">
      <c r="B284" s="18"/>
      <c r="C284" s="36"/>
      <c r="D284" s="36"/>
    </row>
    <row r="285">
      <c r="B285" s="18"/>
      <c r="C285" s="36"/>
      <c r="D285" s="36"/>
    </row>
    <row r="286">
      <c r="B286" s="18"/>
      <c r="C286" s="36"/>
      <c r="D286" s="36"/>
    </row>
    <row r="287">
      <c r="B287" s="18"/>
      <c r="C287" s="36"/>
      <c r="D287" s="36"/>
    </row>
    <row r="288">
      <c r="B288" s="18"/>
      <c r="C288" s="36"/>
      <c r="D288" s="36"/>
    </row>
    <row r="289">
      <c r="B289" s="18"/>
      <c r="C289" s="36"/>
      <c r="D289" s="36"/>
    </row>
    <row r="290">
      <c r="B290" s="18"/>
      <c r="C290" s="36"/>
      <c r="D290" s="36"/>
    </row>
    <row r="291">
      <c r="B291" s="18"/>
      <c r="C291" s="36"/>
      <c r="D291" s="36"/>
    </row>
    <row r="292">
      <c r="B292" s="18"/>
      <c r="C292" s="36"/>
      <c r="D292" s="36"/>
    </row>
    <row r="293">
      <c r="B293" s="18"/>
      <c r="C293" s="36"/>
      <c r="D293" s="36"/>
    </row>
    <row r="294">
      <c r="B294" s="18"/>
      <c r="C294" s="36"/>
      <c r="D294" s="36"/>
    </row>
    <row r="295">
      <c r="B295" s="18"/>
      <c r="C295" s="36"/>
      <c r="D295" s="36"/>
    </row>
    <row r="296">
      <c r="B296" s="18"/>
      <c r="C296" s="36"/>
      <c r="D296" s="36"/>
    </row>
    <row r="297">
      <c r="B297" s="18"/>
      <c r="C297" s="36"/>
      <c r="D297" s="36"/>
    </row>
    <row r="298">
      <c r="B298" s="18"/>
      <c r="C298" s="36"/>
      <c r="D298" s="36"/>
    </row>
    <row r="299">
      <c r="B299" s="18"/>
      <c r="C299" s="36"/>
      <c r="D299" s="36"/>
    </row>
    <row r="300">
      <c r="B300" s="18"/>
      <c r="C300" s="36"/>
      <c r="D300" s="36"/>
    </row>
    <row r="301">
      <c r="B301" s="18"/>
      <c r="C301" s="36"/>
      <c r="D301" s="36"/>
    </row>
    <row r="302">
      <c r="B302" s="18"/>
      <c r="C302" s="36"/>
      <c r="D302" s="36"/>
    </row>
    <row r="303">
      <c r="B303" s="18"/>
      <c r="C303" s="36"/>
      <c r="D303" s="36"/>
    </row>
    <row r="304">
      <c r="B304" s="18"/>
      <c r="C304" s="36"/>
      <c r="D304" s="36"/>
    </row>
    <row r="305">
      <c r="B305" s="18"/>
      <c r="C305" s="36"/>
      <c r="D305" s="36"/>
    </row>
    <row r="306">
      <c r="B306" s="18"/>
      <c r="C306" s="36"/>
      <c r="D306" s="36"/>
    </row>
    <row r="307">
      <c r="B307" s="18"/>
      <c r="C307" s="36"/>
      <c r="D307" s="36"/>
    </row>
    <row r="308">
      <c r="B308" s="18"/>
      <c r="C308" s="36"/>
      <c r="D308" s="36"/>
    </row>
    <row r="309">
      <c r="B309" s="18"/>
      <c r="C309" s="36"/>
      <c r="D309" s="36"/>
    </row>
    <row r="310">
      <c r="B310" s="18"/>
      <c r="C310" s="36"/>
      <c r="D310" s="36"/>
    </row>
    <row r="311">
      <c r="B311" s="18"/>
      <c r="C311" s="36"/>
      <c r="D311" s="36"/>
    </row>
    <row r="312">
      <c r="B312" s="18"/>
      <c r="C312" s="36"/>
      <c r="D312" s="36"/>
    </row>
    <row r="313">
      <c r="B313" s="18"/>
      <c r="C313" s="36"/>
      <c r="D313" s="36"/>
    </row>
    <row r="314">
      <c r="B314" s="18"/>
      <c r="C314" s="36"/>
      <c r="D314" s="36"/>
    </row>
    <row r="315">
      <c r="B315" s="18"/>
      <c r="C315" s="36"/>
      <c r="D315" s="36"/>
    </row>
    <row r="316">
      <c r="B316" s="18"/>
      <c r="C316" s="36"/>
      <c r="D316" s="36"/>
    </row>
    <row r="317">
      <c r="B317" s="18"/>
      <c r="C317" s="36"/>
      <c r="D317" s="36"/>
    </row>
    <row r="318">
      <c r="B318" s="18"/>
      <c r="C318" s="36"/>
      <c r="D318" s="36"/>
    </row>
    <row r="319">
      <c r="B319" s="18"/>
      <c r="C319" s="36"/>
      <c r="D319" s="36"/>
    </row>
    <row r="320">
      <c r="B320" s="18"/>
      <c r="C320" s="36"/>
      <c r="D320" s="36"/>
    </row>
    <row r="321">
      <c r="B321" s="18"/>
      <c r="C321" s="36"/>
      <c r="D321" s="36"/>
    </row>
    <row r="322">
      <c r="B322" s="18"/>
      <c r="C322" s="36"/>
      <c r="D322" s="36"/>
    </row>
    <row r="323">
      <c r="B323" s="18"/>
      <c r="C323" s="36"/>
      <c r="D323" s="36"/>
    </row>
    <row r="324">
      <c r="B324" s="18"/>
      <c r="C324" s="36"/>
      <c r="D324" s="36"/>
    </row>
    <row r="325">
      <c r="B325" s="18"/>
      <c r="C325" s="36"/>
      <c r="D325" s="36"/>
    </row>
    <row r="326">
      <c r="B326" s="18"/>
      <c r="C326" s="36"/>
      <c r="D326" s="36"/>
    </row>
    <row r="327">
      <c r="B327" s="18"/>
      <c r="C327" s="36"/>
      <c r="D327" s="36"/>
    </row>
    <row r="328">
      <c r="B328" s="18"/>
      <c r="C328" s="36"/>
      <c r="D328" s="36"/>
    </row>
    <row r="329">
      <c r="B329" s="18"/>
      <c r="C329" s="36"/>
      <c r="D329" s="36"/>
    </row>
    <row r="330">
      <c r="B330" s="18"/>
      <c r="C330" s="36"/>
      <c r="D330" s="36"/>
    </row>
    <row r="331">
      <c r="B331" s="18"/>
      <c r="C331" s="36"/>
      <c r="D331" s="36"/>
    </row>
    <row r="332">
      <c r="B332" s="18"/>
      <c r="C332" s="36"/>
      <c r="D332" s="36"/>
    </row>
    <row r="333">
      <c r="B333" s="18"/>
      <c r="C333" s="36"/>
      <c r="D333" s="36"/>
    </row>
    <row r="334">
      <c r="B334" s="18"/>
      <c r="C334" s="36"/>
      <c r="D334" s="36"/>
    </row>
    <row r="335">
      <c r="B335" s="18"/>
      <c r="C335" s="36"/>
      <c r="D335" s="36"/>
    </row>
    <row r="336">
      <c r="B336" s="18"/>
      <c r="C336" s="36"/>
      <c r="D336" s="36"/>
    </row>
    <row r="337">
      <c r="B337" s="18"/>
      <c r="C337" s="36"/>
      <c r="D337" s="36"/>
    </row>
    <row r="338">
      <c r="B338" s="18"/>
      <c r="C338" s="36"/>
      <c r="D338" s="36"/>
    </row>
    <row r="339">
      <c r="B339" s="18"/>
      <c r="C339" s="36"/>
      <c r="D339" s="36"/>
    </row>
    <row r="340">
      <c r="B340" s="18"/>
      <c r="C340" s="36"/>
      <c r="D340" s="36"/>
    </row>
    <row r="341">
      <c r="B341" s="18"/>
      <c r="C341" s="36"/>
      <c r="D341" s="36"/>
    </row>
    <row r="342">
      <c r="B342" s="18"/>
      <c r="C342" s="36"/>
      <c r="D342" s="36"/>
    </row>
    <row r="343">
      <c r="B343" s="18"/>
      <c r="C343" s="36"/>
      <c r="D343" s="36"/>
    </row>
    <row r="344">
      <c r="B344" s="18"/>
      <c r="C344" s="36"/>
      <c r="D344" s="36"/>
    </row>
    <row r="345">
      <c r="B345" s="18"/>
      <c r="C345" s="36"/>
      <c r="D345" s="36"/>
    </row>
    <row r="346">
      <c r="B346" s="18"/>
      <c r="C346" s="36"/>
      <c r="D346" s="36"/>
    </row>
    <row r="347">
      <c r="B347" s="18"/>
      <c r="C347" s="36"/>
      <c r="D347" s="36"/>
    </row>
    <row r="348">
      <c r="B348" s="18"/>
      <c r="C348" s="36"/>
      <c r="D348" s="36"/>
    </row>
    <row r="349">
      <c r="B349" s="18"/>
      <c r="C349" s="36"/>
      <c r="D349" s="36"/>
    </row>
    <row r="350">
      <c r="B350" s="18"/>
      <c r="C350" s="36"/>
      <c r="D350" s="36"/>
    </row>
    <row r="351">
      <c r="B351" s="18"/>
      <c r="C351" s="36"/>
      <c r="D351" s="36"/>
    </row>
    <row r="352">
      <c r="B352" s="18"/>
      <c r="C352" s="36"/>
      <c r="D352" s="36"/>
    </row>
    <row r="353">
      <c r="B353" s="18"/>
      <c r="C353" s="36"/>
      <c r="D353" s="36"/>
    </row>
    <row r="354">
      <c r="B354" s="18"/>
      <c r="C354" s="36"/>
      <c r="D354" s="36"/>
    </row>
    <row r="355">
      <c r="B355" s="18"/>
      <c r="C355" s="36"/>
      <c r="D355" s="36"/>
    </row>
    <row r="356">
      <c r="B356" s="18"/>
      <c r="C356" s="36"/>
      <c r="D356" s="36"/>
    </row>
    <row r="357">
      <c r="B357" s="18"/>
      <c r="C357" s="36"/>
      <c r="D357" s="36"/>
    </row>
    <row r="358">
      <c r="B358" s="18"/>
      <c r="C358" s="36"/>
      <c r="D358" s="36"/>
    </row>
    <row r="359">
      <c r="B359" s="18"/>
      <c r="C359" s="36"/>
      <c r="D359" s="36"/>
    </row>
    <row r="360">
      <c r="B360" s="18"/>
      <c r="C360" s="36"/>
      <c r="D360" s="36"/>
    </row>
    <row r="361">
      <c r="B361" s="18"/>
      <c r="C361" s="36"/>
      <c r="D361" s="36"/>
    </row>
    <row r="362">
      <c r="B362" s="18"/>
      <c r="C362" s="36"/>
      <c r="D362" s="36"/>
    </row>
    <row r="363">
      <c r="B363" s="18"/>
      <c r="C363" s="36"/>
      <c r="D363" s="36"/>
    </row>
    <row r="364">
      <c r="B364" s="18"/>
      <c r="C364" s="36"/>
      <c r="D364" s="36"/>
    </row>
    <row r="365">
      <c r="B365" s="18"/>
      <c r="C365" s="36"/>
      <c r="D365" s="36"/>
    </row>
    <row r="366">
      <c r="B366" s="18"/>
      <c r="C366" s="36"/>
      <c r="D366" s="36"/>
    </row>
    <row r="367">
      <c r="B367" s="18"/>
      <c r="C367" s="36"/>
      <c r="D367" s="36"/>
    </row>
    <row r="368">
      <c r="B368" s="18"/>
      <c r="C368" s="36"/>
      <c r="D368" s="36"/>
    </row>
    <row r="369">
      <c r="B369" s="18"/>
      <c r="C369" s="36"/>
      <c r="D369" s="36"/>
    </row>
    <row r="370">
      <c r="B370" s="18"/>
      <c r="C370" s="36"/>
      <c r="D370" s="36"/>
    </row>
    <row r="371">
      <c r="B371" s="18"/>
      <c r="C371" s="36"/>
      <c r="D371" s="36"/>
    </row>
    <row r="372">
      <c r="B372" s="18"/>
      <c r="C372" s="36"/>
      <c r="D372" s="36"/>
    </row>
    <row r="373">
      <c r="B373" s="18"/>
      <c r="C373" s="36"/>
      <c r="D373" s="36"/>
    </row>
    <row r="374">
      <c r="B374" s="18"/>
      <c r="C374" s="36"/>
      <c r="D374" s="36"/>
    </row>
    <row r="375">
      <c r="B375" s="18"/>
      <c r="C375" s="36"/>
      <c r="D375" s="36"/>
    </row>
    <row r="376">
      <c r="B376" s="18"/>
      <c r="C376" s="36"/>
      <c r="D376" s="36"/>
    </row>
    <row r="377">
      <c r="B377" s="18"/>
      <c r="C377" s="36"/>
      <c r="D377" s="36"/>
    </row>
    <row r="378">
      <c r="B378" s="18"/>
      <c r="C378" s="36"/>
      <c r="D378" s="36"/>
    </row>
    <row r="379">
      <c r="B379" s="18"/>
      <c r="C379" s="36"/>
      <c r="D379" s="36"/>
    </row>
    <row r="380">
      <c r="B380" s="18"/>
      <c r="C380" s="36"/>
      <c r="D380" s="36"/>
    </row>
    <row r="381">
      <c r="B381" s="18"/>
      <c r="C381" s="36"/>
      <c r="D381" s="36"/>
    </row>
    <row r="382">
      <c r="B382" s="18"/>
      <c r="C382" s="36"/>
      <c r="D382" s="36"/>
    </row>
    <row r="383">
      <c r="B383" s="18"/>
      <c r="C383" s="36"/>
      <c r="D383" s="36"/>
    </row>
    <row r="384">
      <c r="B384" s="18"/>
      <c r="C384" s="36"/>
      <c r="D384" s="36"/>
    </row>
    <row r="385">
      <c r="B385" s="18"/>
      <c r="C385" s="36"/>
      <c r="D385" s="36"/>
    </row>
    <row r="386">
      <c r="B386" s="18"/>
      <c r="C386" s="36"/>
      <c r="D386" s="36"/>
    </row>
    <row r="387">
      <c r="B387" s="18"/>
      <c r="C387" s="36"/>
      <c r="D387" s="36"/>
    </row>
    <row r="388">
      <c r="B388" s="18"/>
      <c r="C388" s="36"/>
      <c r="D388" s="36"/>
    </row>
    <row r="389">
      <c r="B389" s="18"/>
      <c r="C389" s="36"/>
      <c r="D389" s="36"/>
    </row>
    <row r="390">
      <c r="B390" s="18"/>
      <c r="C390" s="36"/>
      <c r="D390" s="36"/>
    </row>
    <row r="391">
      <c r="B391" s="18"/>
      <c r="C391" s="36"/>
      <c r="D391" s="36"/>
    </row>
    <row r="392">
      <c r="B392" s="18"/>
      <c r="C392" s="36"/>
      <c r="D392" s="36"/>
    </row>
    <row r="393">
      <c r="B393" s="18"/>
      <c r="C393" s="36"/>
      <c r="D393" s="36"/>
    </row>
    <row r="394">
      <c r="B394" s="18"/>
      <c r="C394" s="36"/>
      <c r="D394" s="36"/>
    </row>
    <row r="395">
      <c r="B395" s="18"/>
      <c r="C395" s="36"/>
      <c r="D395" s="36"/>
    </row>
    <row r="396">
      <c r="B396" s="18"/>
      <c r="C396" s="36"/>
      <c r="D396" s="36"/>
    </row>
    <row r="397">
      <c r="B397" s="18"/>
      <c r="C397" s="36"/>
      <c r="D397" s="36"/>
    </row>
    <row r="398">
      <c r="B398" s="18"/>
      <c r="C398" s="36"/>
      <c r="D398" s="36"/>
    </row>
    <row r="399">
      <c r="B399" s="18"/>
      <c r="C399" s="36"/>
      <c r="D399" s="36"/>
    </row>
    <row r="400">
      <c r="B400" s="18"/>
      <c r="C400" s="36"/>
      <c r="D400" s="36"/>
    </row>
    <row r="401">
      <c r="B401" s="18"/>
      <c r="C401" s="36"/>
      <c r="D401" s="36"/>
    </row>
    <row r="402">
      <c r="B402" s="18"/>
      <c r="C402" s="36"/>
      <c r="D402" s="36"/>
    </row>
    <row r="403">
      <c r="B403" s="18"/>
      <c r="C403" s="36"/>
      <c r="D403" s="36"/>
    </row>
    <row r="404">
      <c r="B404" s="18"/>
      <c r="C404" s="36"/>
      <c r="D404" s="36"/>
    </row>
    <row r="405">
      <c r="B405" s="18"/>
      <c r="C405" s="36"/>
      <c r="D405" s="36"/>
    </row>
    <row r="406">
      <c r="B406" s="18"/>
      <c r="C406" s="36"/>
      <c r="D406" s="36"/>
    </row>
    <row r="407">
      <c r="B407" s="18"/>
      <c r="C407" s="36"/>
      <c r="D407" s="36"/>
    </row>
    <row r="408">
      <c r="B408" s="18"/>
      <c r="C408" s="36"/>
      <c r="D408" s="36"/>
    </row>
    <row r="409">
      <c r="B409" s="18"/>
      <c r="C409" s="36"/>
      <c r="D409" s="36"/>
    </row>
    <row r="410">
      <c r="B410" s="18"/>
      <c r="C410" s="36"/>
      <c r="D410" s="36"/>
    </row>
    <row r="411">
      <c r="B411" s="18"/>
      <c r="C411" s="36"/>
      <c r="D411" s="36"/>
    </row>
    <row r="412">
      <c r="B412" s="18"/>
      <c r="C412" s="36"/>
      <c r="D412" s="36"/>
    </row>
    <row r="413">
      <c r="B413" s="18"/>
      <c r="C413" s="36"/>
      <c r="D413" s="36"/>
    </row>
    <row r="414">
      <c r="B414" s="18"/>
      <c r="C414" s="36"/>
      <c r="D414" s="36"/>
    </row>
    <row r="415">
      <c r="B415" s="18"/>
      <c r="C415" s="36"/>
      <c r="D415" s="36"/>
    </row>
    <row r="416">
      <c r="B416" s="18"/>
      <c r="C416" s="36"/>
      <c r="D416" s="36"/>
    </row>
    <row r="417">
      <c r="B417" s="18"/>
      <c r="C417" s="36"/>
      <c r="D417" s="36"/>
    </row>
    <row r="418">
      <c r="B418" s="18"/>
      <c r="C418" s="36"/>
      <c r="D418" s="36"/>
    </row>
    <row r="419">
      <c r="B419" s="18"/>
      <c r="C419" s="36"/>
      <c r="D419" s="36"/>
    </row>
    <row r="420">
      <c r="B420" s="18"/>
      <c r="C420" s="36"/>
      <c r="D420" s="36"/>
    </row>
    <row r="421">
      <c r="B421" s="18"/>
      <c r="C421" s="36"/>
      <c r="D421" s="36"/>
    </row>
    <row r="422">
      <c r="B422" s="18"/>
      <c r="C422" s="36"/>
      <c r="D422" s="36"/>
    </row>
    <row r="423">
      <c r="B423" s="18"/>
      <c r="C423" s="36"/>
      <c r="D423" s="36"/>
    </row>
    <row r="424">
      <c r="B424" s="18"/>
      <c r="C424" s="36"/>
      <c r="D424" s="36"/>
    </row>
    <row r="425">
      <c r="B425" s="18"/>
      <c r="C425" s="36"/>
      <c r="D425" s="36"/>
    </row>
    <row r="426">
      <c r="B426" s="18"/>
      <c r="C426" s="36"/>
      <c r="D426" s="36"/>
    </row>
    <row r="427">
      <c r="B427" s="18"/>
      <c r="C427" s="36"/>
      <c r="D427" s="36"/>
    </row>
    <row r="428">
      <c r="B428" s="18"/>
      <c r="C428" s="36"/>
      <c r="D428" s="36"/>
    </row>
    <row r="429">
      <c r="B429" s="18"/>
      <c r="C429" s="36"/>
      <c r="D429" s="36"/>
    </row>
    <row r="430">
      <c r="B430" s="18"/>
      <c r="C430" s="36"/>
      <c r="D430" s="36"/>
    </row>
    <row r="431">
      <c r="B431" s="18"/>
      <c r="C431" s="36"/>
      <c r="D431" s="36"/>
    </row>
    <row r="432">
      <c r="B432" s="18"/>
      <c r="C432" s="36"/>
      <c r="D432" s="36"/>
    </row>
    <row r="433">
      <c r="B433" s="18"/>
      <c r="C433" s="36"/>
      <c r="D433" s="36"/>
    </row>
    <row r="434">
      <c r="B434" s="18"/>
      <c r="C434" s="36"/>
      <c r="D434" s="36"/>
    </row>
    <row r="435">
      <c r="B435" s="18"/>
      <c r="C435" s="36"/>
      <c r="D435" s="36"/>
    </row>
    <row r="436">
      <c r="B436" s="18"/>
      <c r="C436" s="36"/>
      <c r="D436" s="36"/>
    </row>
    <row r="437">
      <c r="B437" s="18"/>
      <c r="C437" s="36"/>
      <c r="D437" s="36"/>
    </row>
    <row r="438">
      <c r="B438" s="18"/>
      <c r="C438" s="36"/>
      <c r="D438" s="36"/>
    </row>
    <row r="439">
      <c r="B439" s="18"/>
      <c r="C439" s="36"/>
      <c r="D439" s="36"/>
    </row>
    <row r="440">
      <c r="B440" s="18"/>
      <c r="C440" s="36"/>
      <c r="D440" s="36"/>
    </row>
    <row r="441">
      <c r="B441" s="18"/>
      <c r="C441" s="36"/>
      <c r="D441" s="36"/>
    </row>
    <row r="442">
      <c r="B442" s="18"/>
      <c r="C442" s="36"/>
      <c r="D442" s="36"/>
    </row>
    <row r="443">
      <c r="B443" s="18"/>
      <c r="C443" s="36"/>
      <c r="D443" s="36"/>
    </row>
    <row r="444">
      <c r="B444" s="18"/>
      <c r="C444" s="36"/>
      <c r="D444" s="36"/>
    </row>
    <row r="445">
      <c r="B445" s="18"/>
      <c r="C445" s="36"/>
      <c r="D445" s="36"/>
    </row>
    <row r="446">
      <c r="B446" s="18"/>
      <c r="C446" s="36"/>
      <c r="D446" s="36"/>
    </row>
    <row r="447">
      <c r="B447" s="18"/>
      <c r="C447" s="36"/>
      <c r="D447" s="36"/>
    </row>
    <row r="448">
      <c r="B448" s="18"/>
      <c r="C448" s="36"/>
      <c r="D448" s="36"/>
    </row>
    <row r="449">
      <c r="B449" s="18"/>
      <c r="C449" s="36"/>
      <c r="D449" s="36"/>
    </row>
    <row r="450">
      <c r="B450" s="18"/>
      <c r="C450" s="36"/>
      <c r="D450" s="36"/>
    </row>
    <row r="451">
      <c r="B451" s="18"/>
      <c r="C451" s="36"/>
      <c r="D451" s="36"/>
    </row>
    <row r="452">
      <c r="B452" s="18"/>
      <c r="C452" s="36"/>
      <c r="D452" s="36"/>
    </row>
    <row r="453">
      <c r="B453" s="18"/>
      <c r="C453" s="36"/>
      <c r="D453" s="36"/>
    </row>
    <row r="454">
      <c r="B454" s="18"/>
      <c r="C454" s="36"/>
      <c r="D454" s="36"/>
    </row>
    <row r="455">
      <c r="B455" s="18"/>
      <c r="C455" s="36"/>
      <c r="D455" s="36"/>
    </row>
    <row r="456">
      <c r="B456" s="18"/>
      <c r="C456" s="36"/>
      <c r="D456" s="36"/>
    </row>
    <row r="457">
      <c r="B457" s="18"/>
      <c r="C457" s="36"/>
      <c r="D457" s="36"/>
    </row>
    <row r="458">
      <c r="B458" s="18"/>
      <c r="C458" s="36"/>
      <c r="D458" s="36"/>
    </row>
    <row r="459">
      <c r="B459" s="18"/>
      <c r="C459" s="36"/>
      <c r="D459" s="36"/>
    </row>
    <row r="460">
      <c r="B460" s="18"/>
      <c r="C460" s="36"/>
      <c r="D460" s="36"/>
    </row>
    <row r="461">
      <c r="B461" s="18"/>
      <c r="C461" s="36"/>
      <c r="D461" s="36"/>
    </row>
    <row r="462">
      <c r="B462" s="18"/>
      <c r="C462" s="36"/>
      <c r="D462" s="36"/>
    </row>
    <row r="463">
      <c r="B463" s="18"/>
      <c r="C463" s="36"/>
      <c r="D463" s="36"/>
    </row>
    <row r="464">
      <c r="B464" s="18"/>
      <c r="C464" s="36"/>
      <c r="D464" s="36"/>
    </row>
    <row r="465">
      <c r="B465" s="18"/>
      <c r="C465" s="36"/>
      <c r="D465" s="36"/>
    </row>
    <row r="466">
      <c r="B466" s="18"/>
      <c r="C466" s="36"/>
      <c r="D466" s="36"/>
    </row>
    <row r="467">
      <c r="B467" s="18"/>
      <c r="C467" s="36"/>
      <c r="D467" s="36"/>
    </row>
    <row r="468">
      <c r="B468" s="18"/>
      <c r="C468" s="36"/>
      <c r="D468" s="36"/>
    </row>
    <row r="469">
      <c r="B469" s="18"/>
      <c r="C469" s="36"/>
      <c r="D469" s="36"/>
    </row>
    <row r="470">
      <c r="B470" s="18"/>
      <c r="C470" s="36"/>
      <c r="D470" s="36"/>
    </row>
    <row r="471">
      <c r="B471" s="18"/>
      <c r="C471" s="36"/>
      <c r="D471" s="36"/>
    </row>
    <row r="472">
      <c r="B472" s="18"/>
      <c r="C472" s="36"/>
      <c r="D472" s="36"/>
    </row>
    <row r="473">
      <c r="B473" s="18"/>
      <c r="C473" s="36"/>
      <c r="D473" s="36"/>
    </row>
    <row r="474">
      <c r="B474" s="18"/>
      <c r="C474" s="36"/>
      <c r="D474" s="36"/>
    </row>
    <row r="475">
      <c r="B475" s="18"/>
      <c r="C475" s="36"/>
      <c r="D475" s="36"/>
    </row>
    <row r="476">
      <c r="B476" s="18"/>
      <c r="C476" s="36"/>
      <c r="D476" s="36"/>
    </row>
    <row r="477">
      <c r="B477" s="18"/>
      <c r="C477" s="36"/>
      <c r="D477" s="36"/>
    </row>
    <row r="478">
      <c r="B478" s="18"/>
      <c r="C478" s="36"/>
      <c r="D478" s="36"/>
    </row>
    <row r="479">
      <c r="B479" s="18"/>
      <c r="C479" s="36"/>
      <c r="D479" s="36"/>
    </row>
    <row r="480">
      <c r="B480" s="18"/>
      <c r="C480" s="36"/>
      <c r="D480" s="36"/>
    </row>
    <row r="481">
      <c r="B481" s="18"/>
      <c r="C481" s="36"/>
      <c r="D481" s="36"/>
    </row>
    <row r="482">
      <c r="B482" s="18"/>
      <c r="C482" s="36"/>
      <c r="D482" s="36"/>
    </row>
    <row r="483">
      <c r="B483" s="18"/>
      <c r="C483" s="36"/>
      <c r="D483" s="36"/>
    </row>
    <row r="484">
      <c r="B484" s="18"/>
      <c r="C484" s="36"/>
      <c r="D484" s="36"/>
    </row>
    <row r="485">
      <c r="B485" s="18"/>
      <c r="C485" s="36"/>
      <c r="D485" s="36"/>
    </row>
    <row r="486">
      <c r="B486" s="18"/>
      <c r="C486" s="36"/>
      <c r="D486" s="36"/>
    </row>
    <row r="487">
      <c r="B487" s="18"/>
      <c r="C487" s="36"/>
      <c r="D487" s="36"/>
    </row>
    <row r="488">
      <c r="B488" s="18"/>
      <c r="C488" s="36"/>
      <c r="D488" s="36"/>
    </row>
    <row r="489">
      <c r="B489" s="18"/>
      <c r="C489" s="36"/>
      <c r="D489" s="36"/>
    </row>
    <row r="490">
      <c r="B490" s="18"/>
      <c r="C490" s="36"/>
      <c r="D490" s="36"/>
    </row>
    <row r="491">
      <c r="B491" s="18"/>
      <c r="C491" s="36"/>
      <c r="D491" s="36"/>
    </row>
    <row r="492">
      <c r="B492" s="18"/>
      <c r="C492" s="36"/>
      <c r="D492" s="36"/>
    </row>
    <row r="493">
      <c r="B493" s="18"/>
      <c r="C493" s="36"/>
      <c r="D493" s="36"/>
    </row>
    <row r="494">
      <c r="B494" s="18"/>
      <c r="C494" s="36"/>
      <c r="D494" s="36"/>
    </row>
    <row r="495">
      <c r="B495" s="18"/>
      <c r="C495" s="36"/>
      <c r="D495" s="36"/>
    </row>
    <row r="496">
      <c r="B496" s="18"/>
      <c r="C496" s="36"/>
      <c r="D496" s="36"/>
    </row>
    <row r="497">
      <c r="B497" s="18"/>
      <c r="C497" s="36"/>
      <c r="D497" s="36"/>
    </row>
    <row r="498">
      <c r="B498" s="18"/>
      <c r="C498" s="36"/>
      <c r="D498" s="36"/>
    </row>
    <row r="499">
      <c r="B499" s="18"/>
      <c r="C499" s="36"/>
      <c r="D499" s="36"/>
    </row>
    <row r="500">
      <c r="B500" s="18"/>
      <c r="C500" s="36"/>
      <c r="D500" s="36"/>
    </row>
    <row r="501">
      <c r="B501" s="18"/>
      <c r="C501" s="36"/>
      <c r="D501" s="36"/>
    </row>
    <row r="502">
      <c r="B502" s="18"/>
      <c r="C502" s="36"/>
      <c r="D502" s="36"/>
    </row>
    <row r="503">
      <c r="B503" s="18"/>
      <c r="C503" s="36"/>
      <c r="D503" s="36"/>
    </row>
    <row r="504">
      <c r="B504" s="18"/>
      <c r="C504" s="36"/>
      <c r="D504" s="36"/>
    </row>
    <row r="505">
      <c r="B505" s="18"/>
      <c r="C505" s="36"/>
      <c r="D505" s="36"/>
    </row>
    <row r="506">
      <c r="B506" s="18"/>
      <c r="C506" s="36"/>
      <c r="D506" s="36"/>
    </row>
    <row r="507">
      <c r="B507" s="18"/>
      <c r="C507" s="36"/>
      <c r="D507" s="36"/>
    </row>
    <row r="508">
      <c r="B508" s="18"/>
      <c r="C508" s="36"/>
      <c r="D508" s="36"/>
    </row>
    <row r="509">
      <c r="B509" s="18"/>
      <c r="C509" s="36"/>
      <c r="D509" s="36"/>
    </row>
    <row r="510">
      <c r="B510" s="18"/>
      <c r="C510" s="36"/>
      <c r="D510" s="36"/>
    </row>
    <row r="511">
      <c r="B511" s="18"/>
      <c r="C511" s="36"/>
      <c r="D511" s="36"/>
    </row>
    <row r="512">
      <c r="B512" s="18"/>
      <c r="C512" s="36"/>
      <c r="D512" s="36"/>
    </row>
    <row r="513">
      <c r="B513" s="18"/>
      <c r="C513" s="36"/>
      <c r="D513" s="36"/>
    </row>
    <row r="514">
      <c r="B514" s="18"/>
      <c r="C514" s="36"/>
      <c r="D514" s="36"/>
    </row>
    <row r="515">
      <c r="B515" s="18"/>
      <c r="C515" s="36"/>
      <c r="D515" s="36"/>
    </row>
    <row r="516">
      <c r="B516" s="18"/>
      <c r="C516" s="36"/>
      <c r="D516" s="36"/>
    </row>
    <row r="517">
      <c r="B517" s="18"/>
      <c r="C517" s="36"/>
      <c r="D517" s="36"/>
    </row>
    <row r="518">
      <c r="B518" s="18"/>
      <c r="C518" s="36"/>
      <c r="D518" s="36"/>
    </row>
    <row r="519">
      <c r="B519" s="18"/>
      <c r="C519" s="36"/>
      <c r="D519" s="36"/>
    </row>
    <row r="520">
      <c r="B520" s="18"/>
      <c r="C520" s="36"/>
      <c r="D520" s="36"/>
    </row>
    <row r="521">
      <c r="B521" s="18"/>
      <c r="C521" s="36"/>
      <c r="D521" s="36"/>
    </row>
    <row r="522">
      <c r="B522" s="18"/>
      <c r="C522" s="36"/>
      <c r="D522" s="36"/>
    </row>
    <row r="523">
      <c r="B523" s="18"/>
      <c r="C523" s="36"/>
      <c r="D523" s="36"/>
    </row>
    <row r="524">
      <c r="B524" s="18"/>
      <c r="C524" s="36"/>
      <c r="D524" s="36"/>
    </row>
    <row r="525">
      <c r="B525" s="18"/>
      <c r="C525" s="36"/>
      <c r="D525" s="36"/>
    </row>
    <row r="526">
      <c r="B526" s="18"/>
      <c r="C526" s="36"/>
      <c r="D526" s="36"/>
    </row>
    <row r="527">
      <c r="B527" s="18"/>
      <c r="C527" s="36"/>
      <c r="D527" s="36"/>
    </row>
    <row r="528">
      <c r="B528" s="18"/>
      <c r="C528" s="36"/>
      <c r="D528" s="36"/>
    </row>
    <row r="529">
      <c r="B529" s="18"/>
      <c r="C529" s="36"/>
      <c r="D529" s="36"/>
    </row>
    <row r="530">
      <c r="B530" s="18"/>
      <c r="C530" s="36"/>
      <c r="D530" s="36"/>
    </row>
    <row r="531">
      <c r="B531" s="18"/>
      <c r="C531" s="36"/>
      <c r="D531" s="36"/>
    </row>
    <row r="532">
      <c r="B532" s="18"/>
      <c r="C532" s="36"/>
      <c r="D532" s="36"/>
    </row>
    <row r="533">
      <c r="B533" s="18"/>
      <c r="C533" s="36"/>
      <c r="D533" s="36"/>
    </row>
    <row r="534">
      <c r="B534" s="18"/>
      <c r="C534" s="36"/>
      <c r="D534" s="36"/>
    </row>
    <row r="535">
      <c r="B535" s="18"/>
      <c r="C535" s="36"/>
      <c r="D535" s="36"/>
    </row>
    <row r="536">
      <c r="B536" s="18"/>
      <c r="C536" s="36"/>
      <c r="D536" s="36"/>
    </row>
    <row r="537">
      <c r="B537" s="18"/>
      <c r="C537" s="36"/>
      <c r="D537" s="36"/>
    </row>
    <row r="538">
      <c r="B538" s="18"/>
      <c r="C538" s="36"/>
      <c r="D538" s="36"/>
    </row>
    <row r="539">
      <c r="B539" s="18"/>
      <c r="C539" s="36"/>
      <c r="D539" s="36"/>
    </row>
    <row r="540">
      <c r="B540" s="18"/>
      <c r="C540" s="36"/>
      <c r="D540" s="36"/>
    </row>
    <row r="541">
      <c r="B541" s="18"/>
      <c r="C541" s="36"/>
      <c r="D541" s="36"/>
    </row>
    <row r="542">
      <c r="B542" s="18"/>
      <c r="C542" s="36"/>
      <c r="D542" s="36"/>
    </row>
    <row r="543">
      <c r="B543" s="18"/>
      <c r="C543" s="36"/>
      <c r="D543" s="36"/>
    </row>
    <row r="544">
      <c r="B544" s="18"/>
      <c r="C544" s="36"/>
      <c r="D544" s="36"/>
    </row>
    <row r="545">
      <c r="B545" s="18"/>
      <c r="C545" s="36"/>
      <c r="D545" s="36"/>
    </row>
    <row r="546">
      <c r="B546" s="18"/>
      <c r="C546" s="36"/>
      <c r="D546" s="36"/>
    </row>
    <row r="547">
      <c r="B547" s="18"/>
      <c r="C547" s="36"/>
      <c r="D547" s="36"/>
    </row>
    <row r="548">
      <c r="B548" s="18"/>
      <c r="C548" s="36"/>
      <c r="D548" s="36"/>
    </row>
    <row r="549">
      <c r="B549" s="18"/>
      <c r="C549" s="36"/>
      <c r="D549" s="36"/>
    </row>
    <row r="550">
      <c r="B550" s="18"/>
      <c r="C550" s="36"/>
      <c r="D550" s="36"/>
    </row>
    <row r="551">
      <c r="B551" s="18"/>
      <c r="C551" s="36"/>
      <c r="D551" s="36"/>
    </row>
    <row r="552">
      <c r="B552" s="18"/>
      <c r="C552" s="36"/>
      <c r="D552" s="36"/>
    </row>
    <row r="553">
      <c r="B553" s="18"/>
      <c r="C553" s="36"/>
      <c r="D553" s="36"/>
    </row>
    <row r="554">
      <c r="B554" s="18"/>
      <c r="C554" s="36"/>
      <c r="D554" s="36"/>
    </row>
    <row r="555">
      <c r="B555" s="18"/>
      <c r="C555" s="36"/>
      <c r="D555" s="36"/>
    </row>
    <row r="556">
      <c r="B556" s="18"/>
      <c r="C556" s="36"/>
      <c r="D556" s="36"/>
    </row>
    <row r="557">
      <c r="B557" s="18"/>
      <c r="C557" s="36"/>
      <c r="D557" s="36"/>
    </row>
    <row r="558">
      <c r="B558" s="18"/>
      <c r="C558" s="36"/>
      <c r="D558" s="36"/>
    </row>
    <row r="559">
      <c r="B559" s="18"/>
      <c r="C559" s="36"/>
      <c r="D559" s="36"/>
    </row>
    <row r="560">
      <c r="B560" s="18"/>
      <c r="C560" s="36"/>
      <c r="D560" s="36"/>
    </row>
    <row r="561">
      <c r="B561" s="18"/>
      <c r="C561" s="36"/>
      <c r="D561" s="36"/>
    </row>
    <row r="562">
      <c r="B562" s="18"/>
      <c r="C562" s="36"/>
      <c r="D562" s="36"/>
    </row>
    <row r="563">
      <c r="B563" s="18"/>
      <c r="C563" s="36"/>
      <c r="D563" s="36"/>
    </row>
    <row r="564">
      <c r="B564" s="18"/>
      <c r="C564" s="36"/>
      <c r="D564" s="36"/>
    </row>
    <row r="565">
      <c r="B565" s="18"/>
      <c r="C565" s="36"/>
      <c r="D565" s="36"/>
    </row>
    <row r="566">
      <c r="B566" s="18"/>
      <c r="C566" s="36"/>
      <c r="D566" s="36"/>
    </row>
    <row r="567">
      <c r="B567" s="18"/>
      <c r="C567" s="36"/>
      <c r="D567" s="36"/>
    </row>
    <row r="568">
      <c r="B568" s="18"/>
      <c r="C568" s="36"/>
      <c r="D568" s="36"/>
    </row>
    <row r="569">
      <c r="B569" s="18"/>
      <c r="C569" s="36"/>
      <c r="D569" s="36"/>
    </row>
    <row r="570">
      <c r="B570" s="18"/>
      <c r="C570" s="36"/>
      <c r="D570" s="36"/>
    </row>
    <row r="571">
      <c r="B571" s="18"/>
      <c r="C571" s="36"/>
      <c r="D571" s="36"/>
    </row>
    <row r="572">
      <c r="B572" s="18"/>
      <c r="C572" s="36"/>
      <c r="D572" s="36"/>
    </row>
    <row r="573">
      <c r="B573" s="18"/>
      <c r="C573" s="36"/>
      <c r="D573" s="36"/>
    </row>
    <row r="574">
      <c r="B574" s="18"/>
      <c r="C574" s="36"/>
      <c r="D574" s="36"/>
    </row>
    <row r="575">
      <c r="B575" s="18"/>
      <c r="C575" s="36"/>
      <c r="D575" s="36"/>
    </row>
    <row r="576">
      <c r="B576" s="18"/>
      <c r="C576" s="36"/>
      <c r="D576" s="36"/>
    </row>
    <row r="577">
      <c r="B577" s="18"/>
      <c r="C577" s="36"/>
      <c r="D577" s="36"/>
    </row>
    <row r="578">
      <c r="B578" s="18"/>
      <c r="C578" s="36"/>
      <c r="D578" s="36"/>
    </row>
    <row r="579">
      <c r="B579" s="18"/>
      <c r="C579" s="36"/>
      <c r="D579" s="36"/>
    </row>
    <row r="580">
      <c r="B580" s="18"/>
      <c r="C580" s="36"/>
      <c r="D580" s="36"/>
    </row>
    <row r="581">
      <c r="B581" s="18"/>
      <c r="C581" s="36"/>
      <c r="D581" s="36"/>
    </row>
    <row r="582">
      <c r="B582" s="18"/>
      <c r="C582" s="36"/>
      <c r="D582" s="36"/>
    </row>
    <row r="583">
      <c r="B583" s="18"/>
      <c r="C583" s="36"/>
      <c r="D583" s="36"/>
    </row>
    <row r="584">
      <c r="B584" s="18"/>
      <c r="C584" s="36"/>
      <c r="D584" s="36"/>
    </row>
    <row r="585">
      <c r="B585" s="18"/>
      <c r="C585" s="36"/>
      <c r="D585" s="36"/>
    </row>
    <row r="586">
      <c r="B586" s="18"/>
      <c r="C586" s="36"/>
      <c r="D586" s="36"/>
    </row>
    <row r="587">
      <c r="B587" s="18"/>
      <c r="C587" s="36"/>
      <c r="D587" s="36"/>
    </row>
    <row r="588">
      <c r="B588" s="18"/>
      <c r="C588" s="36"/>
      <c r="D588" s="36"/>
    </row>
    <row r="589">
      <c r="B589" s="18"/>
      <c r="C589" s="36"/>
      <c r="D589" s="36"/>
    </row>
    <row r="590">
      <c r="B590" s="18"/>
      <c r="C590" s="36"/>
      <c r="D590" s="36"/>
    </row>
    <row r="591">
      <c r="B591" s="18"/>
      <c r="C591" s="36"/>
      <c r="D591" s="36"/>
    </row>
    <row r="592">
      <c r="B592" s="18"/>
      <c r="C592" s="36"/>
      <c r="D592" s="36"/>
    </row>
    <row r="593">
      <c r="B593" s="18"/>
      <c r="C593" s="36"/>
      <c r="D593" s="36"/>
    </row>
    <row r="594">
      <c r="B594" s="18"/>
      <c r="C594" s="36"/>
      <c r="D594" s="36"/>
    </row>
    <row r="595">
      <c r="B595" s="18"/>
      <c r="C595" s="36"/>
      <c r="D595" s="36"/>
    </row>
    <row r="596">
      <c r="B596" s="18"/>
      <c r="C596" s="36"/>
      <c r="D596" s="36"/>
    </row>
    <row r="597">
      <c r="B597" s="18"/>
      <c r="C597" s="36"/>
      <c r="D597" s="36"/>
    </row>
    <row r="598">
      <c r="B598" s="18"/>
      <c r="C598" s="36"/>
      <c r="D598" s="36"/>
    </row>
    <row r="599">
      <c r="B599" s="18"/>
      <c r="C599" s="36"/>
      <c r="D599" s="36"/>
    </row>
    <row r="600">
      <c r="B600" s="18"/>
      <c r="C600" s="36"/>
      <c r="D600" s="36"/>
    </row>
    <row r="601">
      <c r="B601" s="18"/>
      <c r="C601" s="36"/>
      <c r="D601" s="36"/>
    </row>
    <row r="602">
      <c r="B602" s="18"/>
      <c r="C602" s="36"/>
      <c r="D602" s="36"/>
    </row>
    <row r="603">
      <c r="B603" s="18"/>
      <c r="C603" s="36"/>
      <c r="D603" s="36"/>
    </row>
    <row r="604">
      <c r="B604" s="18"/>
      <c r="C604" s="36"/>
      <c r="D604" s="36"/>
    </row>
    <row r="605">
      <c r="B605" s="18"/>
      <c r="C605" s="36"/>
      <c r="D605" s="36"/>
    </row>
    <row r="606">
      <c r="B606" s="18"/>
      <c r="C606" s="36"/>
      <c r="D606" s="36"/>
    </row>
    <row r="607">
      <c r="B607" s="18"/>
      <c r="C607" s="36"/>
      <c r="D607" s="36"/>
    </row>
    <row r="608">
      <c r="B608" s="18"/>
      <c r="C608" s="36"/>
      <c r="D608" s="36"/>
    </row>
    <row r="609">
      <c r="B609" s="18"/>
      <c r="C609" s="36"/>
      <c r="D609" s="36"/>
    </row>
    <row r="610">
      <c r="B610" s="18"/>
      <c r="C610" s="36"/>
      <c r="D610" s="36"/>
    </row>
    <row r="611">
      <c r="B611" s="18"/>
      <c r="C611" s="36"/>
      <c r="D611" s="36"/>
    </row>
    <row r="612">
      <c r="B612" s="18"/>
      <c r="C612" s="36"/>
      <c r="D612" s="36"/>
    </row>
    <row r="613">
      <c r="B613" s="18"/>
      <c r="C613" s="36"/>
      <c r="D613" s="36"/>
    </row>
    <row r="614">
      <c r="B614" s="18"/>
      <c r="C614" s="36"/>
      <c r="D614" s="36"/>
    </row>
    <row r="615">
      <c r="B615" s="18"/>
      <c r="C615" s="36"/>
      <c r="D615" s="36"/>
    </row>
    <row r="616">
      <c r="B616" s="18"/>
      <c r="C616" s="36"/>
      <c r="D616" s="36"/>
    </row>
    <row r="617">
      <c r="B617" s="18"/>
      <c r="C617" s="36"/>
      <c r="D617" s="36"/>
    </row>
    <row r="618">
      <c r="B618" s="18"/>
      <c r="C618" s="36"/>
      <c r="D618" s="36"/>
    </row>
    <row r="619">
      <c r="B619" s="18"/>
      <c r="C619" s="36"/>
      <c r="D619" s="36"/>
    </row>
    <row r="620">
      <c r="B620" s="18"/>
      <c r="C620" s="36"/>
      <c r="D620" s="36"/>
    </row>
    <row r="621">
      <c r="B621" s="18"/>
      <c r="C621" s="36"/>
      <c r="D621" s="36"/>
    </row>
    <row r="622">
      <c r="B622" s="18"/>
      <c r="C622" s="36"/>
      <c r="D622" s="36"/>
    </row>
    <row r="623">
      <c r="B623" s="18"/>
      <c r="C623" s="36"/>
      <c r="D623" s="36"/>
    </row>
    <row r="624">
      <c r="B624" s="18"/>
      <c r="C624" s="36"/>
      <c r="D624" s="36"/>
    </row>
    <row r="625">
      <c r="B625" s="18"/>
      <c r="C625" s="36"/>
      <c r="D625" s="36"/>
    </row>
    <row r="626">
      <c r="B626" s="18"/>
      <c r="C626" s="36"/>
      <c r="D626" s="36"/>
    </row>
    <row r="627">
      <c r="B627" s="18"/>
      <c r="C627" s="36"/>
      <c r="D627" s="36"/>
    </row>
    <row r="628">
      <c r="B628" s="18"/>
      <c r="C628" s="36"/>
      <c r="D628" s="36"/>
    </row>
    <row r="629">
      <c r="B629" s="18"/>
      <c r="C629" s="36"/>
      <c r="D629" s="36"/>
    </row>
    <row r="630">
      <c r="B630" s="18"/>
      <c r="C630" s="36"/>
      <c r="D630" s="36"/>
    </row>
    <row r="631">
      <c r="B631" s="18"/>
      <c r="C631" s="36"/>
      <c r="D631" s="36"/>
    </row>
    <row r="632">
      <c r="B632" s="18"/>
      <c r="C632" s="36"/>
      <c r="D632" s="36"/>
    </row>
    <row r="633">
      <c r="B633" s="18"/>
      <c r="C633" s="36"/>
      <c r="D633" s="36"/>
    </row>
    <row r="634">
      <c r="B634" s="18"/>
      <c r="C634" s="36"/>
      <c r="D634" s="36"/>
    </row>
    <row r="635">
      <c r="B635" s="18"/>
      <c r="C635" s="36"/>
      <c r="D635" s="36"/>
    </row>
    <row r="636">
      <c r="B636" s="18"/>
      <c r="C636" s="36"/>
      <c r="D636" s="36"/>
    </row>
    <row r="637">
      <c r="B637" s="18"/>
      <c r="C637" s="36"/>
      <c r="D637" s="36"/>
    </row>
    <row r="638">
      <c r="B638" s="18"/>
      <c r="C638" s="36"/>
      <c r="D638" s="36"/>
    </row>
    <row r="639">
      <c r="B639" s="18"/>
      <c r="C639" s="36"/>
      <c r="D639" s="36"/>
    </row>
    <row r="640">
      <c r="B640" s="18"/>
      <c r="C640" s="36"/>
      <c r="D640" s="36"/>
    </row>
    <row r="641">
      <c r="B641" s="18"/>
      <c r="C641" s="36"/>
      <c r="D641" s="36"/>
    </row>
    <row r="642">
      <c r="B642" s="18"/>
      <c r="C642" s="36"/>
      <c r="D642" s="36"/>
    </row>
    <row r="643">
      <c r="B643" s="18"/>
      <c r="C643" s="36"/>
      <c r="D643" s="36"/>
    </row>
    <row r="644">
      <c r="B644" s="18"/>
      <c r="C644" s="36"/>
      <c r="D644" s="36"/>
    </row>
    <row r="645">
      <c r="B645" s="18"/>
      <c r="C645" s="36"/>
      <c r="D645" s="36"/>
    </row>
    <row r="646">
      <c r="B646" s="18"/>
      <c r="C646" s="36"/>
      <c r="D646" s="36"/>
    </row>
    <row r="647">
      <c r="B647" s="18"/>
      <c r="C647" s="36"/>
      <c r="D647" s="36"/>
    </row>
    <row r="648">
      <c r="B648" s="18"/>
      <c r="C648" s="36"/>
      <c r="D648" s="36"/>
    </row>
    <row r="649">
      <c r="B649" s="18"/>
      <c r="C649" s="36"/>
      <c r="D649" s="36"/>
    </row>
    <row r="650">
      <c r="B650" s="18"/>
      <c r="C650" s="36"/>
      <c r="D650" s="36"/>
    </row>
    <row r="651">
      <c r="B651" s="18"/>
      <c r="C651" s="36"/>
      <c r="D651" s="36"/>
    </row>
    <row r="652">
      <c r="B652" s="18"/>
      <c r="C652" s="36"/>
      <c r="D652" s="36"/>
    </row>
    <row r="653">
      <c r="B653" s="18"/>
      <c r="C653" s="36"/>
      <c r="D653" s="36"/>
    </row>
    <row r="654">
      <c r="B654" s="18"/>
      <c r="C654" s="36"/>
      <c r="D654" s="36"/>
    </row>
    <row r="655">
      <c r="B655" s="18"/>
      <c r="C655" s="36"/>
      <c r="D655" s="36"/>
    </row>
    <row r="656">
      <c r="B656" s="18"/>
      <c r="C656" s="36"/>
      <c r="D656" s="36"/>
    </row>
    <row r="657">
      <c r="B657" s="18"/>
      <c r="C657" s="36"/>
      <c r="D657" s="36"/>
    </row>
    <row r="658">
      <c r="B658" s="18"/>
      <c r="C658" s="36"/>
      <c r="D658" s="36"/>
    </row>
    <row r="659">
      <c r="B659" s="18"/>
      <c r="C659" s="36"/>
      <c r="D659" s="36"/>
    </row>
    <row r="660">
      <c r="B660" s="18"/>
      <c r="C660" s="36"/>
      <c r="D660" s="36"/>
    </row>
    <row r="661">
      <c r="B661" s="18"/>
      <c r="C661" s="36"/>
      <c r="D661" s="36"/>
    </row>
    <row r="662">
      <c r="B662" s="18"/>
      <c r="C662" s="36"/>
      <c r="D662" s="36"/>
    </row>
    <row r="663">
      <c r="B663" s="18"/>
      <c r="C663" s="36"/>
      <c r="D663" s="36"/>
    </row>
    <row r="664">
      <c r="B664" s="18"/>
      <c r="C664" s="36"/>
      <c r="D664" s="36"/>
    </row>
    <row r="665">
      <c r="B665" s="18"/>
      <c r="C665" s="36"/>
      <c r="D665" s="36"/>
    </row>
    <row r="666">
      <c r="B666" s="18"/>
      <c r="C666" s="36"/>
      <c r="D666" s="36"/>
    </row>
    <row r="667">
      <c r="B667" s="18"/>
      <c r="C667" s="36"/>
      <c r="D667" s="36"/>
    </row>
    <row r="668">
      <c r="B668" s="18"/>
      <c r="C668" s="36"/>
      <c r="D668" s="36"/>
    </row>
    <row r="669">
      <c r="B669" s="18"/>
      <c r="C669" s="36"/>
      <c r="D669" s="36"/>
    </row>
    <row r="670">
      <c r="B670" s="18"/>
      <c r="C670" s="36"/>
      <c r="D670" s="36"/>
    </row>
    <row r="671">
      <c r="B671" s="18"/>
      <c r="C671" s="36"/>
      <c r="D671" s="36"/>
    </row>
    <row r="672">
      <c r="B672" s="18"/>
      <c r="C672" s="36"/>
      <c r="D672" s="36"/>
    </row>
    <row r="673">
      <c r="B673" s="18"/>
      <c r="C673" s="36"/>
      <c r="D673" s="36"/>
    </row>
    <row r="674">
      <c r="B674" s="18"/>
      <c r="C674" s="36"/>
      <c r="D674" s="36"/>
    </row>
    <row r="675">
      <c r="B675" s="18"/>
      <c r="C675" s="36"/>
      <c r="D675" s="36"/>
    </row>
    <row r="676">
      <c r="B676" s="18"/>
      <c r="C676" s="36"/>
      <c r="D676" s="36"/>
    </row>
    <row r="677">
      <c r="B677" s="18"/>
      <c r="C677" s="36"/>
      <c r="D677" s="36"/>
    </row>
    <row r="678">
      <c r="B678" s="18"/>
      <c r="C678" s="36"/>
      <c r="D678" s="36"/>
    </row>
    <row r="679">
      <c r="B679" s="18"/>
      <c r="C679" s="36"/>
      <c r="D679" s="36"/>
    </row>
    <row r="680">
      <c r="B680" s="18"/>
      <c r="C680" s="36"/>
      <c r="D680" s="36"/>
    </row>
    <row r="681">
      <c r="B681" s="18"/>
      <c r="C681" s="36"/>
      <c r="D681" s="36"/>
    </row>
    <row r="682">
      <c r="B682" s="18"/>
      <c r="C682" s="36"/>
      <c r="D682" s="36"/>
    </row>
    <row r="683">
      <c r="B683" s="18"/>
      <c r="C683" s="36"/>
      <c r="D683" s="36"/>
    </row>
    <row r="684">
      <c r="B684" s="18"/>
      <c r="C684" s="36"/>
      <c r="D684" s="36"/>
    </row>
    <row r="685">
      <c r="B685" s="18"/>
      <c r="C685" s="36"/>
      <c r="D685" s="36"/>
    </row>
    <row r="686">
      <c r="B686" s="18"/>
      <c r="C686" s="36"/>
      <c r="D686" s="36"/>
    </row>
    <row r="687">
      <c r="B687" s="18"/>
      <c r="C687" s="36"/>
      <c r="D687" s="36"/>
    </row>
    <row r="688">
      <c r="B688" s="18"/>
      <c r="C688" s="36"/>
      <c r="D688" s="36"/>
    </row>
    <row r="689">
      <c r="B689" s="18"/>
      <c r="C689" s="36"/>
      <c r="D689" s="36"/>
    </row>
    <row r="690">
      <c r="B690" s="18"/>
      <c r="C690" s="36"/>
      <c r="D690" s="36"/>
    </row>
    <row r="691">
      <c r="B691" s="18"/>
      <c r="C691" s="36"/>
      <c r="D691" s="36"/>
    </row>
    <row r="692">
      <c r="B692" s="18"/>
      <c r="C692" s="36"/>
      <c r="D692" s="36"/>
    </row>
    <row r="693">
      <c r="B693" s="18"/>
      <c r="C693" s="36"/>
      <c r="D693" s="36"/>
    </row>
    <row r="694">
      <c r="B694" s="18"/>
      <c r="C694" s="36"/>
      <c r="D694" s="36"/>
    </row>
    <row r="695">
      <c r="B695" s="18"/>
      <c r="C695" s="36"/>
      <c r="D695" s="36"/>
    </row>
    <row r="696">
      <c r="B696" s="18"/>
      <c r="C696" s="36"/>
      <c r="D696" s="36"/>
    </row>
    <row r="697">
      <c r="B697" s="18"/>
      <c r="C697" s="36"/>
      <c r="D697" s="36"/>
    </row>
    <row r="698">
      <c r="B698" s="18"/>
      <c r="C698" s="36"/>
      <c r="D698" s="36"/>
    </row>
    <row r="699">
      <c r="B699" s="18"/>
      <c r="C699" s="36"/>
      <c r="D699" s="36"/>
    </row>
    <row r="700">
      <c r="B700" s="18"/>
      <c r="C700" s="36"/>
      <c r="D700" s="36"/>
    </row>
    <row r="701">
      <c r="B701" s="18"/>
      <c r="C701" s="36"/>
      <c r="D701" s="36"/>
    </row>
    <row r="702">
      <c r="B702" s="18"/>
      <c r="C702" s="36"/>
      <c r="D702" s="36"/>
    </row>
    <row r="703">
      <c r="B703" s="18"/>
      <c r="C703" s="36"/>
      <c r="D703" s="36"/>
    </row>
    <row r="704">
      <c r="B704" s="18"/>
      <c r="C704" s="36"/>
      <c r="D704" s="36"/>
    </row>
    <row r="705">
      <c r="B705" s="18"/>
      <c r="C705" s="36"/>
      <c r="D705" s="36"/>
    </row>
    <row r="706">
      <c r="B706" s="18"/>
      <c r="C706" s="36"/>
      <c r="D706" s="36"/>
    </row>
    <row r="707">
      <c r="B707" s="18"/>
      <c r="C707" s="36"/>
      <c r="D707" s="36"/>
    </row>
    <row r="708">
      <c r="B708" s="18"/>
      <c r="C708" s="36"/>
      <c r="D708" s="36"/>
    </row>
    <row r="709">
      <c r="B709" s="18"/>
      <c r="C709" s="36"/>
      <c r="D709" s="36"/>
    </row>
    <row r="710">
      <c r="B710" s="18"/>
      <c r="C710" s="36"/>
      <c r="D710" s="36"/>
    </row>
    <row r="711">
      <c r="B711" s="18"/>
      <c r="C711" s="36"/>
      <c r="D711" s="36"/>
    </row>
    <row r="712">
      <c r="B712" s="18"/>
      <c r="C712" s="36"/>
      <c r="D712" s="36"/>
    </row>
    <row r="713">
      <c r="B713" s="18"/>
      <c r="C713" s="36"/>
      <c r="D713" s="36"/>
    </row>
    <row r="714">
      <c r="B714" s="18"/>
      <c r="C714" s="36"/>
      <c r="D714" s="36"/>
    </row>
    <row r="715">
      <c r="B715" s="18"/>
      <c r="C715" s="36"/>
      <c r="D715" s="36"/>
    </row>
    <row r="716">
      <c r="B716" s="18"/>
      <c r="C716" s="36"/>
      <c r="D716" s="36"/>
    </row>
    <row r="717">
      <c r="B717" s="18"/>
      <c r="C717" s="36"/>
      <c r="D717" s="36"/>
    </row>
    <row r="718">
      <c r="B718" s="18"/>
      <c r="C718" s="36"/>
      <c r="D718" s="36"/>
    </row>
    <row r="719">
      <c r="B719" s="18"/>
      <c r="C719" s="36"/>
      <c r="D719" s="36"/>
    </row>
    <row r="720">
      <c r="B720" s="18"/>
      <c r="C720" s="36"/>
      <c r="D720" s="36"/>
    </row>
    <row r="721">
      <c r="B721" s="18"/>
      <c r="C721" s="36"/>
      <c r="D721" s="36"/>
    </row>
    <row r="722">
      <c r="B722" s="18"/>
      <c r="C722" s="36"/>
      <c r="D722" s="36"/>
    </row>
    <row r="723">
      <c r="B723" s="18"/>
      <c r="C723" s="36"/>
      <c r="D723" s="36"/>
    </row>
    <row r="724">
      <c r="B724" s="18"/>
      <c r="C724" s="36"/>
      <c r="D724" s="36"/>
    </row>
    <row r="725">
      <c r="B725" s="18"/>
      <c r="C725" s="36"/>
      <c r="D725" s="36"/>
    </row>
    <row r="726">
      <c r="B726" s="18"/>
      <c r="C726" s="36"/>
      <c r="D726" s="36"/>
    </row>
    <row r="727">
      <c r="B727" s="18"/>
      <c r="C727" s="36"/>
      <c r="D727" s="36"/>
    </row>
    <row r="728">
      <c r="B728" s="18"/>
      <c r="C728" s="36"/>
      <c r="D728" s="36"/>
    </row>
    <row r="729">
      <c r="B729" s="18"/>
      <c r="C729" s="36"/>
      <c r="D729" s="36"/>
    </row>
    <row r="730">
      <c r="B730" s="18"/>
      <c r="C730" s="36"/>
      <c r="D730" s="36"/>
    </row>
    <row r="731">
      <c r="B731" s="18"/>
      <c r="C731" s="36"/>
      <c r="D731" s="36"/>
    </row>
    <row r="732">
      <c r="B732" s="18"/>
      <c r="C732" s="36"/>
      <c r="D732" s="36"/>
    </row>
    <row r="733">
      <c r="B733" s="18"/>
      <c r="C733" s="36"/>
      <c r="D733" s="36"/>
    </row>
    <row r="734">
      <c r="B734" s="18"/>
      <c r="C734" s="36"/>
      <c r="D734" s="36"/>
    </row>
    <row r="735">
      <c r="B735" s="18"/>
      <c r="C735" s="36"/>
      <c r="D735" s="36"/>
    </row>
    <row r="736">
      <c r="B736" s="18"/>
      <c r="C736" s="36"/>
      <c r="D736" s="36"/>
    </row>
    <row r="737">
      <c r="B737" s="18"/>
      <c r="C737" s="36"/>
      <c r="D737" s="36"/>
    </row>
    <row r="738">
      <c r="B738" s="18"/>
      <c r="C738" s="36"/>
      <c r="D738" s="36"/>
    </row>
    <row r="739">
      <c r="B739" s="18"/>
      <c r="C739" s="36"/>
      <c r="D739" s="36"/>
    </row>
    <row r="740">
      <c r="B740" s="18"/>
      <c r="C740" s="36"/>
      <c r="D740" s="36"/>
    </row>
    <row r="741">
      <c r="B741" s="18"/>
      <c r="C741" s="36"/>
      <c r="D741" s="36"/>
    </row>
    <row r="742">
      <c r="B742" s="18"/>
      <c r="C742" s="36"/>
      <c r="D742" s="36"/>
    </row>
    <row r="743">
      <c r="B743" s="18"/>
      <c r="C743" s="36"/>
      <c r="D743" s="36"/>
    </row>
    <row r="744">
      <c r="B744" s="18"/>
      <c r="C744" s="36"/>
      <c r="D744" s="36"/>
    </row>
    <row r="745">
      <c r="B745" s="18"/>
      <c r="C745" s="36"/>
      <c r="D745" s="36"/>
    </row>
    <row r="746">
      <c r="B746" s="18"/>
      <c r="C746" s="36"/>
      <c r="D746" s="36"/>
    </row>
    <row r="747">
      <c r="B747" s="18"/>
      <c r="C747" s="36"/>
      <c r="D747" s="36"/>
    </row>
    <row r="748">
      <c r="B748" s="18"/>
      <c r="C748" s="36"/>
      <c r="D748" s="36"/>
    </row>
    <row r="749">
      <c r="B749" s="18"/>
      <c r="C749" s="36"/>
      <c r="D749" s="36"/>
    </row>
    <row r="750">
      <c r="B750" s="18"/>
      <c r="C750" s="36"/>
      <c r="D750" s="36"/>
    </row>
    <row r="751">
      <c r="B751" s="18"/>
      <c r="C751" s="36"/>
      <c r="D751" s="36"/>
    </row>
    <row r="752">
      <c r="B752" s="18"/>
      <c r="C752" s="36"/>
      <c r="D752" s="36"/>
    </row>
    <row r="753">
      <c r="B753" s="18"/>
      <c r="C753" s="36"/>
      <c r="D753" s="36"/>
    </row>
    <row r="754">
      <c r="B754" s="18"/>
      <c r="C754" s="36"/>
      <c r="D754" s="36"/>
    </row>
    <row r="755">
      <c r="B755" s="18"/>
      <c r="C755" s="36"/>
      <c r="D755" s="36"/>
    </row>
    <row r="756">
      <c r="B756" s="18"/>
      <c r="C756" s="36"/>
      <c r="D756" s="36"/>
    </row>
    <row r="757">
      <c r="B757" s="18"/>
      <c r="C757" s="36"/>
      <c r="D757" s="36"/>
    </row>
    <row r="758">
      <c r="B758" s="18"/>
      <c r="C758" s="36"/>
      <c r="D758" s="36"/>
    </row>
    <row r="759">
      <c r="B759" s="18"/>
      <c r="C759" s="36"/>
      <c r="D759" s="36"/>
    </row>
    <row r="760">
      <c r="B760" s="18"/>
      <c r="C760" s="36"/>
      <c r="D760" s="36"/>
    </row>
    <row r="761">
      <c r="B761" s="18"/>
      <c r="C761" s="36"/>
      <c r="D761" s="36"/>
    </row>
    <row r="762">
      <c r="B762" s="18"/>
      <c r="C762" s="36"/>
      <c r="D762" s="36"/>
    </row>
    <row r="763">
      <c r="B763" s="18"/>
      <c r="C763" s="36"/>
      <c r="D763" s="36"/>
    </row>
    <row r="764">
      <c r="B764" s="18"/>
      <c r="C764" s="36"/>
      <c r="D764" s="36"/>
    </row>
    <row r="765">
      <c r="B765" s="18"/>
      <c r="C765" s="36"/>
      <c r="D765" s="36"/>
    </row>
    <row r="766">
      <c r="B766" s="18"/>
      <c r="C766" s="36"/>
      <c r="D766" s="36"/>
    </row>
    <row r="767">
      <c r="B767" s="18"/>
      <c r="C767" s="36"/>
      <c r="D767" s="36"/>
    </row>
    <row r="768">
      <c r="B768" s="18"/>
      <c r="C768" s="36"/>
      <c r="D768" s="36"/>
    </row>
    <row r="769">
      <c r="B769" s="18"/>
      <c r="C769" s="36"/>
      <c r="D769" s="36"/>
    </row>
    <row r="770">
      <c r="B770" s="18"/>
      <c r="C770" s="36"/>
      <c r="D770" s="36"/>
    </row>
    <row r="771">
      <c r="B771" s="18"/>
      <c r="C771" s="36"/>
      <c r="D771" s="36"/>
    </row>
    <row r="772">
      <c r="B772" s="18"/>
      <c r="C772" s="36"/>
      <c r="D772" s="36"/>
    </row>
    <row r="773">
      <c r="B773" s="18"/>
      <c r="C773" s="36"/>
      <c r="D773" s="36"/>
    </row>
    <row r="774">
      <c r="B774" s="18"/>
      <c r="C774" s="36"/>
      <c r="D774" s="36"/>
    </row>
    <row r="775">
      <c r="B775" s="18"/>
      <c r="C775" s="36"/>
      <c r="D775" s="36"/>
    </row>
    <row r="776">
      <c r="B776" s="18"/>
      <c r="C776" s="36"/>
      <c r="D776" s="36"/>
    </row>
    <row r="777">
      <c r="B777" s="18"/>
      <c r="C777" s="36"/>
      <c r="D777" s="36"/>
    </row>
    <row r="778">
      <c r="B778" s="18"/>
      <c r="C778" s="36"/>
      <c r="D778" s="36"/>
    </row>
    <row r="779">
      <c r="B779" s="18"/>
      <c r="C779" s="36"/>
      <c r="D779" s="36"/>
    </row>
    <row r="780">
      <c r="B780" s="18"/>
      <c r="C780" s="36"/>
      <c r="D780" s="36"/>
    </row>
    <row r="781">
      <c r="B781" s="18"/>
      <c r="C781" s="36"/>
      <c r="D781" s="36"/>
    </row>
    <row r="782">
      <c r="B782" s="18"/>
      <c r="C782" s="36"/>
      <c r="D782" s="36"/>
    </row>
    <row r="783">
      <c r="B783" s="18"/>
      <c r="C783" s="36"/>
      <c r="D783" s="36"/>
    </row>
    <row r="784">
      <c r="B784" s="18"/>
      <c r="C784" s="36"/>
      <c r="D784" s="36"/>
    </row>
    <row r="785">
      <c r="B785" s="18"/>
      <c r="C785" s="36"/>
      <c r="D785" s="36"/>
    </row>
    <row r="786">
      <c r="B786" s="18"/>
      <c r="C786" s="36"/>
      <c r="D786" s="36"/>
    </row>
    <row r="787">
      <c r="B787" s="18"/>
      <c r="C787" s="36"/>
      <c r="D787" s="36"/>
    </row>
    <row r="788">
      <c r="B788" s="18"/>
      <c r="C788" s="36"/>
      <c r="D788" s="36"/>
    </row>
    <row r="789">
      <c r="B789" s="18"/>
      <c r="C789" s="36"/>
      <c r="D789" s="36"/>
    </row>
    <row r="790">
      <c r="B790" s="18"/>
      <c r="C790" s="36"/>
      <c r="D790" s="36"/>
    </row>
    <row r="791">
      <c r="B791" s="18"/>
      <c r="C791" s="36"/>
      <c r="D791" s="36"/>
    </row>
    <row r="792">
      <c r="B792" s="18"/>
      <c r="C792" s="36"/>
      <c r="D792" s="36"/>
    </row>
    <row r="793">
      <c r="B793" s="18"/>
      <c r="C793" s="36"/>
      <c r="D793" s="36"/>
    </row>
    <row r="794">
      <c r="B794" s="18"/>
      <c r="C794" s="36"/>
      <c r="D794" s="36"/>
    </row>
    <row r="795">
      <c r="B795" s="18"/>
      <c r="C795" s="36"/>
      <c r="D795" s="36"/>
    </row>
    <row r="796">
      <c r="B796" s="18"/>
      <c r="C796" s="36"/>
      <c r="D796" s="36"/>
    </row>
    <row r="797">
      <c r="B797" s="18"/>
      <c r="C797" s="36"/>
      <c r="D797" s="36"/>
    </row>
    <row r="798">
      <c r="B798" s="18"/>
      <c r="C798" s="36"/>
      <c r="D798" s="36"/>
    </row>
    <row r="799">
      <c r="B799" s="18"/>
      <c r="C799" s="36"/>
      <c r="D799" s="36"/>
    </row>
    <row r="800">
      <c r="B800" s="18"/>
      <c r="C800" s="36"/>
      <c r="D800" s="36"/>
    </row>
    <row r="801">
      <c r="B801" s="18"/>
      <c r="C801" s="36"/>
      <c r="D801" s="36"/>
    </row>
    <row r="802">
      <c r="B802" s="18"/>
      <c r="C802" s="36"/>
      <c r="D802" s="36"/>
    </row>
    <row r="803">
      <c r="B803" s="18"/>
      <c r="C803" s="36"/>
      <c r="D803" s="36"/>
    </row>
    <row r="804">
      <c r="B804" s="18"/>
      <c r="C804" s="36"/>
      <c r="D804" s="36"/>
    </row>
    <row r="805">
      <c r="B805" s="18"/>
      <c r="C805" s="36"/>
      <c r="D805" s="36"/>
    </row>
    <row r="806">
      <c r="B806" s="18"/>
      <c r="C806" s="36"/>
      <c r="D806" s="36"/>
    </row>
    <row r="807">
      <c r="B807" s="18"/>
      <c r="C807" s="36"/>
      <c r="D807" s="36"/>
    </row>
    <row r="808">
      <c r="B808" s="18"/>
      <c r="C808" s="36"/>
      <c r="D808" s="36"/>
    </row>
    <row r="809">
      <c r="B809" s="18"/>
      <c r="C809" s="36"/>
      <c r="D809" s="36"/>
    </row>
    <row r="810">
      <c r="B810" s="18"/>
      <c r="C810" s="36"/>
      <c r="D810" s="36"/>
    </row>
    <row r="811">
      <c r="B811" s="18"/>
      <c r="C811" s="36"/>
      <c r="D811" s="36"/>
    </row>
    <row r="812">
      <c r="B812" s="18"/>
      <c r="C812" s="36"/>
      <c r="D812" s="36"/>
    </row>
    <row r="813">
      <c r="B813" s="18"/>
      <c r="C813" s="36"/>
      <c r="D813" s="36"/>
    </row>
    <row r="814">
      <c r="B814" s="18"/>
      <c r="C814" s="36"/>
      <c r="D814" s="36"/>
    </row>
    <row r="815">
      <c r="B815" s="18"/>
      <c r="C815" s="36"/>
      <c r="D815" s="36"/>
    </row>
    <row r="816">
      <c r="B816" s="18"/>
      <c r="C816" s="36"/>
      <c r="D816" s="36"/>
    </row>
    <row r="817">
      <c r="B817" s="18"/>
      <c r="C817" s="36"/>
      <c r="D817" s="36"/>
    </row>
    <row r="818">
      <c r="B818" s="18"/>
      <c r="C818" s="36"/>
      <c r="D818" s="36"/>
    </row>
    <row r="819">
      <c r="B819" s="18"/>
      <c r="C819" s="36"/>
      <c r="D819" s="36"/>
    </row>
    <row r="820">
      <c r="B820" s="18"/>
      <c r="C820" s="36"/>
      <c r="D820" s="36"/>
    </row>
    <row r="821">
      <c r="B821" s="18"/>
      <c r="C821" s="36"/>
      <c r="D821" s="36"/>
    </row>
    <row r="822">
      <c r="B822" s="18"/>
      <c r="C822" s="36"/>
      <c r="D822" s="36"/>
    </row>
    <row r="823">
      <c r="B823" s="18"/>
      <c r="C823" s="36"/>
      <c r="D823" s="36"/>
    </row>
    <row r="824">
      <c r="B824" s="18"/>
      <c r="C824" s="36"/>
      <c r="D824" s="36"/>
    </row>
    <row r="825">
      <c r="B825" s="18"/>
      <c r="C825" s="36"/>
      <c r="D825" s="36"/>
    </row>
    <row r="826">
      <c r="B826" s="18"/>
      <c r="C826" s="36"/>
      <c r="D826" s="36"/>
    </row>
    <row r="827">
      <c r="B827" s="18"/>
      <c r="C827" s="36"/>
      <c r="D827" s="36"/>
    </row>
    <row r="828">
      <c r="B828" s="18"/>
      <c r="C828" s="36"/>
      <c r="D828" s="36"/>
    </row>
    <row r="829">
      <c r="B829" s="18"/>
      <c r="C829" s="36"/>
      <c r="D829" s="36"/>
    </row>
    <row r="830">
      <c r="B830" s="18"/>
      <c r="C830" s="36"/>
      <c r="D830" s="36"/>
    </row>
    <row r="831">
      <c r="B831" s="18"/>
      <c r="C831" s="36"/>
      <c r="D831" s="36"/>
    </row>
    <row r="832">
      <c r="B832" s="18"/>
      <c r="C832" s="36"/>
      <c r="D832" s="36"/>
    </row>
    <row r="833">
      <c r="B833" s="18"/>
      <c r="C833" s="36"/>
      <c r="D833" s="36"/>
    </row>
    <row r="834">
      <c r="B834" s="18"/>
      <c r="C834" s="36"/>
      <c r="D834" s="36"/>
    </row>
    <row r="835">
      <c r="B835" s="18"/>
      <c r="C835" s="36"/>
      <c r="D835" s="36"/>
    </row>
    <row r="836">
      <c r="B836" s="18"/>
      <c r="C836" s="36"/>
      <c r="D836" s="36"/>
    </row>
    <row r="837">
      <c r="B837" s="18"/>
      <c r="C837" s="36"/>
      <c r="D837" s="36"/>
    </row>
    <row r="838">
      <c r="B838" s="18"/>
      <c r="C838" s="36"/>
      <c r="D838" s="36"/>
    </row>
    <row r="839">
      <c r="B839" s="18"/>
      <c r="C839" s="36"/>
      <c r="D839" s="36"/>
    </row>
    <row r="840">
      <c r="B840" s="18"/>
      <c r="C840" s="36"/>
      <c r="D840" s="36"/>
    </row>
    <row r="841">
      <c r="B841" s="18"/>
      <c r="C841" s="36"/>
      <c r="D841" s="36"/>
    </row>
    <row r="842">
      <c r="B842" s="18"/>
      <c r="C842" s="36"/>
      <c r="D842" s="36"/>
    </row>
    <row r="843">
      <c r="B843" s="18"/>
      <c r="C843" s="36"/>
      <c r="D843" s="36"/>
    </row>
    <row r="844">
      <c r="B844" s="18"/>
      <c r="C844" s="36"/>
      <c r="D844" s="36"/>
    </row>
    <row r="845">
      <c r="B845" s="18"/>
      <c r="C845" s="36"/>
      <c r="D845" s="36"/>
    </row>
    <row r="846">
      <c r="B846" s="18"/>
      <c r="C846" s="36"/>
      <c r="D846" s="36"/>
    </row>
    <row r="847">
      <c r="B847" s="18"/>
      <c r="C847" s="36"/>
      <c r="D847" s="36"/>
    </row>
    <row r="848">
      <c r="B848" s="18"/>
      <c r="C848" s="36"/>
      <c r="D848" s="36"/>
    </row>
    <row r="849">
      <c r="B849" s="18"/>
      <c r="C849" s="36"/>
      <c r="D849" s="36"/>
    </row>
    <row r="850">
      <c r="B850" s="18"/>
      <c r="C850" s="36"/>
      <c r="D850" s="36"/>
    </row>
    <row r="851">
      <c r="B851" s="18"/>
      <c r="C851" s="36"/>
      <c r="D851" s="36"/>
    </row>
    <row r="852">
      <c r="B852" s="18"/>
      <c r="C852" s="36"/>
      <c r="D852" s="36"/>
    </row>
    <row r="853">
      <c r="B853" s="18"/>
      <c r="C853" s="36"/>
      <c r="D853" s="36"/>
    </row>
    <row r="854">
      <c r="B854" s="18"/>
      <c r="C854" s="36"/>
      <c r="D854" s="36"/>
    </row>
    <row r="855">
      <c r="B855" s="18"/>
      <c r="C855" s="36"/>
      <c r="D855" s="36"/>
    </row>
    <row r="856">
      <c r="B856" s="18"/>
      <c r="C856" s="36"/>
      <c r="D856" s="36"/>
    </row>
    <row r="857">
      <c r="B857" s="18"/>
      <c r="C857" s="36"/>
      <c r="D857" s="36"/>
    </row>
    <row r="858">
      <c r="B858" s="18"/>
      <c r="C858" s="36"/>
      <c r="D858" s="36"/>
    </row>
    <row r="859">
      <c r="B859" s="18"/>
      <c r="C859" s="36"/>
      <c r="D859" s="36"/>
    </row>
    <row r="860">
      <c r="B860" s="18"/>
      <c r="C860" s="36"/>
      <c r="D860" s="36"/>
    </row>
    <row r="861">
      <c r="B861" s="18"/>
      <c r="C861" s="36"/>
      <c r="D861" s="36"/>
    </row>
    <row r="862">
      <c r="B862" s="18"/>
      <c r="C862" s="36"/>
      <c r="D862" s="36"/>
    </row>
    <row r="863">
      <c r="B863" s="18"/>
      <c r="C863" s="36"/>
      <c r="D863" s="36"/>
    </row>
    <row r="864">
      <c r="B864" s="18"/>
      <c r="C864" s="36"/>
      <c r="D864" s="36"/>
    </row>
    <row r="865">
      <c r="B865" s="18"/>
      <c r="C865" s="36"/>
      <c r="D865" s="36"/>
    </row>
    <row r="866">
      <c r="B866" s="18"/>
      <c r="C866" s="36"/>
      <c r="D866" s="36"/>
    </row>
    <row r="867">
      <c r="B867" s="18"/>
      <c r="C867" s="36"/>
      <c r="D867" s="36"/>
    </row>
    <row r="868">
      <c r="B868" s="18"/>
      <c r="C868" s="36"/>
      <c r="D868" s="36"/>
    </row>
    <row r="869">
      <c r="B869" s="18"/>
      <c r="C869" s="36"/>
      <c r="D869" s="36"/>
    </row>
    <row r="870">
      <c r="B870" s="18"/>
      <c r="C870" s="36"/>
      <c r="D870" s="36"/>
    </row>
    <row r="871">
      <c r="B871" s="18"/>
      <c r="C871" s="36"/>
      <c r="D871" s="36"/>
    </row>
    <row r="872">
      <c r="B872" s="18"/>
      <c r="C872" s="36"/>
      <c r="D872" s="36"/>
    </row>
    <row r="873">
      <c r="B873" s="18"/>
      <c r="C873" s="36"/>
      <c r="D873" s="36"/>
    </row>
    <row r="874">
      <c r="B874" s="18"/>
      <c r="C874" s="36"/>
      <c r="D874" s="36"/>
    </row>
    <row r="875">
      <c r="B875" s="18"/>
      <c r="C875" s="36"/>
      <c r="D875" s="36"/>
    </row>
    <row r="876">
      <c r="B876" s="18"/>
      <c r="C876" s="36"/>
      <c r="D876" s="36"/>
    </row>
    <row r="877">
      <c r="B877" s="18"/>
      <c r="C877" s="36"/>
      <c r="D877" s="36"/>
    </row>
    <row r="878">
      <c r="B878" s="18"/>
      <c r="C878" s="36"/>
      <c r="D878" s="36"/>
    </row>
    <row r="879">
      <c r="B879" s="18"/>
      <c r="C879" s="36"/>
      <c r="D879" s="36"/>
    </row>
    <row r="880">
      <c r="B880" s="18"/>
      <c r="C880" s="36"/>
      <c r="D880" s="36"/>
    </row>
    <row r="881">
      <c r="B881" s="18"/>
      <c r="C881" s="36"/>
      <c r="D881" s="36"/>
    </row>
    <row r="882">
      <c r="B882" s="18"/>
      <c r="C882" s="36"/>
      <c r="D882" s="36"/>
    </row>
    <row r="883">
      <c r="B883" s="18"/>
      <c r="C883" s="36"/>
      <c r="D883" s="36"/>
    </row>
    <row r="884">
      <c r="B884" s="18"/>
      <c r="C884" s="36"/>
      <c r="D884" s="36"/>
    </row>
    <row r="885">
      <c r="B885" s="18"/>
      <c r="C885" s="36"/>
      <c r="D885" s="36"/>
    </row>
    <row r="886">
      <c r="B886" s="18"/>
      <c r="C886" s="36"/>
      <c r="D886" s="36"/>
    </row>
    <row r="887">
      <c r="B887" s="18"/>
      <c r="C887" s="36"/>
      <c r="D887" s="36"/>
    </row>
    <row r="888">
      <c r="B888" s="18"/>
      <c r="C888" s="36"/>
      <c r="D888" s="36"/>
    </row>
    <row r="889">
      <c r="B889" s="18"/>
      <c r="C889" s="36"/>
      <c r="D889" s="36"/>
    </row>
    <row r="890">
      <c r="B890" s="18"/>
      <c r="C890" s="36"/>
      <c r="D890" s="36"/>
    </row>
    <row r="891">
      <c r="B891" s="18"/>
      <c r="C891" s="36"/>
      <c r="D891" s="36"/>
    </row>
    <row r="892">
      <c r="B892" s="18"/>
      <c r="C892" s="36"/>
      <c r="D892" s="36"/>
    </row>
    <row r="893">
      <c r="B893" s="18"/>
      <c r="C893" s="36"/>
      <c r="D893" s="36"/>
    </row>
    <row r="894">
      <c r="B894" s="18"/>
      <c r="C894" s="36"/>
      <c r="D894" s="36"/>
    </row>
    <row r="895">
      <c r="B895" s="18"/>
      <c r="C895" s="36"/>
      <c r="D895" s="36"/>
    </row>
    <row r="896">
      <c r="B896" s="18"/>
      <c r="C896" s="36"/>
      <c r="D896" s="36"/>
    </row>
    <row r="897">
      <c r="B897" s="18"/>
      <c r="C897" s="36"/>
      <c r="D897" s="36"/>
    </row>
    <row r="898">
      <c r="B898" s="18"/>
      <c r="C898" s="36"/>
      <c r="D898" s="36"/>
    </row>
    <row r="899">
      <c r="B899" s="18"/>
      <c r="C899" s="36"/>
      <c r="D899" s="36"/>
    </row>
    <row r="900">
      <c r="B900" s="18"/>
      <c r="C900" s="36"/>
      <c r="D900" s="36"/>
    </row>
    <row r="901">
      <c r="B901" s="18"/>
      <c r="C901" s="36"/>
      <c r="D901" s="36"/>
    </row>
    <row r="902">
      <c r="B902" s="18"/>
      <c r="C902" s="36"/>
      <c r="D902" s="36"/>
    </row>
    <row r="903">
      <c r="B903" s="18"/>
      <c r="C903" s="36"/>
      <c r="D903" s="36"/>
    </row>
    <row r="904">
      <c r="B904" s="18"/>
      <c r="C904" s="36"/>
      <c r="D904" s="36"/>
    </row>
    <row r="905">
      <c r="B905" s="18"/>
      <c r="C905" s="36"/>
      <c r="D905" s="36"/>
    </row>
    <row r="906">
      <c r="B906" s="18"/>
      <c r="C906" s="36"/>
      <c r="D906" s="36"/>
    </row>
    <row r="907">
      <c r="B907" s="18"/>
      <c r="C907" s="36"/>
      <c r="D907" s="36"/>
    </row>
    <row r="908">
      <c r="B908" s="18"/>
      <c r="C908" s="36"/>
      <c r="D908" s="36"/>
    </row>
    <row r="909">
      <c r="B909" s="18"/>
      <c r="C909" s="36"/>
      <c r="D909" s="36"/>
    </row>
    <row r="910">
      <c r="B910" s="18"/>
      <c r="C910" s="36"/>
      <c r="D910" s="36"/>
    </row>
    <row r="911">
      <c r="B911" s="18"/>
      <c r="C911" s="36"/>
      <c r="D911" s="36"/>
    </row>
    <row r="912">
      <c r="B912" s="18"/>
      <c r="C912" s="36"/>
      <c r="D912" s="36"/>
    </row>
    <row r="913">
      <c r="B913" s="18"/>
      <c r="C913" s="36"/>
      <c r="D913" s="36"/>
    </row>
    <row r="914">
      <c r="B914" s="18"/>
      <c r="C914" s="36"/>
      <c r="D914" s="36"/>
    </row>
    <row r="915">
      <c r="B915" s="18"/>
      <c r="C915" s="36"/>
      <c r="D915" s="36"/>
    </row>
    <row r="916">
      <c r="B916" s="18"/>
      <c r="C916" s="36"/>
      <c r="D916" s="36"/>
    </row>
    <row r="917">
      <c r="B917" s="18"/>
      <c r="C917" s="36"/>
      <c r="D917" s="36"/>
    </row>
    <row r="918">
      <c r="B918" s="18"/>
      <c r="C918" s="36"/>
      <c r="D918" s="36"/>
    </row>
    <row r="919">
      <c r="B919" s="18"/>
      <c r="C919" s="36"/>
      <c r="D919" s="36"/>
    </row>
    <row r="920">
      <c r="B920" s="18"/>
      <c r="C920" s="36"/>
      <c r="D920" s="36"/>
    </row>
    <row r="921">
      <c r="B921" s="18"/>
      <c r="C921" s="36"/>
      <c r="D921" s="36"/>
    </row>
    <row r="922">
      <c r="B922" s="18"/>
      <c r="C922" s="36"/>
      <c r="D922" s="36"/>
    </row>
    <row r="923">
      <c r="B923" s="18"/>
      <c r="C923" s="36"/>
      <c r="D923" s="36"/>
    </row>
    <row r="924">
      <c r="B924" s="18"/>
      <c r="C924" s="36"/>
      <c r="D924" s="36"/>
    </row>
    <row r="925">
      <c r="B925" s="18"/>
      <c r="C925" s="36"/>
      <c r="D925" s="36"/>
    </row>
    <row r="926">
      <c r="B926" s="18"/>
      <c r="C926" s="36"/>
      <c r="D926" s="36"/>
    </row>
    <row r="927">
      <c r="B927" s="18"/>
      <c r="C927" s="36"/>
      <c r="D927" s="36"/>
    </row>
    <row r="928">
      <c r="B928" s="18"/>
      <c r="C928" s="36"/>
      <c r="D928" s="36"/>
    </row>
    <row r="929">
      <c r="B929" s="18"/>
      <c r="C929" s="36"/>
      <c r="D929" s="36"/>
    </row>
    <row r="930">
      <c r="B930" s="18"/>
      <c r="C930" s="36"/>
      <c r="D930" s="36"/>
    </row>
    <row r="931">
      <c r="B931" s="18"/>
      <c r="C931" s="36"/>
      <c r="D931" s="36"/>
    </row>
    <row r="932">
      <c r="B932" s="18"/>
      <c r="C932" s="36"/>
      <c r="D932" s="36"/>
    </row>
    <row r="933">
      <c r="B933" s="18"/>
      <c r="C933" s="36"/>
      <c r="D933" s="36"/>
    </row>
    <row r="934">
      <c r="B934" s="18"/>
      <c r="C934" s="36"/>
      <c r="D934" s="36"/>
    </row>
    <row r="935">
      <c r="B935" s="18"/>
      <c r="C935" s="36"/>
      <c r="D935" s="36"/>
    </row>
    <row r="936">
      <c r="B936" s="18"/>
      <c r="C936" s="36"/>
      <c r="D936" s="36"/>
    </row>
    <row r="937">
      <c r="B937" s="18"/>
      <c r="C937" s="36"/>
      <c r="D937" s="36"/>
    </row>
    <row r="938">
      <c r="B938" s="18"/>
      <c r="C938" s="36"/>
      <c r="D938" s="36"/>
    </row>
    <row r="939">
      <c r="B939" s="18"/>
      <c r="C939" s="36"/>
      <c r="D939" s="36"/>
    </row>
    <row r="940">
      <c r="B940" s="18"/>
      <c r="C940" s="36"/>
      <c r="D940" s="36"/>
    </row>
    <row r="941">
      <c r="B941" s="18"/>
      <c r="C941" s="36"/>
      <c r="D941" s="36"/>
    </row>
    <row r="942">
      <c r="B942" s="18"/>
      <c r="C942" s="36"/>
      <c r="D942" s="36"/>
    </row>
    <row r="943">
      <c r="B943" s="18"/>
      <c r="C943" s="36"/>
      <c r="D943" s="36"/>
    </row>
    <row r="944">
      <c r="B944" s="18"/>
      <c r="C944" s="36"/>
      <c r="D944" s="36"/>
    </row>
    <row r="945">
      <c r="B945" s="18"/>
      <c r="C945" s="36"/>
      <c r="D945" s="36"/>
    </row>
    <row r="946">
      <c r="B946" s="18"/>
      <c r="C946" s="36"/>
      <c r="D946" s="36"/>
    </row>
    <row r="947">
      <c r="B947" s="18"/>
      <c r="C947" s="36"/>
      <c r="D947" s="36"/>
    </row>
    <row r="948">
      <c r="B948" s="18"/>
      <c r="C948" s="36"/>
      <c r="D948" s="36"/>
    </row>
    <row r="949">
      <c r="B949" s="18"/>
      <c r="C949" s="36"/>
      <c r="D949" s="36"/>
    </row>
    <row r="950">
      <c r="B950" s="18"/>
      <c r="C950" s="36"/>
      <c r="D950" s="36"/>
    </row>
    <row r="951">
      <c r="B951" s="18"/>
      <c r="C951" s="36"/>
      <c r="D951" s="36"/>
    </row>
    <row r="952">
      <c r="B952" s="18"/>
      <c r="C952" s="36"/>
      <c r="D952" s="36"/>
    </row>
    <row r="953">
      <c r="B953" s="18"/>
      <c r="C953" s="36"/>
      <c r="D953" s="36"/>
    </row>
    <row r="954">
      <c r="B954" s="18"/>
      <c r="C954" s="36"/>
      <c r="D954" s="36"/>
    </row>
    <row r="955">
      <c r="B955" s="18"/>
      <c r="C955" s="36"/>
      <c r="D955" s="36"/>
    </row>
    <row r="956">
      <c r="B956" s="18"/>
      <c r="C956" s="36"/>
      <c r="D956" s="36"/>
    </row>
    <row r="957">
      <c r="B957" s="18"/>
      <c r="C957" s="36"/>
      <c r="D957" s="36"/>
    </row>
    <row r="958">
      <c r="B958" s="18"/>
      <c r="C958" s="36"/>
      <c r="D958" s="36"/>
    </row>
    <row r="959">
      <c r="B959" s="18"/>
      <c r="C959" s="36"/>
      <c r="D959" s="36"/>
    </row>
    <row r="960">
      <c r="B960" s="18"/>
      <c r="C960" s="36"/>
      <c r="D960" s="36"/>
    </row>
    <row r="961">
      <c r="B961" s="18"/>
      <c r="C961" s="36"/>
      <c r="D961" s="36"/>
    </row>
    <row r="962">
      <c r="B962" s="18"/>
      <c r="C962" s="36"/>
      <c r="D962" s="36"/>
    </row>
    <row r="963">
      <c r="B963" s="18"/>
      <c r="C963" s="36"/>
      <c r="D963" s="36"/>
    </row>
    <row r="964">
      <c r="B964" s="18"/>
      <c r="C964" s="36"/>
      <c r="D964" s="36"/>
    </row>
    <row r="965">
      <c r="B965" s="18"/>
      <c r="C965" s="36"/>
      <c r="D965" s="36"/>
    </row>
    <row r="966">
      <c r="B966" s="18"/>
      <c r="C966" s="36"/>
      <c r="D966" s="36"/>
    </row>
    <row r="967">
      <c r="B967" s="18"/>
      <c r="C967" s="36"/>
      <c r="D967" s="36"/>
    </row>
    <row r="968">
      <c r="B968" s="18"/>
      <c r="C968" s="36"/>
      <c r="D968" s="36"/>
    </row>
    <row r="969">
      <c r="B969" s="18"/>
      <c r="C969" s="36"/>
      <c r="D969" s="36"/>
    </row>
    <row r="970">
      <c r="B970" s="18"/>
      <c r="C970" s="36"/>
      <c r="D970" s="36"/>
    </row>
    <row r="971">
      <c r="B971" s="18"/>
      <c r="C971" s="36"/>
      <c r="D971" s="36"/>
    </row>
    <row r="972">
      <c r="B972" s="18"/>
      <c r="C972" s="36"/>
      <c r="D972" s="36"/>
    </row>
    <row r="973">
      <c r="B973" s="18"/>
      <c r="C973" s="36"/>
      <c r="D973" s="36"/>
    </row>
    <row r="974">
      <c r="B974" s="18"/>
      <c r="C974" s="36"/>
      <c r="D974" s="36"/>
    </row>
    <row r="975">
      <c r="B975" s="18"/>
      <c r="C975" s="36"/>
      <c r="D975" s="36"/>
    </row>
    <row r="976">
      <c r="B976" s="18"/>
      <c r="C976" s="36"/>
      <c r="D976" s="36"/>
    </row>
    <row r="977">
      <c r="B977" s="18"/>
      <c r="C977" s="36"/>
      <c r="D977" s="36"/>
    </row>
    <row r="978">
      <c r="B978" s="18"/>
      <c r="C978" s="36"/>
      <c r="D978" s="36"/>
    </row>
    <row r="979">
      <c r="B979" s="18"/>
      <c r="C979" s="36"/>
      <c r="D979" s="36"/>
    </row>
    <row r="980">
      <c r="B980" s="18"/>
      <c r="C980" s="36"/>
      <c r="D980" s="36"/>
    </row>
    <row r="981">
      <c r="B981" s="18"/>
      <c r="C981" s="36"/>
      <c r="D981" s="36"/>
    </row>
    <row r="982">
      <c r="B982" s="18"/>
      <c r="C982" s="36"/>
      <c r="D982" s="36"/>
    </row>
    <row r="983">
      <c r="B983" s="18"/>
      <c r="C983" s="36"/>
      <c r="D983" s="36"/>
    </row>
    <row r="984">
      <c r="B984" s="18"/>
      <c r="C984" s="36"/>
      <c r="D984" s="36"/>
    </row>
    <row r="985">
      <c r="B985" s="18"/>
      <c r="C985" s="36"/>
      <c r="D985" s="36"/>
    </row>
    <row r="986">
      <c r="B986" s="18"/>
      <c r="C986" s="36"/>
      <c r="D986" s="36"/>
    </row>
    <row r="987">
      <c r="B987" s="18"/>
      <c r="C987" s="36"/>
      <c r="D987" s="36"/>
    </row>
    <row r="988">
      <c r="B988" s="18"/>
      <c r="C988" s="36"/>
      <c r="D988" s="36"/>
    </row>
    <row r="989">
      <c r="B989" s="18"/>
      <c r="C989" s="36"/>
      <c r="D989" s="36"/>
    </row>
    <row r="990">
      <c r="B990" s="18"/>
      <c r="C990" s="36"/>
      <c r="D990" s="36"/>
    </row>
    <row r="991">
      <c r="B991" s="18"/>
      <c r="C991" s="36"/>
      <c r="D991" s="36"/>
    </row>
    <row r="992">
      <c r="B992" s="18"/>
      <c r="C992" s="36"/>
      <c r="D992" s="36"/>
    </row>
    <row r="993">
      <c r="B993" s="18"/>
      <c r="C993" s="36"/>
      <c r="D993" s="36"/>
    </row>
    <row r="994">
      <c r="B994" s="18"/>
      <c r="C994" s="36"/>
      <c r="D994" s="36"/>
    </row>
    <row r="995">
      <c r="B995" s="18"/>
      <c r="C995" s="36"/>
      <c r="D995" s="36"/>
    </row>
    <row r="996">
      <c r="B996" s="18"/>
      <c r="C996" s="36"/>
      <c r="D996" s="36"/>
    </row>
    <row r="997">
      <c r="B997" s="18"/>
      <c r="C997" s="36"/>
      <c r="D997" s="36"/>
    </row>
    <row r="998">
      <c r="B998" s="18"/>
      <c r="C998" s="36"/>
      <c r="D998" s="36"/>
    </row>
    <row r="999">
      <c r="B999" s="18"/>
      <c r="C999" s="36"/>
      <c r="D999" s="36"/>
    </row>
    <row r="1000">
      <c r="B1000" s="18"/>
      <c r="C1000" s="36"/>
      <c r="D1000" s="3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0</v>
      </c>
      <c r="B1" s="21" t="s">
        <v>1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37" t="s">
        <v>93</v>
      </c>
      <c r="L1" s="37" t="s">
        <v>94</v>
      </c>
      <c r="M1" s="37" t="s">
        <v>95</v>
      </c>
      <c r="N1" s="37" t="s">
        <v>96</v>
      </c>
      <c r="O1" s="37" t="s">
        <v>97</v>
      </c>
      <c r="P1" s="37" t="s">
        <v>98</v>
      </c>
      <c r="Q1" s="6" t="s">
        <v>99</v>
      </c>
      <c r="R1" s="37" t="s">
        <v>100</v>
      </c>
      <c r="S1" s="37" t="s">
        <v>101</v>
      </c>
      <c r="T1" s="37" t="s">
        <v>102</v>
      </c>
      <c r="U1" s="6" t="s">
        <v>103</v>
      </c>
      <c r="V1" s="7" t="s">
        <v>104</v>
      </c>
      <c r="W1" s="7" t="s">
        <v>105</v>
      </c>
      <c r="X1" s="7" t="s">
        <v>106</v>
      </c>
    </row>
    <row r="2">
      <c r="A2" s="8">
        <v>40179.0</v>
      </c>
      <c r="B2" s="9">
        <f>IFERROR(__xludf.DUMMYFUNCTION("IMPORTRANGE(""https://docs.google.com/spreadsheets/d/1oPTPmoJ9phtMOkp-nMB7WHnPESomLzqUj9t0gcE9bYA"",""Current Region!G2:G150"")"),31933.0)</f>
        <v>31933</v>
      </c>
      <c r="C2" s="10" t="s">
        <v>26</v>
      </c>
      <c r="D2" s="10" t="s">
        <v>26</v>
      </c>
      <c r="E2" s="10" t="s">
        <v>26</v>
      </c>
      <c r="F2" s="10" t="s">
        <v>26</v>
      </c>
      <c r="G2" s="10" t="s">
        <v>26</v>
      </c>
      <c r="H2" s="10" t="s">
        <v>26</v>
      </c>
      <c r="I2" s="10" t="s">
        <v>26</v>
      </c>
      <c r="J2" s="10" t="s">
        <v>26</v>
      </c>
      <c r="K2" s="11" t="s">
        <v>26</v>
      </c>
      <c r="L2" s="10" t="s">
        <v>26</v>
      </c>
      <c r="M2" s="10" t="s">
        <v>26</v>
      </c>
      <c r="N2" s="10" t="s">
        <v>26</v>
      </c>
      <c r="O2" s="10" t="s">
        <v>26</v>
      </c>
      <c r="P2" s="10" t="s">
        <v>26</v>
      </c>
      <c r="Q2" s="10" t="s">
        <v>26</v>
      </c>
      <c r="R2" s="10" t="s">
        <v>26</v>
      </c>
      <c r="S2" s="10" t="s">
        <v>26</v>
      </c>
      <c r="T2" s="10" t="s">
        <v>26</v>
      </c>
      <c r="U2" s="27" t="s">
        <v>26</v>
      </c>
      <c r="V2" s="7" t="s">
        <v>26</v>
      </c>
      <c r="W2" s="7" t="s">
        <v>26</v>
      </c>
      <c r="X2" s="7" t="s">
        <v>26</v>
      </c>
    </row>
    <row r="3">
      <c r="A3" s="8">
        <v>40210.0</v>
      </c>
      <c r="B3" s="9">
        <f>IFERROR(__xludf.DUMMYFUNCTION("""COMPUTED_VALUE"""),1757.0)</f>
        <v>1757</v>
      </c>
      <c r="C3" s="10" t="s">
        <v>26</v>
      </c>
      <c r="D3" s="10" t="s">
        <v>26</v>
      </c>
      <c r="E3" s="10" t="s">
        <v>26</v>
      </c>
      <c r="F3" s="10" t="s">
        <v>26</v>
      </c>
      <c r="G3" s="10" t="s">
        <v>26</v>
      </c>
      <c r="H3" s="10" t="s">
        <v>26</v>
      </c>
      <c r="I3" s="10" t="s">
        <v>26</v>
      </c>
      <c r="J3" s="10" t="s">
        <v>26</v>
      </c>
      <c r="K3" s="11" t="s">
        <v>26</v>
      </c>
      <c r="L3" s="10" t="s">
        <v>26</v>
      </c>
      <c r="M3" s="10" t="s">
        <v>26</v>
      </c>
      <c r="N3" s="10" t="s">
        <v>26</v>
      </c>
      <c r="O3" s="10" t="s">
        <v>26</v>
      </c>
      <c r="P3" s="10" t="s">
        <v>26</v>
      </c>
      <c r="Q3" s="10" t="s">
        <v>26</v>
      </c>
      <c r="R3" s="10" t="s">
        <v>26</v>
      </c>
      <c r="S3" s="10" t="s">
        <v>26</v>
      </c>
      <c r="T3" s="10" t="s">
        <v>26</v>
      </c>
      <c r="U3" s="27" t="s">
        <v>26</v>
      </c>
      <c r="V3" s="7" t="s">
        <v>26</v>
      </c>
      <c r="W3" s="7" t="s">
        <v>26</v>
      </c>
      <c r="X3" s="7" t="s">
        <v>26</v>
      </c>
    </row>
    <row r="4">
      <c r="A4" s="8">
        <v>40238.0</v>
      </c>
      <c r="B4" s="9">
        <f>IFERROR(__xludf.DUMMYFUNCTION("""COMPUTED_VALUE"""),1759.0)</f>
        <v>1759</v>
      </c>
      <c r="C4" s="10" t="s">
        <v>26</v>
      </c>
      <c r="D4" s="10" t="s">
        <v>26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26</v>
      </c>
      <c r="J4" s="10" t="s">
        <v>26</v>
      </c>
      <c r="K4" s="11" t="s">
        <v>26</v>
      </c>
      <c r="L4" s="10" t="s">
        <v>26</v>
      </c>
      <c r="M4" s="10" t="s">
        <v>26</v>
      </c>
      <c r="N4" s="10" t="s">
        <v>26</v>
      </c>
      <c r="O4" s="10" t="s">
        <v>26</v>
      </c>
      <c r="P4" s="10" t="s">
        <v>26</v>
      </c>
      <c r="Q4" s="10" t="s">
        <v>26</v>
      </c>
      <c r="R4" s="10" t="s">
        <v>26</v>
      </c>
      <c r="S4" s="10" t="s">
        <v>26</v>
      </c>
      <c r="T4" s="10" t="s">
        <v>26</v>
      </c>
      <c r="U4" s="27" t="s">
        <v>26</v>
      </c>
      <c r="V4" s="7" t="s">
        <v>26</v>
      </c>
      <c r="W4" s="7" t="s">
        <v>26</v>
      </c>
      <c r="X4" s="7" t="s">
        <v>26</v>
      </c>
    </row>
    <row r="5">
      <c r="A5" s="8">
        <v>40269.0</v>
      </c>
      <c r="B5" s="9">
        <f>IFERROR(__xludf.DUMMYFUNCTION("""COMPUTED_VALUE"""),2704.0)</f>
        <v>2704</v>
      </c>
      <c r="C5" s="10" t="s">
        <v>26</v>
      </c>
      <c r="D5" s="10" t="s">
        <v>26</v>
      </c>
      <c r="E5" s="10" t="s">
        <v>26</v>
      </c>
      <c r="F5" s="10" t="s">
        <v>26</v>
      </c>
      <c r="G5" s="10" t="s">
        <v>26</v>
      </c>
      <c r="H5" s="10" t="s">
        <v>26</v>
      </c>
      <c r="I5" s="10" t="s">
        <v>26</v>
      </c>
      <c r="J5" s="10" t="s">
        <v>26</v>
      </c>
      <c r="K5" s="11" t="s">
        <v>26</v>
      </c>
      <c r="L5" s="10" t="s">
        <v>26</v>
      </c>
      <c r="M5" s="10" t="s">
        <v>26</v>
      </c>
      <c r="N5" s="10" t="s">
        <v>26</v>
      </c>
      <c r="O5" s="10" t="s">
        <v>26</v>
      </c>
      <c r="P5" s="10" t="s">
        <v>26</v>
      </c>
      <c r="Q5" s="10" t="s">
        <v>26</v>
      </c>
      <c r="R5" s="10" t="s">
        <v>26</v>
      </c>
      <c r="S5" s="10" t="s">
        <v>26</v>
      </c>
      <c r="T5" s="10" t="s">
        <v>26</v>
      </c>
      <c r="U5" s="27" t="s">
        <v>26</v>
      </c>
      <c r="V5" s="7" t="s">
        <v>26</v>
      </c>
      <c r="W5" s="7" t="s">
        <v>26</v>
      </c>
      <c r="X5" s="7" t="s">
        <v>26</v>
      </c>
    </row>
    <row r="6">
      <c r="A6" s="8">
        <v>40299.0</v>
      </c>
      <c r="B6" s="9">
        <f>IFERROR(__xludf.DUMMYFUNCTION("""COMPUTED_VALUE"""),1806.0)</f>
        <v>1806</v>
      </c>
      <c r="C6" s="10" t="s">
        <v>26</v>
      </c>
      <c r="D6" s="10" t="s">
        <v>26</v>
      </c>
      <c r="E6" s="10" t="s">
        <v>26</v>
      </c>
      <c r="F6" s="10" t="s">
        <v>26</v>
      </c>
      <c r="G6" s="10" t="s">
        <v>26</v>
      </c>
      <c r="H6" s="10" t="s">
        <v>26</v>
      </c>
      <c r="I6" s="10" t="s">
        <v>26</v>
      </c>
      <c r="J6" s="10" t="s">
        <v>26</v>
      </c>
      <c r="K6" s="11" t="s">
        <v>26</v>
      </c>
      <c r="L6" s="10" t="s">
        <v>26</v>
      </c>
      <c r="M6" s="10" t="s">
        <v>26</v>
      </c>
      <c r="N6" s="10" t="s">
        <v>26</v>
      </c>
      <c r="O6" s="10" t="s">
        <v>26</v>
      </c>
      <c r="P6" s="10" t="s">
        <v>26</v>
      </c>
      <c r="Q6" s="10" t="s">
        <v>26</v>
      </c>
      <c r="R6" s="10" t="s">
        <v>26</v>
      </c>
      <c r="S6" s="10" t="s">
        <v>26</v>
      </c>
      <c r="T6" s="10" t="s">
        <v>26</v>
      </c>
      <c r="U6" s="27" t="s">
        <v>26</v>
      </c>
      <c r="V6" s="7" t="s">
        <v>26</v>
      </c>
      <c r="W6" s="7" t="s">
        <v>26</v>
      </c>
      <c r="X6" s="7" t="s">
        <v>26</v>
      </c>
    </row>
    <row r="7">
      <c r="A7" s="8">
        <v>40330.0</v>
      </c>
      <c r="B7" s="9">
        <f>IFERROR(__xludf.DUMMYFUNCTION("""COMPUTED_VALUE"""),240.0)</f>
        <v>240</v>
      </c>
      <c r="C7" s="10" t="s">
        <v>26</v>
      </c>
      <c r="D7" s="10" t="s">
        <v>26</v>
      </c>
      <c r="E7" s="10" t="s">
        <v>26</v>
      </c>
      <c r="F7" s="10" t="s">
        <v>26</v>
      </c>
      <c r="G7" s="10" t="s">
        <v>26</v>
      </c>
      <c r="H7" s="10" t="s">
        <v>26</v>
      </c>
      <c r="I7" s="10" t="s">
        <v>26</v>
      </c>
      <c r="J7" s="10" t="s">
        <v>26</v>
      </c>
      <c r="K7" s="11" t="s">
        <v>26</v>
      </c>
      <c r="L7" s="10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  <c r="R7" s="10" t="s">
        <v>26</v>
      </c>
      <c r="S7" s="10" t="s">
        <v>26</v>
      </c>
      <c r="T7" s="10" t="s">
        <v>26</v>
      </c>
      <c r="U7" s="27" t="s">
        <v>26</v>
      </c>
      <c r="V7" s="7" t="s">
        <v>26</v>
      </c>
      <c r="W7" s="7" t="s">
        <v>26</v>
      </c>
      <c r="X7" s="7" t="s">
        <v>26</v>
      </c>
    </row>
    <row r="8">
      <c r="A8" s="8">
        <v>40360.0</v>
      </c>
      <c r="B8" s="9"/>
      <c r="C8" s="10" t="s">
        <v>26</v>
      </c>
      <c r="D8" s="10" t="s">
        <v>26</v>
      </c>
      <c r="E8" s="10" t="s">
        <v>26</v>
      </c>
      <c r="F8" s="10" t="s">
        <v>26</v>
      </c>
      <c r="G8" s="10" t="s">
        <v>26</v>
      </c>
      <c r="H8" s="10" t="s">
        <v>26</v>
      </c>
      <c r="I8" s="10" t="s">
        <v>26</v>
      </c>
      <c r="J8" s="10" t="s">
        <v>26</v>
      </c>
      <c r="K8" s="11" t="s">
        <v>26</v>
      </c>
      <c r="L8" s="10" t="s">
        <v>26</v>
      </c>
      <c r="M8" s="10" t="s">
        <v>26</v>
      </c>
      <c r="N8" s="10" t="s">
        <v>26</v>
      </c>
      <c r="O8" s="10" t="s">
        <v>26</v>
      </c>
      <c r="P8" s="10" t="s">
        <v>26</v>
      </c>
      <c r="Q8" s="10" t="s">
        <v>26</v>
      </c>
      <c r="R8" s="10" t="s">
        <v>26</v>
      </c>
      <c r="S8" s="10" t="s">
        <v>26</v>
      </c>
      <c r="T8" s="10" t="s">
        <v>26</v>
      </c>
      <c r="U8" s="27" t="s">
        <v>26</v>
      </c>
      <c r="V8" s="7" t="s">
        <v>26</v>
      </c>
      <c r="W8" s="7" t="s">
        <v>26</v>
      </c>
      <c r="X8" s="7" t="s">
        <v>26</v>
      </c>
    </row>
    <row r="9">
      <c r="A9" s="8">
        <v>40391.0</v>
      </c>
      <c r="B9" s="9"/>
      <c r="C9" s="10" t="s">
        <v>26</v>
      </c>
      <c r="D9" s="10" t="s">
        <v>26</v>
      </c>
      <c r="E9" s="10" t="s">
        <v>26</v>
      </c>
      <c r="F9" s="10" t="s">
        <v>26</v>
      </c>
      <c r="G9" s="10" t="s">
        <v>26</v>
      </c>
      <c r="H9" s="10" t="s">
        <v>26</v>
      </c>
      <c r="I9" s="10" t="s">
        <v>26</v>
      </c>
      <c r="J9" s="10" t="s">
        <v>26</v>
      </c>
      <c r="K9" s="11" t="s">
        <v>26</v>
      </c>
      <c r="L9" s="10" t="s">
        <v>26</v>
      </c>
      <c r="M9" s="10" t="s">
        <v>26</v>
      </c>
      <c r="N9" s="10" t="s">
        <v>26</v>
      </c>
      <c r="O9" s="10" t="s">
        <v>26</v>
      </c>
      <c r="P9" s="10" t="s">
        <v>26</v>
      </c>
      <c r="Q9" s="10" t="s">
        <v>26</v>
      </c>
      <c r="R9" s="10" t="s">
        <v>26</v>
      </c>
      <c r="S9" s="10" t="s">
        <v>26</v>
      </c>
      <c r="T9" s="10" t="s">
        <v>26</v>
      </c>
      <c r="U9" s="27" t="s">
        <v>26</v>
      </c>
      <c r="V9" s="7" t="s">
        <v>26</v>
      </c>
      <c r="W9" s="7" t="s">
        <v>26</v>
      </c>
      <c r="X9" s="7" t="s">
        <v>26</v>
      </c>
    </row>
    <row r="10">
      <c r="A10" s="8">
        <v>40422.0</v>
      </c>
      <c r="B10" s="9"/>
      <c r="C10" s="10" t="s">
        <v>26</v>
      </c>
      <c r="D10" s="10" t="s">
        <v>26</v>
      </c>
      <c r="E10" s="10" t="s">
        <v>26</v>
      </c>
      <c r="F10" s="10" t="s">
        <v>26</v>
      </c>
      <c r="G10" s="10" t="s">
        <v>26</v>
      </c>
      <c r="H10" s="10" t="s">
        <v>26</v>
      </c>
      <c r="I10" s="10" t="s">
        <v>26</v>
      </c>
      <c r="J10" s="10" t="s">
        <v>26</v>
      </c>
      <c r="K10" s="11" t="s">
        <v>26</v>
      </c>
      <c r="L10" s="10" t="s">
        <v>26</v>
      </c>
      <c r="M10" s="10" t="s">
        <v>26</v>
      </c>
      <c r="N10" s="10" t="s">
        <v>26</v>
      </c>
      <c r="O10" s="10" t="s">
        <v>26</v>
      </c>
      <c r="P10" s="10" t="s">
        <v>26</v>
      </c>
      <c r="Q10" s="10" t="s">
        <v>26</v>
      </c>
      <c r="R10" s="10" t="s">
        <v>26</v>
      </c>
      <c r="S10" s="10" t="s">
        <v>26</v>
      </c>
      <c r="T10" s="10" t="s">
        <v>26</v>
      </c>
      <c r="U10" s="27" t="s">
        <v>26</v>
      </c>
      <c r="V10" s="7" t="s">
        <v>26</v>
      </c>
      <c r="W10" s="7" t="s">
        <v>26</v>
      </c>
      <c r="X10" s="7" t="s">
        <v>26</v>
      </c>
    </row>
    <row r="11">
      <c r="A11" s="8">
        <v>40452.0</v>
      </c>
      <c r="B11" s="9"/>
      <c r="C11" s="10" t="s">
        <v>26</v>
      </c>
      <c r="D11" s="10" t="s">
        <v>26</v>
      </c>
      <c r="E11" s="10" t="s">
        <v>26</v>
      </c>
      <c r="F11" s="10" t="s">
        <v>26</v>
      </c>
      <c r="G11" s="10" t="s">
        <v>26</v>
      </c>
      <c r="H11" s="10" t="s">
        <v>26</v>
      </c>
      <c r="I11" s="10" t="s">
        <v>26</v>
      </c>
      <c r="J11" s="10" t="s">
        <v>26</v>
      </c>
      <c r="K11" s="11" t="s">
        <v>26</v>
      </c>
      <c r="L11" s="10" t="s">
        <v>26</v>
      </c>
      <c r="M11" s="10" t="s">
        <v>26</v>
      </c>
      <c r="N11" s="10" t="s">
        <v>26</v>
      </c>
      <c r="O11" s="10" t="s">
        <v>26</v>
      </c>
      <c r="P11" s="10" t="s">
        <v>26</v>
      </c>
      <c r="Q11" s="10" t="s">
        <v>26</v>
      </c>
      <c r="R11" s="10" t="s">
        <v>26</v>
      </c>
      <c r="S11" s="10" t="s">
        <v>26</v>
      </c>
      <c r="T11" s="10" t="s">
        <v>26</v>
      </c>
      <c r="U11" s="27" t="s">
        <v>26</v>
      </c>
      <c r="V11" s="7" t="s">
        <v>26</v>
      </c>
      <c r="W11" s="7" t="s">
        <v>26</v>
      </c>
      <c r="X11" s="7" t="s">
        <v>26</v>
      </c>
    </row>
    <row r="12">
      <c r="A12" s="8">
        <v>40483.0</v>
      </c>
      <c r="B12" s="9"/>
      <c r="C12" s="10" t="s">
        <v>26</v>
      </c>
      <c r="D12" s="10" t="s">
        <v>26</v>
      </c>
      <c r="E12" s="10" t="s">
        <v>26</v>
      </c>
      <c r="F12" s="10" t="s">
        <v>26</v>
      </c>
      <c r="G12" s="10" t="s">
        <v>26</v>
      </c>
      <c r="H12" s="10" t="s">
        <v>26</v>
      </c>
      <c r="I12" s="10" t="s">
        <v>26</v>
      </c>
      <c r="J12" s="10" t="s">
        <v>26</v>
      </c>
      <c r="K12" s="11" t="s">
        <v>26</v>
      </c>
      <c r="L12" s="10" t="s">
        <v>26</v>
      </c>
      <c r="M12" s="10" t="s">
        <v>26</v>
      </c>
      <c r="N12" s="10" t="s">
        <v>26</v>
      </c>
      <c r="O12" s="10" t="s">
        <v>26</v>
      </c>
      <c r="P12" s="10" t="s">
        <v>26</v>
      </c>
      <c r="Q12" s="10" t="s">
        <v>26</v>
      </c>
      <c r="R12" s="10" t="s">
        <v>26</v>
      </c>
      <c r="S12" s="10" t="s">
        <v>26</v>
      </c>
      <c r="T12" s="10" t="s">
        <v>26</v>
      </c>
      <c r="U12" s="27" t="s">
        <v>26</v>
      </c>
      <c r="V12" s="7" t="s">
        <v>26</v>
      </c>
      <c r="W12" s="7" t="s">
        <v>26</v>
      </c>
      <c r="X12" s="7" t="s">
        <v>26</v>
      </c>
    </row>
    <row r="13">
      <c r="A13" s="8">
        <v>40513.0</v>
      </c>
      <c r="B13" s="9"/>
      <c r="C13" s="10" t="s">
        <v>26</v>
      </c>
      <c r="D13" s="10" t="s">
        <v>26</v>
      </c>
      <c r="E13" s="10" t="s">
        <v>26</v>
      </c>
      <c r="F13" s="10" t="s">
        <v>26</v>
      </c>
      <c r="G13" s="10" t="s">
        <v>26</v>
      </c>
      <c r="H13" s="10" t="s">
        <v>26</v>
      </c>
      <c r="I13" s="10" t="s">
        <v>26</v>
      </c>
      <c r="J13" s="10" t="s">
        <v>26</v>
      </c>
      <c r="K13" s="11" t="s">
        <v>26</v>
      </c>
      <c r="L13" s="10" t="s">
        <v>26</v>
      </c>
      <c r="M13" s="10" t="s">
        <v>26</v>
      </c>
      <c r="N13" s="10" t="s">
        <v>26</v>
      </c>
      <c r="O13" s="10" t="s">
        <v>26</v>
      </c>
      <c r="P13" s="10" t="s">
        <v>26</v>
      </c>
      <c r="Q13" s="10" t="s">
        <v>26</v>
      </c>
      <c r="R13" s="10" t="s">
        <v>26</v>
      </c>
      <c r="S13" s="10" t="s">
        <v>26</v>
      </c>
      <c r="T13" s="10" t="s">
        <v>26</v>
      </c>
      <c r="U13" s="27" t="s">
        <v>26</v>
      </c>
      <c r="V13" s="7" t="s">
        <v>26</v>
      </c>
      <c r="W13" s="7" t="s">
        <v>26</v>
      </c>
      <c r="X13" s="7" t="s">
        <v>26</v>
      </c>
    </row>
    <row r="14">
      <c r="A14" s="8">
        <v>40544.0</v>
      </c>
      <c r="B14" s="9"/>
      <c r="C14" s="10" t="s">
        <v>26</v>
      </c>
      <c r="D14" s="10" t="s">
        <v>26</v>
      </c>
      <c r="E14" s="10" t="s">
        <v>26</v>
      </c>
      <c r="F14" s="10" t="s">
        <v>26</v>
      </c>
      <c r="G14" s="10" t="s">
        <v>26</v>
      </c>
      <c r="H14" s="10" t="s">
        <v>26</v>
      </c>
      <c r="I14" s="10" t="s">
        <v>26</v>
      </c>
      <c r="J14" s="10" t="s">
        <v>26</v>
      </c>
      <c r="K14" s="11" t="s">
        <v>26</v>
      </c>
      <c r="L14" s="10" t="s">
        <v>26</v>
      </c>
      <c r="M14" s="10" t="s">
        <v>26</v>
      </c>
      <c r="N14" s="10" t="s">
        <v>26</v>
      </c>
      <c r="O14" s="10" t="s">
        <v>26</v>
      </c>
      <c r="P14" s="10" t="s">
        <v>26</v>
      </c>
      <c r="Q14" s="10" t="s">
        <v>26</v>
      </c>
      <c r="R14" s="10" t="s">
        <v>26</v>
      </c>
      <c r="S14" s="10" t="s">
        <v>26</v>
      </c>
      <c r="T14" s="10" t="s">
        <v>26</v>
      </c>
      <c r="U14" s="27" t="s">
        <v>26</v>
      </c>
      <c r="V14" s="7" t="s">
        <v>26</v>
      </c>
      <c r="W14" s="7" t="s">
        <v>26</v>
      </c>
      <c r="X14" s="7" t="s">
        <v>26</v>
      </c>
    </row>
    <row r="15">
      <c r="A15" s="8">
        <v>40575.0</v>
      </c>
      <c r="B15" s="9">
        <f>IFERROR(__xludf.DUMMYFUNCTION("""COMPUTED_VALUE"""),1862.0)</f>
        <v>1862</v>
      </c>
      <c r="C15" s="10" t="s">
        <v>26</v>
      </c>
      <c r="D15" s="10" t="s">
        <v>26</v>
      </c>
      <c r="E15" s="10" t="s">
        <v>26</v>
      </c>
      <c r="F15" s="10" t="s">
        <v>26</v>
      </c>
      <c r="G15" s="10" t="s">
        <v>26</v>
      </c>
      <c r="H15" s="10" t="s">
        <v>26</v>
      </c>
      <c r="I15" s="10" t="s">
        <v>26</v>
      </c>
      <c r="J15" s="10" t="s">
        <v>26</v>
      </c>
      <c r="K15" s="11" t="s">
        <v>26</v>
      </c>
      <c r="L15" s="10" t="s">
        <v>26</v>
      </c>
      <c r="M15" s="10" t="s">
        <v>26</v>
      </c>
      <c r="N15" s="10" t="s">
        <v>26</v>
      </c>
      <c r="O15" s="10" t="s">
        <v>26</v>
      </c>
      <c r="P15" s="10" t="s">
        <v>26</v>
      </c>
      <c r="Q15" s="10" t="s">
        <v>26</v>
      </c>
      <c r="R15" s="10" t="s">
        <v>26</v>
      </c>
      <c r="S15" s="10" t="s">
        <v>26</v>
      </c>
      <c r="T15" s="10" t="s">
        <v>26</v>
      </c>
      <c r="U15" s="27" t="s">
        <v>26</v>
      </c>
      <c r="V15" s="7" t="s">
        <v>26</v>
      </c>
      <c r="W15" s="7" t="s">
        <v>26</v>
      </c>
      <c r="X15" s="7" t="s">
        <v>26</v>
      </c>
    </row>
    <row r="16">
      <c r="A16" s="8">
        <v>40603.0</v>
      </c>
      <c r="B16" s="9"/>
      <c r="C16" s="10" t="s">
        <v>26</v>
      </c>
      <c r="D16" s="10" t="s">
        <v>26</v>
      </c>
      <c r="E16" s="10" t="s">
        <v>26</v>
      </c>
      <c r="F16" s="10" t="s">
        <v>26</v>
      </c>
      <c r="G16" s="10" t="s">
        <v>26</v>
      </c>
      <c r="H16" s="10" t="s">
        <v>26</v>
      </c>
      <c r="I16" s="10" t="s">
        <v>26</v>
      </c>
      <c r="J16" s="10" t="s">
        <v>26</v>
      </c>
      <c r="K16" s="11" t="s">
        <v>26</v>
      </c>
      <c r="L16" s="10" t="s">
        <v>26</v>
      </c>
      <c r="M16" s="10" t="s">
        <v>26</v>
      </c>
      <c r="N16" s="10" t="s">
        <v>26</v>
      </c>
      <c r="O16" s="10" t="s">
        <v>26</v>
      </c>
      <c r="P16" s="10" t="s">
        <v>26</v>
      </c>
      <c r="Q16" s="10" t="s">
        <v>26</v>
      </c>
      <c r="R16" s="10" t="s">
        <v>26</v>
      </c>
      <c r="S16" s="10" t="s">
        <v>26</v>
      </c>
      <c r="T16" s="10" t="s">
        <v>26</v>
      </c>
      <c r="U16" s="27" t="s">
        <v>26</v>
      </c>
      <c r="V16" s="7" t="s">
        <v>26</v>
      </c>
      <c r="W16" s="7" t="s">
        <v>26</v>
      </c>
      <c r="X16" s="7" t="s">
        <v>26</v>
      </c>
    </row>
    <row r="17">
      <c r="A17" s="8">
        <v>40634.0</v>
      </c>
      <c r="B17" s="9">
        <f>IFERROR(__xludf.DUMMYFUNCTION("""COMPUTED_VALUE"""),37.0)</f>
        <v>37</v>
      </c>
      <c r="C17" s="10" t="s">
        <v>26</v>
      </c>
      <c r="D17" s="10" t="s">
        <v>26</v>
      </c>
      <c r="E17" s="10" t="s">
        <v>26</v>
      </c>
      <c r="F17" s="10" t="s">
        <v>26</v>
      </c>
      <c r="G17" s="10" t="s">
        <v>26</v>
      </c>
      <c r="H17" s="10" t="s">
        <v>26</v>
      </c>
      <c r="I17" s="10" t="s">
        <v>26</v>
      </c>
      <c r="J17" s="10" t="s">
        <v>26</v>
      </c>
      <c r="K17" s="11" t="s">
        <v>26</v>
      </c>
      <c r="L17" s="10" t="s">
        <v>26</v>
      </c>
      <c r="M17" s="10" t="s">
        <v>26</v>
      </c>
      <c r="N17" s="10" t="s">
        <v>26</v>
      </c>
      <c r="O17" s="10" t="s">
        <v>26</v>
      </c>
      <c r="P17" s="10" t="s">
        <v>26</v>
      </c>
      <c r="Q17" s="10" t="s">
        <v>26</v>
      </c>
      <c r="R17" s="10" t="s">
        <v>26</v>
      </c>
      <c r="S17" s="10" t="s">
        <v>26</v>
      </c>
      <c r="T17" s="10" t="s">
        <v>26</v>
      </c>
      <c r="U17" s="27" t="s">
        <v>26</v>
      </c>
      <c r="V17" s="7" t="s">
        <v>26</v>
      </c>
      <c r="W17" s="7" t="s">
        <v>26</v>
      </c>
      <c r="X17" s="7" t="s">
        <v>26</v>
      </c>
    </row>
    <row r="18">
      <c r="A18" s="8">
        <v>40664.0</v>
      </c>
      <c r="B18" s="9"/>
      <c r="C18" s="10" t="s">
        <v>26</v>
      </c>
      <c r="D18" s="10" t="s">
        <v>26</v>
      </c>
      <c r="E18" s="10" t="s">
        <v>26</v>
      </c>
      <c r="F18" s="10" t="s">
        <v>26</v>
      </c>
      <c r="G18" s="10" t="s">
        <v>26</v>
      </c>
      <c r="H18" s="10" t="s">
        <v>26</v>
      </c>
      <c r="I18" s="10" t="s">
        <v>26</v>
      </c>
      <c r="J18" s="10" t="s">
        <v>26</v>
      </c>
      <c r="K18" s="11" t="s">
        <v>26</v>
      </c>
      <c r="L18" s="10" t="s">
        <v>26</v>
      </c>
      <c r="M18" s="10" t="s">
        <v>26</v>
      </c>
      <c r="N18" s="10" t="s">
        <v>26</v>
      </c>
      <c r="O18" s="10" t="s">
        <v>26</v>
      </c>
      <c r="P18" s="10" t="s">
        <v>26</v>
      </c>
      <c r="Q18" s="10" t="s">
        <v>26</v>
      </c>
      <c r="R18" s="10" t="s">
        <v>26</v>
      </c>
      <c r="S18" s="10" t="s">
        <v>26</v>
      </c>
      <c r="T18" s="10" t="s">
        <v>26</v>
      </c>
      <c r="U18" s="27" t="s">
        <v>26</v>
      </c>
      <c r="V18" s="7" t="s">
        <v>26</v>
      </c>
      <c r="W18" s="7" t="s">
        <v>26</v>
      </c>
      <c r="X18" s="7" t="s">
        <v>26</v>
      </c>
    </row>
    <row r="19">
      <c r="A19" s="8">
        <v>40695.0</v>
      </c>
      <c r="B19" s="9"/>
      <c r="C19" s="10" t="s">
        <v>26</v>
      </c>
      <c r="D19" s="10" t="s">
        <v>26</v>
      </c>
      <c r="E19" s="10" t="s">
        <v>26</v>
      </c>
      <c r="F19" s="10" t="s">
        <v>26</v>
      </c>
      <c r="G19" s="10" t="s">
        <v>26</v>
      </c>
      <c r="H19" s="10" t="s">
        <v>26</v>
      </c>
      <c r="I19" s="10" t="s">
        <v>26</v>
      </c>
      <c r="J19" s="10" t="s">
        <v>26</v>
      </c>
      <c r="K19" s="11" t="s">
        <v>26</v>
      </c>
      <c r="L19" s="10" t="s">
        <v>26</v>
      </c>
      <c r="M19" s="10" t="s">
        <v>26</v>
      </c>
      <c r="N19" s="10" t="s">
        <v>26</v>
      </c>
      <c r="O19" s="10" t="s">
        <v>26</v>
      </c>
      <c r="P19" s="10" t="s">
        <v>26</v>
      </c>
      <c r="Q19" s="10" t="s">
        <v>26</v>
      </c>
      <c r="R19" s="10" t="s">
        <v>26</v>
      </c>
      <c r="S19" s="10" t="s">
        <v>26</v>
      </c>
      <c r="T19" s="10" t="s">
        <v>26</v>
      </c>
      <c r="U19" s="27" t="s">
        <v>26</v>
      </c>
      <c r="V19" s="7" t="s">
        <v>26</v>
      </c>
      <c r="W19" s="7" t="s">
        <v>26</v>
      </c>
      <c r="X19" s="7" t="s">
        <v>26</v>
      </c>
    </row>
    <row r="20">
      <c r="A20" s="8">
        <v>40725.0</v>
      </c>
      <c r="B20" s="9">
        <f>IFERROR(__xludf.DUMMYFUNCTION("""COMPUTED_VALUE"""),240.0)</f>
        <v>240</v>
      </c>
      <c r="C20" s="10" t="s">
        <v>26</v>
      </c>
      <c r="D20" s="10" t="s">
        <v>26</v>
      </c>
      <c r="E20" s="10" t="s">
        <v>26</v>
      </c>
      <c r="F20" s="10" t="s">
        <v>26</v>
      </c>
      <c r="G20" s="10" t="s">
        <v>26</v>
      </c>
      <c r="H20" s="10" t="s">
        <v>26</v>
      </c>
      <c r="I20" s="10" t="s">
        <v>26</v>
      </c>
      <c r="J20" s="10" t="s">
        <v>26</v>
      </c>
      <c r="K20" s="11" t="s">
        <v>26</v>
      </c>
      <c r="L20" s="10" t="s">
        <v>26</v>
      </c>
      <c r="M20" s="10" t="s">
        <v>26</v>
      </c>
      <c r="N20" s="10" t="s">
        <v>26</v>
      </c>
      <c r="O20" s="10" t="s">
        <v>26</v>
      </c>
      <c r="P20" s="10" t="s">
        <v>26</v>
      </c>
      <c r="Q20" s="10" t="s">
        <v>26</v>
      </c>
      <c r="R20" s="10" t="s">
        <v>26</v>
      </c>
      <c r="S20" s="10" t="s">
        <v>26</v>
      </c>
      <c r="T20" s="10" t="s">
        <v>26</v>
      </c>
      <c r="U20" s="27" t="s">
        <v>26</v>
      </c>
      <c r="V20" s="7" t="s">
        <v>26</v>
      </c>
      <c r="W20" s="7" t="s">
        <v>26</v>
      </c>
      <c r="X20" s="7" t="s">
        <v>26</v>
      </c>
    </row>
    <row r="21">
      <c r="A21" s="8">
        <v>40756.0</v>
      </c>
      <c r="B21" s="9"/>
      <c r="C21" s="12">
        <v>1535.24372070626</v>
      </c>
      <c r="D21" s="12">
        <v>1498.0</v>
      </c>
      <c r="E21" s="12">
        <v>1631.28370394226</v>
      </c>
      <c r="F21" s="12">
        <v>1544.76890630173</v>
      </c>
      <c r="G21" s="12">
        <v>1548.40136367103</v>
      </c>
      <c r="H21" s="12">
        <v>1585.04903798492</v>
      </c>
      <c r="I21" s="12">
        <v>1585.05000004996</v>
      </c>
      <c r="J21" s="12">
        <v>1590.73796062891</v>
      </c>
      <c r="K21" s="13">
        <v>1560.37964442049</v>
      </c>
      <c r="L21" s="12">
        <v>1467.72222222222</v>
      </c>
      <c r="M21" s="12">
        <v>1526.13876476514</v>
      </c>
      <c r="N21" s="12">
        <v>1467.72222128122</v>
      </c>
      <c r="O21" s="12">
        <v>1675.15111852477</v>
      </c>
      <c r="P21" s="12">
        <v>1474.77965482199</v>
      </c>
      <c r="Q21" s="12">
        <v>1261.13222333435</v>
      </c>
      <c r="R21" s="12">
        <v>1527.80097982296</v>
      </c>
      <c r="S21" s="12">
        <v>1525.80733614088</v>
      </c>
      <c r="T21" s="12">
        <v>1525.78015975929</v>
      </c>
      <c r="U21" s="23">
        <v>1526.03611222042</v>
      </c>
      <c r="V21" s="7">
        <v>1467.72222222222</v>
      </c>
      <c r="W21" s="7">
        <v>1.0</v>
      </c>
      <c r="X21" s="7">
        <v>1585.04998369786</v>
      </c>
    </row>
    <row r="22">
      <c r="A22" s="8">
        <v>40787.0</v>
      </c>
      <c r="B22" s="9">
        <f>IFERROR(__xludf.DUMMYFUNCTION("""COMPUTED_VALUE"""),156.0)</f>
        <v>156</v>
      </c>
      <c r="C22" s="12">
        <v>1501.45887592004</v>
      </c>
      <c r="D22" s="12">
        <v>1498.0</v>
      </c>
      <c r="E22" s="12">
        <v>1827.03177049334</v>
      </c>
      <c r="F22" s="12">
        <v>1679.18625108474</v>
      </c>
      <c r="G22" s="12">
        <v>1677.30850357809</v>
      </c>
      <c r="H22" s="12">
        <v>1585.04903798492</v>
      </c>
      <c r="I22" s="12">
        <v>1585.05000004996</v>
      </c>
      <c r="J22" s="12">
        <v>1719.7131174787</v>
      </c>
      <c r="K22" s="13">
        <v>1689.12142063548</v>
      </c>
      <c r="L22" s="12">
        <v>1467.72222222222</v>
      </c>
      <c r="M22" s="12">
        <v>1519.96982659666</v>
      </c>
      <c r="N22" s="12">
        <v>1467.72222128122</v>
      </c>
      <c r="O22" s="12">
        <v>1669.3322340084</v>
      </c>
      <c r="P22" s="12">
        <v>1474.07273337758</v>
      </c>
      <c r="Q22" s="12">
        <v>1472.72074615182</v>
      </c>
      <c r="R22" s="12">
        <v>1521.73463976394</v>
      </c>
      <c r="S22" s="12">
        <v>1519.98942223398</v>
      </c>
      <c r="T22" s="12">
        <v>1519.96464844175</v>
      </c>
      <c r="U22" s="23">
        <v>1520.19498543255</v>
      </c>
      <c r="V22" s="7">
        <v>1467.72222222222</v>
      </c>
      <c r="W22" s="7">
        <v>1.0</v>
      </c>
      <c r="X22" s="7">
        <v>1585.04998369786</v>
      </c>
    </row>
    <row r="23">
      <c r="A23" s="8">
        <v>40817.0</v>
      </c>
      <c r="B23" s="9"/>
      <c r="C23" s="12">
        <v>1508.46364528533</v>
      </c>
      <c r="D23" s="12">
        <v>1498.0</v>
      </c>
      <c r="E23" s="12">
        <v>1824.89357202477</v>
      </c>
      <c r="F23" s="12">
        <v>1677.00547662473</v>
      </c>
      <c r="G23" s="12">
        <v>1676.12182085821</v>
      </c>
      <c r="H23" s="12">
        <v>1585.04903798492</v>
      </c>
      <c r="I23" s="12">
        <v>1585.05000004996</v>
      </c>
      <c r="J23" s="12">
        <v>1718.53604208832</v>
      </c>
      <c r="K23" s="13">
        <v>1696.03465747498</v>
      </c>
      <c r="L23" s="12">
        <v>1467.72222222222</v>
      </c>
      <c r="M23" s="12">
        <v>1534.36401565645</v>
      </c>
      <c r="N23" s="12">
        <v>1467.72222128122</v>
      </c>
      <c r="O23" s="12">
        <v>1682.90963121325</v>
      </c>
      <c r="P23" s="12">
        <v>1475.72221674787</v>
      </c>
      <c r="Q23" s="12">
        <v>1516.38998350571</v>
      </c>
      <c r="R23" s="12">
        <v>1535.88943323498</v>
      </c>
      <c r="S23" s="12">
        <v>1533.56455468342</v>
      </c>
      <c r="T23" s="12">
        <v>1533.53417484934</v>
      </c>
      <c r="U23" s="23">
        <v>1533.82428127091</v>
      </c>
      <c r="V23" s="7">
        <v>1467.72222222222</v>
      </c>
      <c r="W23" s="7">
        <v>1.0</v>
      </c>
      <c r="X23" s="7">
        <v>1585.04998369786</v>
      </c>
    </row>
    <row r="24">
      <c r="A24" s="8">
        <v>40848.0</v>
      </c>
      <c r="B24" s="9"/>
      <c r="C24" s="12">
        <v>1574.70795046659</v>
      </c>
      <c r="D24" s="12">
        <v>1498.0</v>
      </c>
      <c r="E24" s="12">
        <v>1898.71753028382</v>
      </c>
      <c r="F24" s="12">
        <v>1612.03000843368</v>
      </c>
      <c r="G24" s="12">
        <v>1613.04173141283</v>
      </c>
      <c r="H24" s="12">
        <v>1585.04903798492</v>
      </c>
      <c r="I24" s="12">
        <v>1585.05000004996</v>
      </c>
      <c r="J24" s="12">
        <v>1653.40643804306</v>
      </c>
      <c r="K24" s="13">
        <v>1638.78270257414</v>
      </c>
      <c r="L24" s="12">
        <v>1467.72222222222</v>
      </c>
      <c r="M24" s="12">
        <v>1544.64557927058</v>
      </c>
      <c r="N24" s="12">
        <v>1467.72222128122</v>
      </c>
      <c r="O24" s="12">
        <v>1692.60777207386</v>
      </c>
      <c r="P24" s="12">
        <v>1476.90041915523</v>
      </c>
      <c r="Q24" s="12">
        <v>1517.21693565044</v>
      </c>
      <c r="R24" s="12">
        <v>1546.0</v>
      </c>
      <c r="S24" s="12">
        <v>1543.26107786158</v>
      </c>
      <c r="T24" s="12">
        <v>1543.2266937119</v>
      </c>
      <c r="U24" s="23">
        <v>1543.55949258402</v>
      </c>
      <c r="V24" s="7">
        <v>1467.72222222222</v>
      </c>
      <c r="W24" s="7">
        <v>1.0</v>
      </c>
      <c r="X24" s="7">
        <v>1585.04998369786</v>
      </c>
    </row>
    <row r="25">
      <c r="A25" s="8">
        <v>40878.0</v>
      </c>
      <c r="B25" s="9"/>
      <c r="C25" s="12">
        <v>1414.80315984713</v>
      </c>
      <c r="D25" s="12">
        <v>1498.0</v>
      </c>
      <c r="E25" s="12">
        <v>1935.79534700795</v>
      </c>
      <c r="F25" s="12">
        <v>1648.55589452909</v>
      </c>
      <c r="G25" s="12">
        <v>1656.78976735409</v>
      </c>
      <c r="H25" s="12">
        <v>1585.04903798492</v>
      </c>
      <c r="I25" s="12">
        <v>1585.05000004996</v>
      </c>
      <c r="J25" s="12">
        <v>1701.20698112671</v>
      </c>
      <c r="K25" s="13">
        <v>1663.47901366867</v>
      </c>
      <c r="L25" s="12">
        <v>1467.72222222222</v>
      </c>
      <c r="M25" s="12">
        <v>1544.64557927058</v>
      </c>
      <c r="N25" s="12">
        <v>1467.72222128122</v>
      </c>
      <c r="O25" s="12">
        <v>1692.60777207386</v>
      </c>
      <c r="P25" s="12">
        <v>1476.90041915523</v>
      </c>
      <c r="Q25" s="12">
        <v>1500.02320284912</v>
      </c>
      <c r="R25" s="12">
        <v>2326.25</v>
      </c>
      <c r="S25" s="12">
        <v>1543.26107786158</v>
      </c>
      <c r="T25" s="12">
        <v>1553.42532079296</v>
      </c>
      <c r="U25" s="23">
        <v>1543.55949258402</v>
      </c>
      <c r="V25" s="7">
        <v>1467.72222222222</v>
      </c>
      <c r="W25" s="7">
        <v>1.0</v>
      </c>
      <c r="X25" s="7">
        <v>1585.04998369786</v>
      </c>
    </row>
    <row r="26">
      <c r="A26" s="8">
        <v>40909.0</v>
      </c>
      <c r="B26" s="9"/>
      <c r="C26" s="12">
        <v>1598.64577079257</v>
      </c>
      <c r="D26" s="12">
        <v>1445.0</v>
      </c>
      <c r="E26" s="12">
        <v>1842.9639488493</v>
      </c>
      <c r="F26" s="12">
        <v>1556.296881342</v>
      </c>
      <c r="G26" s="12">
        <v>1561.79497707551</v>
      </c>
      <c r="H26" s="12">
        <v>1789.72189532997</v>
      </c>
      <c r="I26" s="12">
        <v>1585.05000004996</v>
      </c>
      <c r="J26" s="12">
        <v>1604.14299655608</v>
      </c>
      <c r="K26" s="13">
        <v>1358.39655033915</v>
      </c>
      <c r="L26" s="12">
        <v>1467.72222222222</v>
      </c>
      <c r="M26" s="12">
        <v>1544.64557927058</v>
      </c>
      <c r="N26" s="12">
        <v>1467.72222128122</v>
      </c>
      <c r="O26" s="12">
        <v>1692.60777207386</v>
      </c>
      <c r="P26" s="12">
        <v>1476.90041915523</v>
      </c>
      <c r="Q26" s="12">
        <v>1487.77266822817</v>
      </c>
      <c r="R26" s="12">
        <v>1546.0</v>
      </c>
      <c r="S26" s="12">
        <v>1543.26107786158</v>
      </c>
      <c r="T26" s="12">
        <v>1543.2266937119</v>
      </c>
      <c r="U26" s="23">
        <v>1543.55949258402</v>
      </c>
      <c r="V26" s="7">
        <v>1467.72222222222</v>
      </c>
      <c r="W26" s="7">
        <v>2.71828182845905</v>
      </c>
      <c r="X26" s="7">
        <v>1585.04998369786</v>
      </c>
    </row>
    <row r="27">
      <c r="A27" s="8">
        <v>40940.0</v>
      </c>
      <c r="B27" s="9"/>
      <c r="C27" s="12">
        <v>1586.97115518376</v>
      </c>
      <c r="D27" s="12">
        <v>1258.0</v>
      </c>
      <c r="E27" s="12">
        <v>1629.2068566148</v>
      </c>
      <c r="F27" s="12">
        <v>1444.8643444139</v>
      </c>
      <c r="G27" s="12">
        <v>1463.41499267628</v>
      </c>
      <c r="H27" s="12">
        <v>1585.04903798492</v>
      </c>
      <c r="I27" s="12">
        <v>1585.05000004996</v>
      </c>
      <c r="J27" s="12">
        <v>1382.82661181964</v>
      </c>
      <c r="K27" s="13">
        <v>1486.07994104833</v>
      </c>
      <c r="L27" s="12">
        <v>1467.72222222222</v>
      </c>
      <c r="M27" s="12">
        <v>1544.64557927058</v>
      </c>
      <c r="N27" s="12">
        <v>1467.72222128122</v>
      </c>
      <c r="O27" s="12">
        <v>1692.60777207386</v>
      </c>
      <c r="P27" s="12">
        <v>1476.90041915523</v>
      </c>
      <c r="Q27" s="12">
        <v>1427.59460342355</v>
      </c>
      <c r="R27" s="12">
        <v>1546.0</v>
      </c>
      <c r="S27" s="12">
        <v>1543.26107786158</v>
      </c>
      <c r="T27" s="12">
        <v>1543.2266937119</v>
      </c>
      <c r="U27" s="23">
        <v>1543.55949258402</v>
      </c>
      <c r="V27" s="7">
        <v>1467.72222222222</v>
      </c>
      <c r="W27" s="7">
        <v>1493.0</v>
      </c>
      <c r="X27" s="7">
        <v>1585.04998369786</v>
      </c>
    </row>
    <row r="28">
      <c r="A28" s="8">
        <v>40969.0</v>
      </c>
      <c r="B28" s="9"/>
      <c r="C28" s="12">
        <v>1531.52600288459</v>
      </c>
      <c r="D28" s="12">
        <v>1248.33333333333</v>
      </c>
      <c r="E28" s="12">
        <v>1641.74128758326</v>
      </c>
      <c r="F28" s="12">
        <v>1560.23271412696</v>
      </c>
      <c r="G28" s="12">
        <v>1562.39582255768</v>
      </c>
      <c r="H28" s="12">
        <v>1585.04903798492</v>
      </c>
      <c r="I28" s="12">
        <v>1585.05000004996</v>
      </c>
      <c r="J28" s="12">
        <v>1206.7280907801</v>
      </c>
      <c r="K28" s="13">
        <v>1501.02902376362</v>
      </c>
      <c r="L28" s="12">
        <v>1467.72222222222</v>
      </c>
      <c r="M28" s="12">
        <v>1544.64557927058</v>
      </c>
      <c r="N28" s="12">
        <v>1467.72222128122</v>
      </c>
      <c r="O28" s="12">
        <v>1692.60777207386</v>
      </c>
      <c r="P28" s="12">
        <v>1476.90041915523</v>
      </c>
      <c r="Q28" s="12">
        <v>1457.25379250583</v>
      </c>
      <c r="R28" s="12">
        <v>1546.0</v>
      </c>
      <c r="S28" s="12">
        <v>1543.26107786158</v>
      </c>
      <c r="T28" s="12">
        <v>1543.2266937119</v>
      </c>
      <c r="U28" s="23">
        <v>1543.55949258402</v>
      </c>
      <c r="V28" s="7">
        <v>1467.72222222222</v>
      </c>
      <c r="W28" s="7">
        <v>1313.0</v>
      </c>
      <c r="X28" s="7">
        <v>1585.04998369786</v>
      </c>
    </row>
    <row r="29">
      <c r="A29" s="8">
        <v>41000.0</v>
      </c>
      <c r="B29" s="9"/>
      <c r="C29" s="12">
        <v>1597.34441115309</v>
      </c>
      <c r="D29" s="12">
        <v>1236.0</v>
      </c>
      <c r="E29" s="12">
        <v>1658.20452093593</v>
      </c>
      <c r="F29" s="12">
        <v>1576.69633504967</v>
      </c>
      <c r="G29" s="12">
        <v>1577.41282919545</v>
      </c>
      <c r="H29" s="12">
        <v>1585.04903798492</v>
      </c>
      <c r="I29" s="12">
        <v>1585.05000004996</v>
      </c>
      <c r="J29" s="12">
        <v>1098.74532149581</v>
      </c>
      <c r="K29" s="13">
        <v>1593.823924775</v>
      </c>
      <c r="L29" s="12">
        <v>1467.72222222222</v>
      </c>
      <c r="M29" s="12">
        <v>1529.64557927058</v>
      </c>
      <c r="N29" s="12">
        <v>1467.72222128122</v>
      </c>
      <c r="O29" s="12">
        <v>1692.60777207386</v>
      </c>
      <c r="P29" s="12">
        <v>1476.90041915523</v>
      </c>
      <c r="Q29" s="12">
        <v>1509.26483422983</v>
      </c>
      <c r="R29" s="12">
        <v>1546.0</v>
      </c>
      <c r="S29" s="12">
        <v>1543.26107786158</v>
      </c>
      <c r="T29" s="12">
        <v>1543.2266937119</v>
      </c>
      <c r="U29" s="23">
        <v>1543.55949258402</v>
      </c>
      <c r="V29" s="7">
        <v>1467.72222222222</v>
      </c>
      <c r="W29" s="7">
        <v>354.718281828459</v>
      </c>
      <c r="X29" s="7">
        <v>1585.04998369786</v>
      </c>
    </row>
    <row r="30">
      <c r="A30" s="8">
        <v>41030.0</v>
      </c>
      <c r="B30" s="9"/>
      <c r="C30" s="12">
        <v>1517.70777254134</v>
      </c>
      <c r="D30" s="12">
        <v>1265.4</v>
      </c>
      <c r="E30" s="12">
        <v>1814.26853587797</v>
      </c>
      <c r="F30" s="12">
        <v>1732.34097695138</v>
      </c>
      <c r="G30" s="12">
        <v>1727.36442810778</v>
      </c>
      <c r="H30" s="12">
        <v>1663.23512955349</v>
      </c>
      <c r="I30" s="12">
        <v>1585.05000004996</v>
      </c>
      <c r="J30" s="12">
        <v>1381.24753216479</v>
      </c>
      <c r="K30" s="13">
        <v>1757.15454729079</v>
      </c>
      <c r="L30" s="12">
        <v>1467.72222222222</v>
      </c>
      <c r="M30" s="12">
        <v>1544.64557927058</v>
      </c>
      <c r="N30" s="12">
        <v>1467.72222128122</v>
      </c>
      <c r="O30" s="12">
        <v>1692.60777207386</v>
      </c>
      <c r="P30" s="12">
        <v>1476.90041915523</v>
      </c>
      <c r="Q30" s="12">
        <v>1488.20251154821</v>
      </c>
      <c r="R30" s="12">
        <v>1546.0</v>
      </c>
      <c r="S30" s="12">
        <v>1543.26107786158</v>
      </c>
      <c r="T30" s="12">
        <v>1543.2266937119</v>
      </c>
      <c r="U30" s="23">
        <v>1543.55949258402</v>
      </c>
      <c r="V30" s="7">
        <v>1467.72222222222</v>
      </c>
      <c r="W30" s="7">
        <v>3879.0</v>
      </c>
      <c r="X30" s="7">
        <v>1585.04998369786</v>
      </c>
    </row>
    <row r="31">
      <c r="A31" s="8">
        <v>41061.0</v>
      </c>
      <c r="B31" s="9"/>
      <c r="C31" s="12">
        <v>1570.70795046659</v>
      </c>
      <c r="D31" s="12">
        <v>1295.66666666667</v>
      </c>
      <c r="E31" s="12">
        <v>1724.35721670668</v>
      </c>
      <c r="F31" s="12">
        <v>1642.62833159099</v>
      </c>
      <c r="G31" s="12">
        <v>1641.74561138483</v>
      </c>
      <c r="H31" s="12">
        <v>1585.04903798492</v>
      </c>
      <c r="I31" s="12">
        <v>1585.05000004996</v>
      </c>
      <c r="J31" s="12">
        <v>1374.10778501436</v>
      </c>
      <c r="K31" s="13">
        <v>1655.19128244282</v>
      </c>
      <c r="L31" s="12">
        <v>1467.72222222222</v>
      </c>
      <c r="M31" s="12">
        <v>1557.8128084725</v>
      </c>
      <c r="N31" s="12">
        <v>1467.72222128122</v>
      </c>
      <c r="O31" s="12">
        <v>1692.60777207386</v>
      </c>
      <c r="P31" s="12">
        <v>1476.90041915523</v>
      </c>
      <c r="Q31" s="12">
        <v>1518.0766222905</v>
      </c>
      <c r="R31" s="12">
        <v>1546.0</v>
      </c>
      <c r="S31" s="12">
        <v>1543.26107786158</v>
      </c>
      <c r="T31" s="12">
        <v>1543.2266937119</v>
      </c>
      <c r="U31" s="23">
        <v>1543.55949258402</v>
      </c>
      <c r="V31" s="7">
        <v>1467.72222222222</v>
      </c>
      <c r="W31" s="7">
        <v>795.0</v>
      </c>
      <c r="X31" s="7">
        <v>1585.04998369786</v>
      </c>
    </row>
    <row r="32">
      <c r="A32" s="8">
        <v>41091.0</v>
      </c>
      <c r="B32" s="9"/>
      <c r="C32" s="12">
        <v>1580.97592454905</v>
      </c>
      <c r="D32" s="12">
        <v>1318.42857142857</v>
      </c>
      <c r="E32" s="12">
        <v>1600.21733518228</v>
      </c>
      <c r="F32" s="12">
        <v>1597.69326307921</v>
      </c>
      <c r="G32" s="12">
        <v>1596.8739261206</v>
      </c>
      <c r="H32" s="12">
        <v>1585.04903798492</v>
      </c>
      <c r="I32" s="12">
        <v>1585.05000004996</v>
      </c>
      <c r="J32" s="12">
        <v>1401.45580012159</v>
      </c>
      <c r="K32" s="13">
        <v>1617.94544354581</v>
      </c>
      <c r="L32" s="12">
        <v>1467.72222222222</v>
      </c>
      <c r="M32" s="12">
        <v>1551.55798495483</v>
      </c>
      <c r="N32" s="12">
        <v>1467.72222128122</v>
      </c>
      <c r="O32" s="12">
        <v>1692.60777207386</v>
      </c>
      <c r="P32" s="12">
        <v>1476.90041915523</v>
      </c>
      <c r="Q32" s="12">
        <v>1496.36953462883</v>
      </c>
      <c r="R32" s="12">
        <v>1546.0</v>
      </c>
      <c r="S32" s="12">
        <v>1543.26107786158</v>
      </c>
      <c r="T32" s="12">
        <v>1543.2266937119</v>
      </c>
      <c r="U32" s="23">
        <v>1543.55949258402</v>
      </c>
      <c r="V32" s="7">
        <v>1467.72222222222</v>
      </c>
      <c r="W32" s="7">
        <v>526.0</v>
      </c>
      <c r="X32" s="7">
        <v>1585.04998369786</v>
      </c>
    </row>
    <row r="33">
      <c r="A33" s="8">
        <v>41122.0</v>
      </c>
      <c r="B33" s="9"/>
      <c r="C33" s="12">
        <v>1576.15292484051</v>
      </c>
      <c r="D33" s="12">
        <v>1322.25</v>
      </c>
      <c r="E33" s="12">
        <v>1738.51416321912</v>
      </c>
      <c r="F33" s="12">
        <v>1656.7953327724</v>
      </c>
      <c r="G33" s="12">
        <v>1654.48435027269</v>
      </c>
      <c r="H33" s="12">
        <v>1585.04903798492</v>
      </c>
      <c r="I33" s="12">
        <v>1585.05000004996</v>
      </c>
      <c r="J33" s="12">
        <v>1553.50430686525</v>
      </c>
      <c r="K33" s="13">
        <v>1642.49393729269</v>
      </c>
      <c r="L33" s="12">
        <v>1467.72222222222</v>
      </c>
      <c r="M33" s="12">
        <v>1544.64557927058</v>
      </c>
      <c r="N33" s="12">
        <v>1467.72222128122</v>
      </c>
      <c r="O33" s="12">
        <v>1692.60777207386</v>
      </c>
      <c r="P33" s="12">
        <v>1476.90041915523</v>
      </c>
      <c r="Q33" s="12">
        <v>1565.11956669331</v>
      </c>
      <c r="R33" s="12">
        <v>1546.0</v>
      </c>
      <c r="S33" s="12">
        <v>1543.26107786158</v>
      </c>
      <c r="T33" s="12">
        <v>1543.2266937119</v>
      </c>
      <c r="U33" s="23">
        <v>1543.55949258402</v>
      </c>
      <c r="V33" s="7">
        <v>1467.72222222222</v>
      </c>
      <c r="W33" s="7">
        <v>-17.25</v>
      </c>
      <c r="X33" s="7">
        <v>1585.04998369786</v>
      </c>
    </row>
    <row r="34">
      <c r="A34" s="8">
        <v>41153.0</v>
      </c>
      <c r="B34" s="9"/>
      <c r="C34" s="12">
        <v>1594.29177020965</v>
      </c>
      <c r="D34" s="12">
        <v>1338.66666666667</v>
      </c>
      <c r="E34" s="12">
        <v>1668.79688702919</v>
      </c>
      <c r="F34" s="12">
        <v>1587.22588193009</v>
      </c>
      <c r="G34" s="12">
        <v>1588.20729746523</v>
      </c>
      <c r="H34" s="12">
        <v>1585.04903798492</v>
      </c>
      <c r="I34" s="12">
        <v>1585.05000004996</v>
      </c>
      <c r="J34" s="12">
        <v>1517.29522855622</v>
      </c>
      <c r="K34" s="13">
        <v>1514.49767314242</v>
      </c>
      <c r="L34" s="12">
        <v>1467.72222222222</v>
      </c>
      <c r="M34" s="12">
        <v>1544.64557927058</v>
      </c>
      <c r="N34" s="12">
        <v>1467.72222128122</v>
      </c>
      <c r="O34" s="12">
        <v>1692.60777207386</v>
      </c>
      <c r="P34" s="12">
        <v>1476.90041915523</v>
      </c>
      <c r="Q34" s="12">
        <v>1689.14873463613</v>
      </c>
      <c r="R34" s="12">
        <v>1546.0</v>
      </c>
      <c r="S34" s="12">
        <v>1543.26107786158</v>
      </c>
      <c r="T34" s="12">
        <v>1543.2266937119</v>
      </c>
      <c r="U34" s="23">
        <v>1543.55949258402</v>
      </c>
      <c r="V34" s="7">
        <v>1467.72222222222</v>
      </c>
      <c r="W34" s="7">
        <v>1075.38905609893</v>
      </c>
      <c r="X34" s="7">
        <v>1585.04998369786</v>
      </c>
    </row>
    <row r="35">
      <c r="A35" s="8">
        <v>41183.0</v>
      </c>
      <c r="B35" s="9"/>
      <c r="C35" s="12">
        <v>1573.0907451665</v>
      </c>
      <c r="D35" s="12">
        <v>1353.2</v>
      </c>
      <c r="E35" s="12">
        <v>1655.38140721455</v>
      </c>
      <c r="F35" s="12">
        <v>1570.88462109941</v>
      </c>
      <c r="G35" s="12">
        <v>1571.89407076118</v>
      </c>
      <c r="H35" s="12">
        <v>1585.04903798492</v>
      </c>
      <c r="I35" s="12">
        <v>1585.05000004996</v>
      </c>
      <c r="J35" s="12">
        <v>1548.55941966526</v>
      </c>
      <c r="K35" s="13">
        <v>1580.29509122677</v>
      </c>
      <c r="L35" s="12">
        <v>1467.72222222222</v>
      </c>
      <c r="M35" s="12">
        <v>1544.64557927058</v>
      </c>
      <c r="N35" s="12">
        <v>1467.72222128122</v>
      </c>
      <c r="O35" s="12">
        <v>1692.60777207386</v>
      </c>
      <c r="P35" s="12">
        <v>1476.90041915523</v>
      </c>
      <c r="Q35" s="12">
        <v>1808.77172421221</v>
      </c>
      <c r="R35" s="12">
        <v>1546.0</v>
      </c>
      <c r="S35" s="12">
        <v>1543.26107786158</v>
      </c>
      <c r="T35" s="12">
        <v>1543.2266937119</v>
      </c>
      <c r="U35" s="23">
        <v>1543.55949258402</v>
      </c>
      <c r="V35" s="7">
        <v>1467.72222222222</v>
      </c>
      <c r="W35" s="7">
        <v>321.0</v>
      </c>
      <c r="X35" s="7">
        <v>1585.04998369786</v>
      </c>
    </row>
    <row r="36">
      <c r="A36" s="8">
        <v>41214.0</v>
      </c>
      <c r="B36" s="9"/>
      <c r="C36" s="12">
        <v>1607.17218022692</v>
      </c>
      <c r="D36" s="12">
        <v>1353.2</v>
      </c>
      <c r="E36" s="12">
        <v>1463.24279485868</v>
      </c>
      <c r="F36" s="12">
        <v>1378.80014219033</v>
      </c>
      <c r="G36" s="12">
        <v>1395.58066990279</v>
      </c>
      <c r="H36" s="12">
        <v>1585.04903798492</v>
      </c>
      <c r="I36" s="12">
        <v>1585.05000004996</v>
      </c>
      <c r="J36" s="12">
        <v>1406.2454156568</v>
      </c>
      <c r="K36" s="13">
        <v>1413.71418227094</v>
      </c>
      <c r="L36" s="12">
        <v>1467.72222222222</v>
      </c>
      <c r="M36" s="12">
        <v>1542.64557927058</v>
      </c>
      <c r="N36" s="12">
        <v>1467.72222128122</v>
      </c>
      <c r="O36" s="12">
        <v>1692.60777207386</v>
      </c>
      <c r="P36" s="12">
        <v>1476.90041915523</v>
      </c>
      <c r="Q36" s="12">
        <v>1516.71492681409</v>
      </c>
      <c r="R36" s="12">
        <v>1546.0</v>
      </c>
      <c r="S36" s="12">
        <v>1543.26107786158</v>
      </c>
      <c r="T36" s="12">
        <v>1543.2266937119</v>
      </c>
      <c r="U36" s="23">
        <v>1543.55949258402</v>
      </c>
      <c r="V36" s="7">
        <v>1467.72222222222</v>
      </c>
      <c r="W36" s="7">
        <v>1.0</v>
      </c>
      <c r="X36" s="7">
        <v>1585.04998369786</v>
      </c>
    </row>
    <row r="37">
      <c r="A37" s="8">
        <v>41244.0</v>
      </c>
      <c r="B37" s="9"/>
      <c r="C37" s="12">
        <v>1597.40182146181</v>
      </c>
      <c r="D37" s="12">
        <v>1353.2</v>
      </c>
      <c r="E37" s="12">
        <v>1594.00288828307</v>
      </c>
      <c r="F37" s="12">
        <v>1546.52040109747</v>
      </c>
      <c r="G37" s="12">
        <v>1549.39001424951</v>
      </c>
      <c r="H37" s="12">
        <v>1585.04903798492</v>
      </c>
      <c r="I37" s="12">
        <v>1585.05000004996</v>
      </c>
      <c r="J37" s="12">
        <v>1545.72031349142</v>
      </c>
      <c r="K37" s="13">
        <v>1571.80651378433</v>
      </c>
      <c r="L37" s="12">
        <v>1467.72222222222</v>
      </c>
      <c r="M37" s="12">
        <v>1544.64557927058</v>
      </c>
      <c r="N37" s="12">
        <v>1467.72222128122</v>
      </c>
      <c r="O37" s="12">
        <v>1692.60777207386</v>
      </c>
      <c r="P37" s="12">
        <v>1476.90041915523</v>
      </c>
      <c r="Q37" s="12">
        <v>1376.4338363913</v>
      </c>
      <c r="R37" s="12">
        <v>1546.0</v>
      </c>
      <c r="S37" s="12">
        <v>1543.26107786158</v>
      </c>
      <c r="T37" s="12">
        <v>1543.2266937119</v>
      </c>
      <c r="U37" s="23">
        <v>1543.55949258402</v>
      </c>
      <c r="V37" s="7">
        <v>1467.72222222222</v>
      </c>
      <c r="W37" s="7">
        <v>56.718281828459</v>
      </c>
      <c r="X37" s="7">
        <v>1585.04998369786</v>
      </c>
    </row>
    <row r="38">
      <c r="A38" s="8">
        <v>41275.0</v>
      </c>
      <c r="B38" s="9"/>
      <c r="C38" s="12">
        <v>1579.98069391434</v>
      </c>
      <c r="D38" s="12">
        <v>1362.45454545455</v>
      </c>
      <c r="E38" s="12">
        <v>1605.13554437046</v>
      </c>
      <c r="F38" s="12">
        <v>1603.49629631999</v>
      </c>
      <c r="G38" s="12">
        <v>1604.34309901106</v>
      </c>
      <c r="H38" s="12">
        <v>1585.04903798492</v>
      </c>
      <c r="I38" s="12">
        <v>1585.05000004996</v>
      </c>
      <c r="J38" s="12">
        <v>1613.34525904622</v>
      </c>
      <c r="K38" s="13">
        <v>1625.15714640849</v>
      </c>
      <c r="L38" s="12">
        <v>1467.72222222222</v>
      </c>
      <c r="M38" s="12">
        <v>1546.50561202219</v>
      </c>
      <c r="N38" s="12">
        <v>1467.72222128122</v>
      </c>
      <c r="O38" s="12">
        <v>1692.60777207386</v>
      </c>
      <c r="P38" s="12">
        <v>1476.90041915523</v>
      </c>
      <c r="Q38" s="12">
        <v>1421.50537550887</v>
      </c>
      <c r="R38" s="12">
        <v>1546.0</v>
      </c>
      <c r="S38" s="12">
        <v>1543.26107786158</v>
      </c>
      <c r="T38" s="12">
        <v>1543.2266937119</v>
      </c>
      <c r="U38" s="23">
        <v>1543.55949258402</v>
      </c>
      <c r="V38" s="7">
        <v>1467.72222222222</v>
      </c>
      <c r="W38" s="7">
        <v>220.389056098931</v>
      </c>
      <c r="X38" s="7">
        <v>1585.0499837035</v>
      </c>
    </row>
    <row r="39">
      <c r="A39" s="8">
        <v>41306.0</v>
      </c>
      <c r="B39" s="9"/>
      <c r="C39" s="12">
        <v>1582.35871924896</v>
      </c>
      <c r="D39" s="12">
        <v>1372.25</v>
      </c>
      <c r="E39" s="12">
        <v>1618.24522554222</v>
      </c>
      <c r="F39" s="12">
        <v>1626.13713642488</v>
      </c>
      <c r="G39" s="12">
        <v>1690.79260356149</v>
      </c>
      <c r="H39" s="12">
        <v>1585.04903798492</v>
      </c>
      <c r="I39" s="12">
        <v>1585.05000004996</v>
      </c>
      <c r="J39" s="12">
        <v>1630.75135775374</v>
      </c>
      <c r="K39" s="13">
        <v>1637.85231378979</v>
      </c>
      <c r="L39" s="12">
        <v>1467.72222222222</v>
      </c>
      <c r="M39" s="12">
        <v>1546.99020600021</v>
      </c>
      <c r="N39" s="12">
        <v>1467.72222128122</v>
      </c>
      <c r="O39" s="12">
        <v>1692.60777207386</v>
      </c>
      <c r="P39" s="12">
        <v>1476.90041915523</v>
      </c>
      <c r="Q39" s="12">
        <v>1487.96008877904</v>
      </c>
      <c r="R39" s="12">
        <v>1546.0</v>
      </c>
      <c r="S39" s="12">
        <v>1543.26107786158</v>
      </c>
      <c r="T39" s="12">
        <v>1543.2266937119</v>
      </c>
      <c r="U39" s="23">
        <v>1543.55949258402</v>
      </c>
      <c r="V39" s="7">
        <v>1467.72222222222</v>
      </c>
      <c r="W39" s="7">
        <v>2516.59815003314</v>
      </c>
      <c r="X39" s="7">
        <v>1585.04998369786</v>
      </c>
    </row>
    <row r="40">
      <c r="A40" s="8">
        <v>41334.0</v>
      </c>
      <c r="B40" s="9"/>
      <c r="C40" s="12">
        <v>1615.5645136574</v>
      </c>
      <c r="D40" s="12">
        <v>1367.92307692308</v>
      </c>
      <c r="E40" s="12">
        <v>1561.57362467087</v>
      </c>
      <c r="F40" s="12">
        <v>1569.56631562427</v>
      </c>
      <c r="G40" s="12">
        <v>1571.66222251303</v>
      </c>
      <c r="H40" s="12">
        <v>1585.04903798492</v>
      </c>
      <c r="I40" s="12">
        <v>1585.05000004996</v>
      </c>
      <c r="J40" s="12">
        <v>1577.22082725177</v>
      </c>
      <c r="K40" s="13">
        <v>1590.09895586956</v>
      </c>
      <c r="L40" s="12">
        <v>1467.72222222222</v>
      </c>
      <c r="M40" s="12">
        <v>1460.26258755</v>
      </c>
      <c r="N40" s="12">
        <v>1467.72222128122</v>
      </c>
      <c r="O40" s="12">
        <v>1620.84152970536</v>
      </c>
      <c r="P40" s="12">
        <v>1468.1817213408</v>
      </c>
      <c r="Q40" s="12">
        <v>2441.66029517034</v>
      </c>
      <c r="R40" s="12">
        <v>1471.18180593882</v>
      </c>
      <c r="S40" s="12">
        <v>1471.50680634316</v>
      </c>
      <c r="T40" s="12">
        <v>1471.50205412894</v>
      </c>
      <c r="U40" s="23">
        <v>1471.51892886701</v>
      </c>
      <c r="V40" s="7">
        <v>1467.72222222222</v>
      </c>
      <c r="W40" s="7">
        <v>338.718281828459</v>
      </c>
      <c r="X40" s="7">
        <v>1585.04998369786</v>
      </c>
    </row>
    <row r="41">
      <c r="A41" s="8">
        <v>41365.0</v>
      </c>
      <c r="B41" s="9"/>
      <c r="C41" s="12">
        <v>1553.72702792775</v>
      </c>
      <c r="D41" s="12">
        <v>1496.0</v>
      </c>
      <c r="E41" s="12">
        <v>1602.27307505672</v>
      </c>
      <c r="F41" s="12">
        <v>1610.65880465572</v>
      </c>
      <c r="G41" s="12">
        <v>1610.40809130952</v>
      </c>
      <c r="H41" s="12">
        <v>1585.04903798492</v>
      </c>
      <c r="I41" s="12">
        <v>1652.90377510563</v>
      </c>
      <c r="J41" s="12">
        <v>1618.73009015571</v>
      </c>
      <c r="K41" s="13">
        <v>1630.72591322978</v>
      </c>
      <c r="L41" s="12">
        <v>1549.88</v>
      </c>
      <c r="M41" s="12">
        <v>1484.64557927058</v>
      </c>
      <c r="N41" s="12">
        <v>1467.72222128122</v>
      </c>
      <c r="O41" s="12">
        <v>1692.60777207386</v>
      </c>
      <c r="P41" s="12">
        <v>1476.90041915523</v>
      </c>
      <c r="Q41" s="12">
        <v>1583.03049791864</v>
      </c>
      <c r="R41" s="12">
        <v>1546.0</v>
      </c>
      <c r="S41" s="12">
        <v>1543.26107786158</v>
      </c>
      <c r="T41" s="12">
        <v>1543.2266937119</v>
      </c>
      <c r="U41" s="23">
        <v>1543.55949258402</v>
      </c>
      <c r="V41" s="7">
        <v>1467.72222222222</v>
      </c>
      <c r="W41" s="7">
        <v>1782.38905609893</v>
      </c>
      <c r="X41" s="7">
        <v>1585.04998369786</v>
      </c>
    </row>
    <row r="42">
      <c r="A42" s="8">
        <v>41395.0</v>
      </c>
      <c r="B42" s="9"/>
      <c r="C42" s="12">
        <v>1585.28565827347</v>
      </c>
      <c r="D42" s="12">
        <v>1371.64285714286</v>
      </c>
      <c r="E42" s="12">
        <v>1553.49219212087</v>
      </c>
      <c r="F42" s="12">
        <v>1573.997744053</v>
      </c>
      <c r="G42" s="12">
        <v>1574.69091415027</v>
      </c>
      <c r="H42" s="12">
        <v>1585.04903798492</v>
      </c>
      <c r="I42" s="12">
        <v>1585.05000004996</v>
      </c>
      <c r="J42" s="12">
        <v>1476.01893853415</v>
      </c>
      <c r="K42" s="13">
        <v>1594.6269380969</v>
      </c>
      <c r="L42" s="12">
        <v>1467.72222222222</v>
      </c>
      <c r="M42" s="12">
        <v>1519.38772564522</v>
      </c>
      <c r="N42" s="12">
        <v>1467.72222128122</v>
      </c>
      <c r="O42" s="12">
        <v>1692.60777207386</v>
      </c>
      <c r="P42" s="12">
        <v>1476.90041915523</v>
      </c>
      <c r="Q42" s="12">
        <v>1530.11174975067</v>
      </c>
      <c r="R42" s="12">
        <v>1546.0</v>
      </c>
      <c r="S42" s="12">
        <v>1543.26107786158</v>
      </c>
      <c r="T42" s="12">
        <v>1543.2266937119</v>
      </c>
      <c r="U42" s="23">
        <v>1543.55949258402</v>
      </c>
      <c r="V42" s="7">
        <v>1467.72222222222</v>
      </c>
      <c r="W42" s="7">
        <v>2046.71828182846</v>
      </c>
      <c r="X42" s="7">
        <v>1585.04998369786</v>
      </c>
    </row>
    <row r="43">
      <c r="A43" s="8">
        <v>41426.0</v>
      </c>
      <c r="B43" s="9"/>
      <c r="C43" s="12">
        <v>1615.62673611726</v>
      </c>
      <c r="D43" s="12">
        <v>1371.35714285714</v>
      </c>
      <c r="E43" s="12">
        <v>1395.1442472113</v>
      </c>
      <c r="F43" s="12">
        <v>1416.70209239576</v>
      </c>
      <c r="G43" s="12">
        <v>1430.56111020579</v>
      </c>
      <c r="H43" s="12">
        <v>1585.04903798492</v>
      </c>
      <c r="I43" s="12">
        <v>1585.05000004996</v>
      </c>
      <c r="J43" s="12">
        <v>1548.15635195015</v>
      </c>
      <c r="K43" s="13">
        <v>1461.4039578696</v>
      </c>
      <c r="L43" s="12">
        <v>1467.72222222222</v>
      </c>
      <c r="M43" s="12">
        <v>1556.21744285792</v>
      </c>
      <c r="N43" s="12">
        <v>1467.72222128122</v>
      </c>
      <c r="O43" s="12">
        <v>1692.60777207386</v>
      </c>
      <c r="P43" s="12">
        <v>1476.90041915523</v>
      </c>
      <c r="Q43" s="12">
        <v>1524.98915239716</v>
      </c>
      <c r="R43" s="12">
        <v>1546.0</v>
      </c>
      <c r="S43" s="12">
        <v>1543.26107786158</v>
      </c>
      <c r="T43" s="12">
        <v>1543.2266937119</v>
      </c>
      <c r="U43" s="23">
        <v>1543.55949258402</v>
      </c>
      <c r="V43" s="7">
        <v>1467.72222222222</v>
      </c>
      <c r="W43" s="7">
        <v>464.718281828459</v>
      </c>
      <c r="X43" s="7">
        <v>1585.04998369786</v>
      </c>
    </row>
    <row r="44">
      <c r="A44" s="8">
        <v>41456.0</v>
      </c>
      <c r="B44" s="9"/>
      <c r="C44" s="12">
        <v>1599.00945615661</v>
      </c>
      <c r="D44" s="12">
        <v>1395.5</v>
      </c>
      <c r="E44" s="12">
        <v>1533.3568766646</v>
      </c>
      <c r="F44" s="12">
        <v>1565.85476396657</v>
      </c>
      <c r="G44" s="12">
        <v>1567.51118164356</v>
      </c>
      <c r="H44" s="12">
        <v>1585.04903798492</v>
      </c>
      <c r="I44" s="12">
        <v>1585.05000004996</v>
      </c>
      <c r="J44" s="12">
        <v>1572.06800719023</v>
      </c>
      <c r="K44" s="13">
        <v>1584.51741250893</v>
      </c>
      <c r="L44" s="12">
        <v>1467.72222222222</v>
      </c>
      <c r="M44" s="12">
        <v>1545.63932141914</v>
      </c>
      <c r="N44" s="12">
        <v>1467.72222128122</v>
      </c>
      <c r="O44" s="12">
        <v>1692.60777207386</v>
      </c>
      <c r="P44" s="12">
        <v>1476.90041915523</v>
      </c>
      <c r="Q44" s="12">
        <v>1518.07662540594</v>
      </c>
      <c r="R44" s="12">
        <v>1546.0</v>
      </c>
      <c r="S44" s="12">
        <v>1543.26107786158</v>
      </c>
      <c r="T44" s="12">
        <v>1543.2266937119</v>
      </c>
      <c r="U44" s="23">
        <v>1543.55949258402</v>
      </c>
      <c r="V44" s="7">
        <v>1467.72222222222</v>
      </c>
      <c r="W44" s="7">
        <v>506.085536923188</v>
      </c>
      <c r="X44" s="7">
        <v>1585.04998369786</v>
      </c>
    </row>
    <row r="45">
      <c r="A45" s="8">
        <v>41487.0</v>
      </c>
      <c r="B45" s="9"/>
      <c r="C45" s="12">
        <v>1674.94880969783</v>
      </c>
      <c r="D45" s="12">
        <v>1413.07142857143</v>
      </c>
      <c r="E45" s="12">
        <v>1560.16697794256</v>
      </c>
      <c r="F45" s="12">
        <v>1581.67005123496</v>
      </c>
      <c r="G45" s="12">
        <v>1581.92006426215</v>
      </c>
      <c r="H45" s="12">
        <v>1585.04903798492</v>
      </c>
      <c r="I45" s="12">
        <v>1585.05000004996</v>
      </c>
      <c r="J45" s="12">
        <v>1591.81995468999</v>
      </c>
      <c r="K45" s="13">
        <v>1598.80468180332</v>
      </c>
      <c r="L45" s="12">
        <v>1467.72222222222</v>
      </c>
      <c r="M45" s="12">
        <v>1531.76299259464</v>
      </c>
      <c r="N45" s="12">
        <v>1467.72222128122</v>
      </c>
      <c r="O45" s="12">
        <v>1692.60777207386</v>
      </c>
      <c r="P45" s="12">
        <v>1476.90041915523</v>
      </c>
      <c r="Q45" s="12">
        <v>1529.63200743994</v>
      </c>
      <c r="R45" s="12">
        <v>1546.0</v>
      </c>
      <c r="S45" s="12">
        <v>1543.26107786158</v>
      </c>
      <c r="T45" s="12">
        <v>1543.2266937119</v>
      </c>
      <c r="U45" s="23">
        <v>1543.55949258402</v>
      </c>
      <c r="V45" s="7">
        <v>1467.72222222222</v>
      </c>
      <c r="W45" s="7">
        <v>20.0855369231877</v>
      </c>
      <c r="X45" s="7">
        <v>1585.04998369786</v>
      </c>
    </row>
    <row r="46">
      <c r="A46" s="8">
        <v>41518.0</v>
      </c>
      <c r="B46" s="9"/>
      <c r="C46" s="12">
        <v>1593.47830923169</v>
      </c>
      <c r="D46" s="12">
        <v>1429.92857142857</v>
      </c>
      <c r="E46" s="12">
        <v>1543.13413328844</v>
      </c>
      <c r="F46" s="12">
        <v>1572.56318784083</v>
      </c>
      <c r="G46" s="12">
        <v>1667.13380345964</v>
      </c>
      <c r="H46" s="12">
        <v>1585.04903798492</v>
      </c>
      <c r="I46" s="12">
        <v>1585.05000004996</v>
      </c>
      <c r="J46" s="12">
        <v>1550.65522806734</v>
      </c>
      <c r="K46" s="13">
        <v>1591.38778623224</v>
      </c>
      <c r="L46" s="12">
        <v>1467.72222222222</v>
      </c>
      <c r="M46" s="12">
        <v>559.027697636115</v>
      </c>
      <c r="N46" s="12">
        <v>1467.72222128122</v>
      </c>
      <c r="O46" s="12">
        <v>1234.09922103742</v>
      </c>
      <c r="P46" s="12">
        <v>1363.32170708612</v>
      </c>
      <c r="Q46" s="12">
        <v>1059.63579497198</v>
      </c>
      <c r="R46" s="12">
        <v>571.341363851682</v>
      </c>
      <c r="S46" s="12">
        <v>1134.00516562494</v>
      </c>
      <c r="T46" s="12">
        <v>1169.98494547815</v>
      </c>
      <c r="U46" s="23">
        <v>605.085122000229</v>
      </c>
      <c r="V46" s="7">
        <v>1467.72222222222</v>
      </c>
      <c r="W46" s="7">
        <v>784.928793492735</v>
      </c>
      <c r="X46" s="7">
        <v>1585.04998369786</v>
      </c>
    </row>
    <row r="47">
      <c r="A47" s="8">
        <v>41548.0</v>
      </c>
      <c r="B47" s="9"/>
      <c r="C47" s="12">
        <v>1597.23912926622</v>
      </c>
      <c r="D47" s="12">
        <v>1436.57142857143</v>
      </c>
      <c r="E47" s="12">
        <v>2472.26115638929</v>
      </c>
      <c r="F47" s="12">
        <v>1558.55429927054</v>
      </c>
      <c r="G47" s="12">
        <v>1561.26028984961</v>
      </c>
      <c r="H47" s="12">
        <v>1585.04903798492</v>
      </c>
      <c r="I47" s="12">
        <v>1585.05000004996</v>
      </c>
      <c r="J47" s="12">
        <v>1611.08158817681</v>
      </c>
      <c r="K47" s="13">
        <v>1578.98006020137</v>
      </c>
      <c r="L47" s="12">
        <v>1467.72222222222</v>
      </c>
      <c r="M47" s="12">
        <v>1036.54507146391</v>
      </c>
      <c r="N47" s="12">
        <v>1467.72222128122</v>
      </c>
      <c r="O47" s="12">
        <v>1211.57998538772</v>
      </c>
      <c r="P47" s="12">
        <v>1418.46157975037</v>
      </c>
      <c r="Q47" s="12">
        <v>1423.14142782323</v>
      </c>
      <c r="R47" s="12">
        <v>1044.51588845481</v>
      </c>
      <c r="S47" s="12">
        <v>1062.31352822462</v>
      </c>
      <c r="T47" s="12">
        <v>1465.66409019301</v>
      </c>
      <c r="U47" s="23">
        <v>1060.69301145377</v>
      </c>
      <c r="V47" s="7">
        <v>3065.12569061375</v>
      </c>
      <c r="W47" s="7">
        <v>1650.0</v>
      </c>
      <c r="X47" s="7">
        <v>1585.04998369786</v>
      </c>
    </row>
    <row r="48">
      <c r="A48" s="8">
        <v>41579.0</v>
      </c>
      <c r="B48" s="9"/>
      <c r="C48" s="12">
        <v>1567.72481640067</v>
      </c>
      <c r="D48" s="12">
        <v>1439.78571428571</v>
      </c>
      <c r="E48" s="12">
        <v>1533.43217756242</v>
      </c>
      <c r="F48" s="12">
        <v>1564.41413647792</v>
      </c>
      <c r="G48" s="12">
        <v>1567.30234124518</v>
      </c>
      <c r="H48" s="12">
        <v>1585.04903798492</v>
      </c>
      <c r="I48" s="12">
        <v>1585.05000004996</v>
      </c>
      <c r="J48" s="12">
        <v>1584.4623599788</v>
      </c>
      <c r="K48" s="13">
        <v>1586.85135610557</v>
      </c>
      <c r="L48" s="12">
        <v>1467.72222222222</v>
      </c>
      <c r="M48" s="12">
        <v>968.366321136748</v>
      </c>
      <c r="N48" s="12">
        <v>1467.72222128122</v>
      </c>
      <c r="O48" s="12">
        <v>1178.60630646165</v>
      </c>
      <c r="P48" s="12">
        <v>1414.45569156536</v>
      </c>
      <c r="Q48" s="12">
        <v>946.262057103353</v>
      </c>
      <c r="R48" s="12">
        <v>1010.13996145373</v>
      </c>
      <c r="S48" s="12">
        <v>1029.34534941886</v>
      </c>
      <c r="T48" s="12">
        <v>1029.52319399613</v>
      </c>
      <c r="U48" s="23">
        <v>1027.5932929892</v>
      </c>
      <c r="V48" s="7">
        <v>1467.72222222222</v>
      </c>
      <c r="W48" s="7">
        <v>2087.71828182846</v>
      </c>
      <c r="X48" s="7">
        <v>1585.04998369786</v>
      </c>
    </row>
    <row r="49">
      <c r="A49" s="8">
        <v>41609.0</v>
      </c>
      <c r="B49" s="9"/>
      <c r="C49" s="12">
        <v>1617.88893076905</v>
      </c>
      <c r="D49" s="12">
        <v>1441.14285714286</v>
      </c>
      <c r="E49" s="12">
        <v>1559.49271962797</v>
      </c>
      <c r="F49" s="12">
        <v>1589.99139716138</v>
      </c>
      <c r="G49" s="12">
        <v>1589.4160779463</v>
      </c>
      <c r="H49" s="12">
        <v>1585.04903798492</v>
      </c>
      <c r="I49" s="12">
        <v>1585.05000004996</v>
      </c>
      <c r="J49" s="12">
        <v>1618.7412569337</v>
      </c>
      <c r="K49" s="13">
        <v>1610.85353430697</v>
      </c>
      <c r="L49" s="12">
        <v>1467.72222222222</v>
      </c>
      <c r="M49" s="12">
        <v>869.582331254765</v>
      </c>
      <c r="N49" s="12">
        <v>1467.72222128122</v>
      </c>
      <c r="O49" s="12">
        <v>1352.87262345327</v>
      </c>
      <c r="P49" s="12">
        <v>1400.31726267709</v>
      </c>
      <c r="Q49" s="12">
        <v>979.013633519945</v>
      </c>
      <c r="R49" s="12">
        <v>1698.02316027344</v>
      </c>
      <c r="S49" s="12">
        <v>912.987071280884</v>
      </c>
      <c r="T49" s="12">
        <v>913.212967645388</v>
      </c>
      <c r="U49" s="23">
        <v>910.770757231878</v>
      </c>
      <c r="V49" s="7">
        <v>1467.72222222222</v>
      </c>
      <c r="W49" s="7">
        <v>1098.59815003314</v>
      </c>
      <c r="X49" s="7">
        <v>1585.04998369786</v>
      </c>
    </row>
    <row r="50">
      <c r="A50" s="8">
        <v>41640.0</v>
      </c>
      <c r="B50" s="9"/>
      <c r="C50" s="12">
        <v>1578.53835280382</v>
      </c>
      <c r="D50" s="12">
        <v>1450.5</v>
      </c>
      <c r="E50" s="12">
        <v>1574.14716115852</v>
      </c>
      <c r="F50" s="12">
        <v>1605.59973505718</v>
      </c>
      <c r="G50" s="12">
        <v>1616.34767967846</v>
      </c>
      <c r="H50" s="12">
        <v>1585.04903798492</v>
      </c>
      <c r="I50" s="12">
        <v>1585.05000004996</v>
      </c>
      <c r="J50" s="12">
        <v>1622.84344640378</v>
      </c>
      <c r="K50" s="13">
        <v>1624.7634390363</v>
      </c>
      <c r="L50" s="12">
        <v>1467.72222222222</v>
      </c>
      <c r="M50" s="12">
        <v>1468.31378466797</v>
      </c>
      <c r="N50" s="12">
        <v>1467.72222128122</v>
      </c>
      <c r="O50" s="12">
        <v>1692.60777207386</v>
      </c>
      <c r="P50" s="12">
        <v>1476.90041915523</v>
      </c>
      <c r="Q50" s="12">
        <v>1527.31825367121</v>
      </c>
      <c r="R50" s="12">
        <v>1546.0</v>
      </c>
      <c r="S50" s="12">
        <v>1543.26107786158</v>
      </c>
      <c r="T50" s="12">
        <v>1543.2266937119</v>
      </c>
      <c r="U50" s="23">
        <v>1543.55949258402</v>
      </c>
      <c r="V50" s="7">
        <v>1467.72222222222</v>
      </c>
      <c r="W50" s="7">
        <v>684.598150033144</v>
      </c>
      <c r="X50" s="7">
        <v>1585.04998369786</v>
      </c>
    </row>
    <row r="51">
      <c r="A51" s="8">
        <v>41671.0</v>
      </c>
      <c r="B51" s="9"/>
      <c r="C51" s="12">
        <v>1611.92008516587</v>
      </c>
      <c r="D51" s="12">
        <v>1434.85714285714</v>
      </c>
      <c r="E51" s="12">
        <v>1559.66224821843</v>
      </c>
      <c r="F51" s="12">
        <v>1590.65895393435</v>
      </c>
      <c r="G51" s="12">
        <v>1591.82839208984</v>
      </c>
      <c r="H51" s="12">
        <v>1585.04903798492</v>
      </c>
      <c r="I51" s="12">
        <v>1585.05000004996</v>
      </c>
      <c r="J51" s="12">
        <v>1511.38881027727</v>
      </c>
      <c r="K51" s="13">
        <v>1594.46603485085</v>
      </c>
      <c r="L51" s="12">
        <v>1467.72222222222</v>
      </c>
      <c r="M51" s="12">
        <v>1534.42728869429</v>
      </c>
      <c r="N51" s="12">
        <v>1467.72222128122</v>
      </c>
      <c r="O51" s="12">
        <v>1651.87558045931</v>
      </c>
      <c r="P51" s="12">
        <v>1471.95196904434</v>
      </c>
      <c r="Q51" s="12">
        <v>1482.08821260295</v>
      </c>
      <c r="R51" s="12">
        <v>1630.68714507556</v>
      </c>
      <c r="S51" s="12">
        <v>1502.53568051329</v>
      </c>
      <c r="T51" s="12">
        <v>1502.51811448914</v>
      </c>
      <c r="U51" s="23">
        <v>1502.67160506896</v>
      </c>
      <c r="V51" s="7">
        <v>1467.72222222222</v>
      </c>
      <c r="W51" s="7">
        <v>2432.08553692319</v>
      </c>
      <c r="X51" s="7">
        <v>1585.04998369806</v>
      </c>
    </row>
    <row r="52">
      <c r="A52" s="8">
        <v>41699.0</v>
      </c>
      <c r="B52" s="9"/>
      <c r="C52" s="12">
        <v>1595.74151394886</v>
      </c>
      <c r="D52" s="12">
        <v>1527.0</v>
      </c>
      <c r="E52" s="12">
        <v>1553.04413132693</v>
      </c>
      <c r="F52" s="12">
        <v>1584.04882838054</v>
      </c>
      <c r="G52" s="12">
        <v>1584.43515795246</v>
      </c>
      <c r="H52" s="12">
        <v>1585.04903798492</v>
      </c>
      <c r="I52" s="12">
        <v>1585.18655635849</v>
      </c>
      <c r="J52" s="12">
        <v>1054.95866124523</v>
      </c>
      <c r="K52" s="13">
        <v>1602.39604125355</v>
      </c>
      <c r="L52" s="12">
        <v>1479.46181818182</v>
      </c>
      <c r="M52" s="12">
        <v>1551.52962819911</v>
      </c>
      <c r="N52" s="12">
        <v>1467.72222128122</v>
      </c>
      <c r="O52" s="12">
        <v>1692.60777207386</v>
      </c>
      <c r="P52" s="12">
        <v>1476.90041915523</v>
      </c>
      <c r="Q52" s="12">
        <v>1526.72339702817</v>
      </c>
      <c r="R52" s="12">
        <v>1730.60104674676</v>
      </c>
      <c r="S52" s="12">
        <v>1543.26107786158</v>
      </c>
      <c r="T52" s="12">
        <v>1543.2266937119</v>
      </c>
      <c r="U52" s="23">
        <v>1543.55949258402</v>
      </c>
      <c r="V52" s="7">
        <v>1467.72222222222</v>
      </c>
      <c r="W52" s="7">
        <v>1863.42879349274</v>
      </c>
      <c r="X52" s="7">
        <v>1585.04998369786</v>
      </c>
    </row>
    <row r="53">
      <c r="A53" s="8">
        <v>41730.0</v>
      </c>
      <c r="B53" s="9"/>
      <c r="C53" s="12">
        <v>1584.636232062</v>
      </c>
      <c r="D53" s="12">
        <v>1435.0</v>
      </c>
      <c r="E53" s="12">
        <v>1643.52758484115</v>
      </c>
      <c r="F53" s="12">
        <v>1674.77582761078</v>
      </c>
      <c r="G53" s="12">
        <v>1672.78551904198</v>
      </c>
      <c r="H53" s="12">
        <v>1585.04903798492</v>
      </c>
      <c r="I53" s="12">
        <v>1585.05000004996</v>
      </c>
      <c r="J53" s="12">
        <v>1834.88623963853</v>
      </c>
      <c r="K53" s="13">
        <v>1696.08233653688</v>
      </c>
      <c r="L53" s="12">
        <v>1467.72222222222</v>
      </c>
      <c r="M53" s="12">
        <v>1516.42950070144</v>
      </c>
      <c r="N53" s="12">
        <v>1467.72222128122</v>
      </c>
      <c r="O53" s="12">
        <v>1665.45297766416</v>
      </c>
      <c r="P53" s="12">
        <v>1473.60145241463</v>
      </c>
      <c r="Q53" s="12">
        <v>1490.97883510697</v>
      </c>
      <c r="R53" s="12">
        <v>1517.69041305793</v>
      </c>
      <c r="S53" s="12">
        <v>1516.11081296272</v>
      </c>
      <c r="T53" s="12">
        <v>1516.08764089673</v>
      </c>
      <c r="U53" s="23">
        <v>1516.30090090731</v>
      </c>
      <c r="V53" s="7">
        <v>1467.72222222222</v>
      </c>
      <c r="W53" s="7">
        <v>880.085536923188</v>
      </c>
      <c r="X53" s="7">
        <v>1585.04998369786</v>
      </c>
    </row>
    <row r="54">
      <c r="A54" s="8">
        <v>41760.0</v>
      </c>
      <c r="B54" s="9"/>
      <c r="C54" s="12">
        <v>1467.14303025943</v>
      </c>
      <c r="D54" s="12">
        <v>1559.0</v>
      </c>
      <c r="E54" s="12">
        <v>1744.99476108134</v>
      </c>
      <c r="F54" s="12">
        <v>1775.94417456194</v>
      </c>
      <c r="G54" s="12">
        <v>1771.79947950467</v>
      </c>
      <c r="H54" s="12">
        <v>1585.04903798492</v>
      </c>
      <c r="I54" s="12">
        <v>1903.27545129016</v>
      </c>
      <c r="J54" s="12">
        <v>1781.33901802401</v>
      </c>
      <c r="K54" s="13">
        <v>1783.80852087965</v>
      </c>
      <c r="L54" s="12">
        <v>1747.78545454545</v>
      </c>
      <c r="M54" s="12">
        <v>1562.21445566034</v>
      </c>
      <c r="N54" s="12">
        <v>1467.72222128122</v>
      </c>
      <c r="O54" s="12">
        <v>1692.60777207386</v>
      </c>
      <c r="P54" s="12">
        <v>1476.90041915523</v>
      </c>
      <c r="Q54" s="12">
        <v>1563.72562323726</v>
      </c>
      <c r="R54" s="12">
        <v>1546.0</v>
      </c>
      <c r="S54" s="12">
        <v>1543.26107786158</v>
      </c>
      <c r="T54" s="12">
        <v>1544.42532079296</v>
      </c>
      <c r="U54" s="23">
        <v>1543.55949258402</v>
      </c>
      <c r="V54" s="7">
        <v>1467.72222222222</v>
      </c>
      <c r="W54" s="7">
        <v>1599.85259704836</v>
      </c>
      <c r="X54" s="7">
        <v>2980.95798704173</v>
      </c>
    </row>
    <row r="55">
      <c r="A55" s="8">
        <v>41791.0</v>
      </c>
      <c r="B55" s="9"/>
      <c r="C55" s="12">
        <v>1315.8411368442</v>
      </c>
      <c r="D55" s="12">
        <v>1423.1875</v>
      </c>
      <c r="E55" s="12">
        <v>1446.60935874646</v>
      </c>
      <c r="F55" s="12">
        <v>1482.05777559059</v>
      </c>
      <c r="G55" s="12">
        <v>1492.77820210654</v>
      </c>
      <c r="H55" s="12">
        <v>1585.04903798492</v>
      </c>
      <c r="I55" s="12">
        <v>1585.05000004996</v>
      </c>
      <c r="J55" s="12">
        <v>1354.80382530779</v>
      </c>
      <c r="K55" s="13">
        <v>1504.28618138669</v>
      </c>
      <c r="L55" s="12">
        <v>1467.72222222222</v>
      </c>
      <c r="M55" s="12">
        <v>1547.85526672959</v>
      </c>
      <c r="N55" s="12">
        <v>1467.72222128122</v>
      </c>
      <c r="O55" s="12">
        <v>1692.60777207386</v>
      </c>
      <c r="P55" s="12">
        <v>1734.13643002686</v>
      </c>
      <c r="Q55" s="12">
        <v>1526.20013316841</v>
      </c>
      <c r="R55" s="12">
        <v>1546.0</v>
      </c>
      <c r="S55" s="12">
        <v>1543.26107786158</v>
      </c>
      <c r="T55" s="12">
        <v>1954.42532079296</v>
      </c>
      <c r="U55" s="23">
        <v>1928.23437834114</v>
      </c>
      <c r="V55" s="7">
        <v>1467.72222222222</v>
      </c>
      <c r="W55" s="7">
        <v>1599.85259704836</v>
      </c>
      <c r="X55" s="7">
        <v>1585.04998369786</v>
      </c>
    </row>
    <row r="56">
      <c r="A56" s="8">
        <v>41821.0</v>
      </c>
      <c r="B56" s="9"/>
      <c r="C56" s="12">
        <v>1609.61238523555</v>
      </c>
      <c r="D56" s="12">
        <v>1419.4</v>
      </c>
      <c r="E56" s="12">
        <v>1550.118499122</v>
      </c>
      <c r="F56" s="12">
        <v>1587.1256414743</v>
      </c>
      <c r="G56" s="12">
        <v>1587.14676305484</v>
      </c>
      <c r="H56" s="12">
        <v>1585.04903798492</v>
      </c>
      <c r="I56" s="12">
        <v>1585.05000004996</v>
      </c>
      <c r="J56" s="12">
        <v>1830.3049407584</v>
      </c>
      <c r="K56" s="13">
        <v>1575.15559404168</v>
      </c>
      <c r="L56" s="12">
        <v>1467.72222222222</v>
      </c>
      <c r="M56" s="12">
        <v>1544.64557927058</v>
      </c>
      <c r="N56" s="12">
        <v>1467.72222128122</v>
      </c>
      <c r="O56" s="12">
        <v>1692.60777207386</v>
      </c>
      <c r="P56" s="12">
        <v>1476.90041915523</v>
      </c>
      <c r="Q56" s="12">
        <v>1526.59017433485</v>
      </c>
      <c r="R56" s="12">
        <v>1546.0</v>
      </c>
      <c r="S56" s="12">
        <v>1543.26107786158</v>
      </c>
      <c r="T56" s="12">
        <v>1543.2266937119</v>
      </c>
      <c r="U56" s="23">
        <v>1543.55949258402</v>
      </c>
      <c r="V56" s="7">
        <v>1467.72222222222</v>
      </c>
      <c r="W56" s="7">
        <v>1599.85259704836</v>
      </c>
      <c r="X56" s="7">
        <v>1585.04998369786</v>
      </c>
    </row>
    <row r="57">
      <c r="A57" s="8">
        <v>41852.0</v>
      </c>
      <c r="B57" s="9"/>
      <c r="C57" s="12">
        <v>1610.61238523555</v>
      </c>
      <c r="D57" s="12">
        <v>1430.93333333333</v>
      </c>
      <c r="E57" s="12">
        <v>1548.618499122</v>
      </c>
      <c r="F57" s="12">
        <v>1595.68311744177</v>
      </c>
      <c r="G57" s="12">
        <v>1586.74624070913</v>
      </c>
      <c r="H57" s="12">
        <v>1713.85435009832</v>
      </c>
      <c r="I57" s="12">
        <v>1613.95162195038</v>
      </c>
      <c r="J57" s="12">
        <v>1337.3049407584</v>
      </c>
      <c r="K57" s="13">
        <v>1605.16633247441</v>
      </c>
      <c r="L57" s="12">
        <v>1467.72222222222</v>
      </c>
      <c r="M57" s="12">
        <v>1221.14430126164</v>
      </c>
      <c r="N57" s="12">
        <v>1467.72222128122</v>
      </c>
      <c r="O57" s="12">
        <v>1692.60777207386</v>
      </c>
      <c r="P57" s="12">
        <v>1476.90041915523</v>
      </c>
      <c r="Q57" s="12">
        <v>1527.31825367121</v>
      </c>
      <c r="R57" s="12">
        <v>1546.0</v>
      </c>
      <c r="S57" s="12">
        <v>1543.26107786158</v>
      </c>
      <c r="T57" s="12">
        <v>1635.94907748216</v>
      </c>
      <c r="U57" s="23">
        <v>1616.48489135607</v>
      </c>
      <c r="V57" s="7">
        <v>1467.72222222222</v>
      </c>
      <c r="W57" s="7">
        <v>1599.85259704836</v>
      </c>
      <c r="X57" s="7">
        <v>1585.04998369786</v>
      </c>
    </row>
    <row r="58">
      <c r="A58" s="8">
        <v>41883.0</v>
      </c>
      <c r="B58" s="9">
        <f>IFERROR(__xludf.DUMMYFUNCTION("""COMPUTED_VALUE"""),7020.0)</f>
        <v>7020</v>
      </c>
      <c r="C58" s="12">
        <v>1611.61238523555</v>
      </c>
      <c r="D58" s="12">
        <v>4769.0</v>
      </c>
      <c r="E58" s="12">
        <v>3998.65113876113</v>
      </c>
      <c r="F58" s="12">
        <v>6981.77343939204</v>
      </c>
      <c r="G58" s="12">
        <v>7064.58157169029</v>
      </c>
      <c r="H58" s="12">
        <v>1585.04903798492</v>
      </c>
      <c r="I58" s="12">
        <v>6990.83773998282</v>
      </c>
      <c r="J58" s="12">
        <v>5901.57608509606</v>
      </c>
      <c r="K58" s="13">
        <v>7098.0141532158</v>
      </c>
      <c r="L58" s="12">
        <v>4844.0</v>
      </c>
      <c r="M58" s="12">
        <v>6512.11974556986</v>
      </c>
      <c r="N58" s="12">
        <v>6716.89556835784</v>
      </c>
      <c r="O58" s="12">
        <v>7723.0</v>
      </c>
      <c r="P58" s="12">
        <v>6873.97027953391</v>
      </c>
      <c r="Q58" s="12">
        <v>6822.92687816685</v>
      </c>
      <c r="R58" s="12">
        <v>5295.6401790075</v>
      </c>
      <c r="S58" s="12">
        <v>7498.0</v>
      </c>
      <c r="T58" s="12">
        <v>6940.25555870921</v>
      </c>
      <c r="U58" s="23">
        <v>7010.83753675119</v>
      </c>
      <c r="V58" s="7">
        <v>1467.72222222222</v>
      </c>
      <c r="W58" s="7">
        <v>1599.85259704836</v>
      </c>
      <c r="X58" s="7">
        <v>1585.04998369786</v>
      </c>
    </row>
    <row r="59">
      <c r="A59" s="8">
        <v>41913.0</v>
      </c>
      <c r="B59" s="9">
        <f>IFERROR(__xludf.DUMMYFUNCTION("""COMPUTED_VALUE"""),1942.0)</f>
        <v>1942</v>
      </c>
      <c r="C59" s="12">
        <v>1600.50710334868</v>
      </c>
      <c r="D59" s="12">
        <v>1435.4</v>
      </c>
      <c r="E59" s="12">
        <v>1549.09592557246</v>
      </c>
      <c r="F59" s="12">
        <v>1588.09731443041</v>
      </c>
      <c r="G59" s="12">
        <v>1589.97879908348</v>
      </c>
      <c r="H59" s="12">
        <v>2355.36678463992</v>
      </c>
      <c r="I59" s="12">
        <v>1585.05000004996</v>
      </c>
      <c r="J59" s="12">
        <v>1237.2138762694</v>
      </c>
      <c r="K59" s="13">
        <v>1555.39098767876</v>
      </c>
      <c r="L59" s="12">
        <v>1467.72222222222</v>
      </c>
      <c r="M59" s="12">
        <v>1209.40293006493</v>
      </c>
      <c r="N59" s="12">
        <v>1467.72222128122</v>
      </c>
      <c r="O59" s="12">
        <v>2845.53393146602</v>
      </c>
      <c r="P59" s="12">
        <v>2718.12334233949</v>
      </c>
      <c r="Q59" s="12">
        <v>1933.70018563647</v>
      </c>
      <c r="R59" s="12">
        <v>1546.0</v>
      </c>
      <c r="S59" s="12">
        <v>1543.26107786158</v>
      </c>
      <c r="T59" s="12">
        <v>1543.2266937119</v>
      </c>
      <c r="U59" s="23">
        <v>1543.55949258402</v>
      </c>
      <c r="V59" s="7">
        <v>1467.72222222222</v>
      </c>
      <c r="W59" s="7">
        <v>1599.85259704836</v>
      </c>
      <c r="X59" s="7">
        <v>1585.04998369786</v>
      </c>
    </row>
    <row r="60">
      <c r="A60" s="8">
        <v>41944.0</v>
      </c>
      <c r="B60" s="9">
        <f>IFERROR(__xludf.DUMMYFUNCTION("""COMPUTED_VALUE"""),3300.0)</f>
        <v>3300</v>
      </c>
      <c r="C60" s="12">
        <v>1556.55479700158</v>
      </c>
      <c r="D60" s="12">
        <v>1438.06666666667</v>
      </c>
      <c r="E60" s="12">
        <v>3338.38361229493</v>
      </c>
      <c r="F60" s="12">
        <v>3004.81847635117</v>
      </c>
      <c r="G60" s="12">
        <v>1586.25940116187</v>
      </c>
      <c r="H60" s="12">
        <v>2904.30605952452</v>
      </c>
      <c r="I60" s="12">
        <v>3799.3243043668</v>
      </c>
      <c r="J60" s="12">
        <v>1169.66015625</v>
      </c>
      <c r="K60" s="13">
        <v>1606.41364038205</v>
      </c>
      <c r="L60" s="12">
        <v>1467.72222222222</v>
      </c>
      <c r="M60" s="12">
        <v>4991.23468838675</v>
      </c>
      <c r="N60" s="12">
        <v>1467.72222128122</v>
      </c>
      <c r="O60" s="12">
        <v>3641.56930656021</v>
      </c>
      <c r="P60" s="12">
        <v>2230.97957234226</v>
      </c>
      <c r="Q60" s="12">
        <v>3434.8974684361</v>
      </c>
      <c r="R60" s="12">
        <v>5402.57203987728</v>
      </c>
      <c r="S60" s="12">
        <v>1539.38246859031</v>
      </c>
      <c r="T60" s="12">
        <v>1669.66125084363</v>
      </c>
      <c r="U60" s="23">
        <v>3154.94345222594</v>
      </c>
      <c r="V60" s="7">
        <v>2938.00243820819</v>
      </c>
      <c r="W60" s="7">
        <v>1599.85259704836</v>
      </c>
      <c r="X60" s="7">
        <v>1585.04998369787</v>
      </c>
    </row>
    <row r="61">
      <c r="A61" s="8">
        <v>41974.0</v>
      </c>
      <c r="B61" s="9"/>
      <c r="C61" s="12">
        <v>1564.48784796227</v>
      </c>
      <c r="D61" s="12">
        <v>1441.4</v>
      </c>
      <c r="E61" s="12">
        <v>1543.26152066845</v>
      </c>
      <c r="F61" s="12">
        <v>1582.76999511733</v>
      </c>
      <c r="G61" s="12">
        <v>1582.65280963753</v>
      </c>
      <c r="H61" s="12">
        <v>1585.04903798492</v>
      </c>
      <c r="I61" s="12">
        <v>1585.05000004996</v>
      </c>
      <c r="J61" s="12">
        <v>1553.08984375</v>
      </c>
      <c r="K61" s="13">
        <v>1600.054494379</v>
      </c>
      <c r="L61" s="12">
        <v>1467.72222222222</v>
      </c>
      <c r="M61" s="12">
        <v>1558.29149615429</v>
      </c>
      <c r="N61" s="12">
        <v>1467.72222128122</v>
      </c>
      <c r="O61" s="12">
        <v>1692.60777207386</v>
      </c>
      <c r="P61" s="12">
        <v>1476.90041915523</v>
      </c>
      <c r="Q61" s="12">
        <v>1506.98042177891</v>
      </c>
      <c r="R61" s="12">
        <v>1546.0</v>
      </c>
      <c r="S61" s="12">
        <v>1543.26107786158</v>
      </c>
      <c r="T61" s="12">
        <v>1543.2266937119</v>
      </c>
      <c r="U61" s="23">
        <v>1543.55949258402</v>
      </c>
      <c r="V61" s="7">
        <v>1467.72222222222</v>
      </c>
      <c r="W61" s="7">
        <v>1599.85259704836</v>
      </c>
      <c r="X61" s="7">
        <v>1585.04998369786</v>
      </c>
    </row>
    <row r="62">
      <c r="A62" s="8">
        <v>42005.0</v>
      </c>
      <c r="B62" s="9">
        <f>IFERROR(__xludf.DUMMYFUNCTION("""COMPUTED_VALUE"""),38.0)</f>
        <v>38</v>
      </c>
      <c r="C62" s="12">
        <v>1619.61238523555</v>
      </c>
      <c r="D62" s="12">
        <v>1430.46666666667</v>
      </c>
      <c r="E62" s="12">
        <v>1538.35281416367</v>
      </c>
      <c r="F62" s="12">
        <v>1577.86137070221</v>
      </c>
      <c r="G62" s="12">
        <v>1578.30062268102</v>
      </c>
      <c r="H62" s="12">
        <v>1585.04903798492</v>
      </c>
      <c r="I62" s="12">
        <v>1585.05000004996</v>
      </c>
      <c r="J62" s="12">
        <v>1245.8828125</v>
      </c>
      <c r="K62" s="13">
        <v>1599.28209077666</v>
      </c>
      <c r="L62" s="12">
        <v>1467.72222222222</v>
      </c>
      <c r="M62" s="12">
        <v>1604.65390560893</v>
      </c>
      <c r="N62" s="12">
        <v>1467.72222128122</v>
      </c>
      <c r="O62" s="12">
        <v>1692.60777207386</v>
      </c>
      <c r="P62" s="12">
        <v>1476.90041915523</v>
      </c>
      <c r="Q62" s="12">
        <v>1464.12026140386</v>
      </c>
      <c r="R62" s="12">
        <v>1546.0</v>
      </c>
      <c r="S62" s="12">
        <v>751.16107786158</v>
      </c>
      <c r="T62" s="12">
        <v>1543.2266937119</v>
      </c>
      <c r="U62" s="23">
        <v>1543.55949258402</v>
      </c>
      <c r="V62" s="7">
        <v>1467.72222222222</v>
      </c>
      <c r="W62" s="7">
        <v>1599.85259704836</v>
      </c>
      <c r="X62" s="7">
        <v>1585.04998369786</v>
      </c>
    </row>
    <row r="63">
      <c r="A63" s="8">
        <v>42036.0</v>
      </c>
      <c r="B63" s="9">
        <f>IFERROR(__xludf.DUMMYFUNCTION("""COMPUTED_VALUE"""),18.0)</f>
        <v>18</v>
      </c>
      <c r="C63" s="12">
        <v>1600.01425739661</v>
      </c>
      <c r="D63" s="12">
        <v>1434.13333333333</v>
      </c>
      <c r="E63" s="12">
        <v>1361.3094310339</v>
      </c>
      <c r="F63" s="12">
        <v>1354.86539181617</v>
      </c>
      <c r="G63" s="12">
        <v>1388.75909754438</v>
      </c>
      <c r="H63" s="12">
        <v>1585.04903798492</v>
      </c>
      <c r="I63" s="12">
        <v>1585.05000004996</v>
      </c>
      <c r="J63" s="12">
        <v>265.0</v>
      </c>
      <c r="K63" s="13">
        <v>1257.53611479653</v>
      </c>
      <c r="L63" s="12">
        <v>1467.72222222222</v>
      </c>
      <c r="M63" s="12">
        <v>-55.3544207294151</v>
      </c>
      <c r="N63" s="12">
        <v>1467.72222128122</v>
      </c>
      <c r="O63" s="12">
        <v>1692.60777207386</v>
      </c>
      <c r="P63" s="12">
        <v>1476.90041915523</v>
      </c>
      <c r="Q63" s="12">
        <v>1733.03672033614</v>
      </c>
      <c r="R63" s="12">
        <v>1546.0</v>
      </c>
      <c r="S63" s="12">
        <v>1543.26107786158</v>
      </c>
      <c r="T63" s="12">
        <v>1543.2266937119</v>
      </c>
      <c r="U63" s="23">
        <v>1543.55949258402</v>
      </c>
      <c r="V63" s="7">
        <v>1467.72222222222</v>
      </c>
      <c r="W63" s="7">
        <v>1599.85259704836</v>
      </c>
      <c r="X63" s="7">
        <v>1585.04998369786</v>
      </c>
    </row>
    <row r="64">
      <c r="A64" s="8">
        <v>42064.0</v>
      </c>
      <c r="B64" s="9">
        <f>IFERROR(__xludf.DUMMYFUNCTION("""COMPUTED_VALUE"""),36014.0)</f>
        <v>36014</v>
      </c>
      <c r="C64" s="12">
        <v>36014.0297733684</v>
      </c>
      <c r="D64" s="12">
        <v>32433.1986001771</v>
      </c>
      <c r="E64" s="12">
        <v>36019.1162513106</v>
      </c>
      <c r="F64" s="12">
        <v>36014.0006302105</v>
      </c>
      <c r="G64" s="12">
        <v>36014.4958580811</v>
      </c>
      <c r="H64" s="12">
        <v>36017.3085600792</v>
      </c>
      <c r="I64" s="12">
        <v>36013.9813758438</v>
      </c>
      <c r="J64" s="12">
        <v>34929.2213800662</v>
      </c>
      <c r="K64" s="13">
        <v>1468.99623256419</v>
      </c>
      <c r="L64" s="12">
        <v>36382.0851748019</v>
      </c>
      <c r="M64" s="12">
        <v>35137.5927170261</v>
      </c>
      <c r="N64" s="12">
        <v>36031.74583863</v>
      </c>
      <c r="O64" s="12">
        <v>36008.3681136245</v>
      </c>
      <c r="P64" s="12">
        <v>36014.8916414584</v>
      </c>
      <c r="Q64" s="12">
        <v>35562.0987110275</v>
      </c>
      <c r="R64" s="12">
        <v>36015.0269464613</v>
      </c>
      <c r="S64" s="12">
        <v>36013.9986825633</v>
      </c>
      <c r="T64" s="12">
        <v>36014.2028833424</v>
      </c>
      <c r="U64" s="23">
        <v>36014.0169643742</v>
      </c>
      <c r="V64" s="7">
        <v>15942.5271589198</v>
      </c>
      <c r="W64" s="7">
        <v>27532.4231847372</v>
      </c>
      <c r="X64" s="7">
        <v>36014.0103046676</v>
      </c>
    </row>
    <row r="65">
      <c r="A65" s="8">
        <v>42095.0</v>
      </c>
      <c r="B65" s="9"/>
      <c r="C65" s="12">
        <v>1610.3396417878</v>
      </c>
      <c r="D65" s="12">
        <v>1431.21428571429</v>
      </c>
      <c r="E65" s="12">
        <v>1596.12895862723</v>
      </c>
      <c r="F65" s="12">
        <v>1583.62912861502</v>
      </c>
      <c r="G65" s="12">
        <v>1585.02990078023</v>
      </c>
      <c r="H65" s="12">
        <v>1585.04903798492</v>
      </c>
      <c r="I65" s="12">
        <v>1585.05000004996</v>
      </c>
      <c r="J65" s="12">
        <v>503.908378823508</v>
      </c>
      <c r="K65" s="13">
        <v>813.459286153205</v>
      </c>
      <c r="L65" s="12">
        <v>1467.72222222222</v>
      </c>
      <c r="M65" s="12">
        <v>1528.64557927058</v>
      </c>
      <c r="N65" s="12">
        <v>1467.72222128122</v>
      </c>
      <c r="O65" s="12">
        <v>1692.60777207386</v>
      </c>
      <c r="P65" s="12">
        <v>1476.90041915523</v>
      </c>
      <c r="Q65" s="12">
        <v>1663.62344158562</v>
      </c>
      <c r="R65" s="12">
        <v>1546.0</v>
      </c>
      <c r="S65" s="12">
        <v>1543.26107786158</v>
      </c>
      <c r="T65" s="12">
        <v>1543.2266937119</v>
      </c>
      <c r="U65" s="23">
        <v>1543.55949258402</v>
      </c>
      <c r="V65" s="7">
        <v>1467.72222222222</v>
      </c>
      <c r="W65" s="7">
        <v>1590.35259704836</v>
      </c>
      <c r="X65" s="7">
        <v>1585.04998369786</v>
      </c>
    </row>
    <row r="66">
      <c r="A66" s="8">
        <v>42125.0</v>
      </c>
      <c r="B66" s="9"/>
      <c r="C66" s="12">
        <v>1589.90897550975</v>
      </c>
      <c r="D66" s="12">
        <v>1427.92307692308</v>
      </c>
      <c r="E66" s="12">
        <v>1590.35076528184</v>
      </c>
      <c r="F66" s="12">
        <v>1583.85890670657</v>
      </c>
      <c r="G66" s="12">
        <v>1584.07742839348</v>
      </c>
      <c r="H66" s="12">
        <v>1585.04903798492</v>
      </c>
      <c r="I66" s="12">
        <v>1585.05000004996</v>
      </c>
      <c r="J66" s="12">
        <v>1613.63827409173</v>
      </c>
      <c r="K66" s="13">
        <v>1596.15333892738</v>
      </c>
      <c r="L66" s="12">
        <v>1467.72222222222</v>
      </c>
      <c r="M66" s="12">
        <v>1542.64557927058</v>
      </c>
      <c r="N66" s="12">
        <v>1467.72222128122</v>
      </c>
      <c r="O66" s="12">
        <v>1692.60777207386</v>
      </c>
      <c r="P66" s="12">
        <v>1476.90041915523</v>
      </c>
      <c r="Q66" s="12">
        <v>1624.87025408203</v>
      </c>
      <c r="R66" s="12">
        <v>1546.0</v>
      </c>
      <c r="S66" s="12">
        <v>1543.26107786158</v>
      </c>
      <c r="T66" s="12">
        <v>1647.25255180068</v>
      </c>
      <c r="U66" s="23">
        <v>1543.55949258402</v>
      </c>
      <c r="V66" s="7">
        <v>1467.72222222222</v>
      </c>
      <c r="W66" s="7">
        <v>1587.60259704836</v>
      </c>
      <c r="X66" s="7">
        <v>1585.04998369786</v>
      </c>
    </row>
    <row r="67">
      <c r="A67" s="8">
        <v>42156.0</v>
      </c>
      <c r="B67" s="9"/>
      <c r="C67" s="12">
        <v>1607.61277967114</v>
      </c>
      <c r="D67" s="12">
        <v>1428.84615384615</v>
      </c>
      <c r="E67" s="12">
        <v>1594.31794450009</v>
      </c>
      <c r="F67" s="12">
        <v>1594.19474781386</v>
      </c>
      <c r="G67" s="12">
        <v>1582.02999267296</v>
      </c>
      <c r="H67" s="12">
        <v>1585.04903798492</v>
      </c>
      <c r="I67" s="12">
        <v>1585.05000004996</v>
      </c>
      <c r="J67" s="12">
        <v>1608.61146205917</v>
      </c>
      <c r="K67" s="13">
        <v>1439.85578506683</v>
      </c>
      <c r="L67" s="12">
        <v>1467.72222222222</v>
      </c>
      <c r="M67" s="12">
        <v>1544.64557927058</v>
      </c>
      <c r="N67" s="12">
        <v>1467.72222128122</v>
      </c>
      <c r="O67" s="12">
        <v>1692.60777207386</v>
      </c>
      <c r="P67" s="12">
        <v>1476.90041915523</v>
      </c>
      <c r="Q67" s="12">
        <v>1618.10092823459</v>
      </c>
      <c r="R67" s="12">
        <v>1546.0</v>
      </c>
      <c r="S67" s="12">
        <v>1543.26107786158</v>
      </c>
      <c r="T67" s="12">
        <v>1543.2266937119</v>
      </c>
      <c r="U67" s="23">
        <v>1543.55949258402</v>
      </c>
      <c r="V67" s="7">
        <v>1467.72222222222</v>
      </c>
      <c r="W67" s="7">
        <v>1587.35259704836</v>
      </c>
      <c r="X67" s="7">
        <v>1585.04998369786</v>
      </c>
    </row>
    <row r="68">
      <c r="A68" s="8">
        <v>42186.0</v>
      </c>
      <c r="B68" s="9"/>
      <c r="C68" s="12">
        <v>1584.98325023571</v>
      </c>
      <c r="D68" s="12">
        <v>1447.76923076923</v>
      </c>
      <c r="E68" s="12">
        <v>1589.83126637407</v>
      </c>
      <c r="F68" s="12">
        <v>2184.03239736419</v>
      </c>
      <c r="G68" s="12">
        <v>1584.31112839767</v>
      </c>
      <c r="H68" s="12">
        <v>1585.04903798492</v>
      </c>
      <c r="I68" s="12">
        <v>1585.05000004996</v>
      </c>
      <c r="J68" s="12">
        <v>1610.01835988142</v>
      </c>
      <c r="K68" s="13">
        <v>1579.34302481975</v>
      </c>
      <c r="L68" s="12">
        <v>1467.72222222222</v>
      </c>
      <c r="M68" s="12">
        <v>1544.64557927058</v>
      </c>
      <c r="N68" s="12">
        <v>1467.72222128122</v>
      </c>
      <c r="O68" s="12">
        <v>1692.60777207386</v>
      </c>
      <c r="P68" s="12">
        <v>1476.90041915523</v>
      </c>
      <c r="Q68" s="12">
        <v>1646.91130847373</v>
      </c>
      <c r="R68" s="12">
        <v>1546.0</v>
      </c>
      <c r="S68" s="12">
        <v>1543.26107786158</v>
      </c>
      <c r="T68" s="12">
        <v>1543.2266937119</v>
      </c>
      <c r="U68" s="23">
        <v>1543.55949258402</v>
      </c>
      <c r="V68" s="7">
        <v>1467.72222222222</v>
      </c>
      <c r="W68" s="7">
        <v>148.413159102577</v>
      </c>
      <c r="X68" s="7">
        <v>1585.04998369786</v>
      </c>
    </row>
    <row r="69">
      <c r="A69" s="8">
        <v>42217.0</v>
      </c>
      <c r="B69" s="9">
        <f>IFERROR(__xludf.DUMMYFUNCTION("""COMPUTED_VALUE"""),44.0)</f>
        <v>44</v>
      </c>
      <c r="C69" s="12">
        <v>1609.55974429211</v>
      </c>
      <c r="D69" s="12">
        <v>1449.25</v>
      </c>
      <c r="E69" s="12">
        <v>1586.118499122</v>
      </c>
      <c r="F69" s="12">
        <v>1587.1256414743</v>
      </c>
      <c r="G69" s="12">
        <v>1586.79052476079</v>
      </c>
      <c r="H69" s="12">
        <v>1585.04903798492</v>
      </c>
      <c r="I69" s="12">
        <v>1585.05000004996</v>
      </c>
      <c r="J69" s="12">
        <v>1612.97160742506</v>
      </c>
      <c r="K69" s="13">
        <v>0.0</v>
      </c>
      <c r="L69" s="12">
        <v>1467.72222222222</v>
      </c>
      <c r="M69" s="12">
        <v>176.645579270585</v>
      </c>
      <c r="N69" s="12">
        <v>1467.72222128122</v>
      </c>
      <c r="O69" s="12">
        <v>1692.60777207386</v>
      </c>
      <c r="P69" s="12">
        <v>1476.90041915523</v>
      </c>
      <c r="Q69" s="12">
        <v>1495.66221235336</v>
      </c>
      <c r="R69" s="12">
        <v>1546.0</v>
      </c>
      <c r="S69" s="12">
        <v>1543.26107786158</v>
      </c>
      <c r="T69" s="12">
        <v>1543.2266937119</v>
      </c>
      <c r="U69" s="23">
        <v>1543.55949258402</v>
      </c>
      <c r="V69" s="7">
        <v>1467.72222222222</v>
      </c>
      <c r="W69" s="7">
        <v>47.718281828459</v>
      </c>
      <c r="X69" s="7">
        <v>1592.44012733508</v>
      </c>
    </row>
    <row r="70">
      <c r="A70" s="8">
        <v>42248.0</v>
      </c>
      <c r="B70" s="9">
        <f>IFERROR(__xludf.DUMMYFUNCTION("""COMPUTED_VALUE"""),1130.0)</f>
        <v>1130</v>
      </c>
      <c r="C70" s="12">
        <v>1587.58032816855</v>
      </c>
      <c r="D70" s="12">
        <v>1449.25</v>
      </c>
      <c r="E70" s="12">
        <v>1584.09601877291</v>
      </c>
      <c r="F70" s="12">
        <v>1583.60203555534</v>
      </c>
      <c r="G70" s="12">
        <v>1583.78458049939</v>
      </c>
      <c r="H70" s="12">
        <v>1585.04903798492</v>
      </c>
      <c r="I70" s="12">
        <v>1585.05000004996</v>
      </c>
      <c r="J70" s="12">
        <v>1549.44432935396</v>
      </c>
      <c r="K70" s="13">
        <v>1576.76153445753</v>
      </c>
      <c r="L70" s="12">
        <v>1467.72222222222</v>
      </c>
      <c r="M70" s="12">
        <v>1117.19507748797</v>
      </c>
      <c r="N70" s="12">
        <v>1467.72222128122</v>
      </c>
      <c r="O70" s="12">
        <v>1677.09074669689</v>
      </c>
      <c r="P70" s="12">
        <v>1475.01529530346</v>
      </c>
      <c r="Q70" s="12">
        <v>1465.23389173357</v>
      </c>
      <c r="R70" s="12">
        <v>1529.82309317596</v>
      </c>
      <c r="S70" s="12">
        <v>1527.74664077652</v>
      </c>
      <c r="T70" s="12">
        <v>1527.7186635318</v>
      </c>
      <c r="U70" s="23">
        <v>1527.98315448304</v>
      </c>
      <c r="V70" s="7">
        <v>1467.72222222222</v>
      </c>
      <c r="W70" s="7">
        <v>122.718281828459</v>
      </c>
      <c r="X70" s="7">
        <v>1592.7240480758</v>
      </c>
    </row>
    <row r="71">
      <c r="A71" s="8">
        <v>42278.0</v>
      </c>
      <c r="B71" s="9">
        <f>IFERROR(__xludf.DUMMYFUNCTION("""COMPUTED_VALUE"""),24.0)</f>
        <v>24</v>
      </c>
      <c r="C71" s="12">
        <v>1271.31062444705</v>
      </c>
      <c r="D71" s="12">
        <v>1468.58333333333</v>
      </c>
      <c r="E71" s="12">
        <v>1576.87913854718</v>
      </c>
      <c r="F71" s="12">
        <v>1585.36552943326</v>
      </c>
      <c r="G71" s="12">
        <v>1777.58027833412</v>
      </c>
      <c r="H71" s="12">
        <v>1585.04903798492</v>
      </c>
      <c r="I71" s="12">
        <v>1585.05000004996</v>
      </c>
      <c r="J71" s="12">
        <v>1044.4076827902</v>
      </c>
      <c r="K71" s="13">
        <v>1592.88483968522</v>
      </c>
      <c r="L71" s="12">
        <v>3730.42359403325</v>
      </c>
      <c r="M71" s="12">
        <v>1520.4766411021</v>
      </c>
      <c r="N71" s="12">
        <v>1467.72222128122</v>
      </c>
      <c r="O71" s="12">
        <v>1686.7888875575</v>
      </c>
      <c r="P71" s="12">
        <v>1476.19349771082</v>
      </c>
      <c r="Q71" s="12">
        <v>1514.22290731685</v>
      </c>
      <c r="R71" s="12">
        <v>1539.93365994099</v>
      </c>
      <c r="S71" s="12">
        <v>1537.44316395468</v>
      </c>
      <c r="T71" s="12">
        <v>1537.41118239436</v>
      </c>
      <c r="U71" s="23">
        <v>1537.71836579615</v>
      </c>
      <c r="V71" s="7">
        <v>1467.72222222222</v>
      </c>
      <c r="W71" s="7">
        <v>421.428793492735</v>
      </c>
      <c r="X71" s="7">
        <v>1585.04998369807</v>
      </c>
    </row>
    <row r="72">
      <c r="A72" s="8">
        <v>42309.0</v>
      </c>
      <c r="B72" s="9">
        <f>IFERROR(__xludf.DUMMYFUNCTION("""COMPUTED_VALUE"""),9000.0)</f>
        <v>9000</v>
      </c>
      <c r="C72" s="12">
        <v>6349.62339805035</v>
      </c>
      <c r="D72" s="12">
        <v>8103.08392757538</v>
      </c>
      <c r="E72" s="12">
        <v>8548.08849425636</v>
      </c>
      <c r="F72" s="12">
        <v>9223.60018979315</v>
      </c>
      <c r="G72" s="12">
        <v>8885.2217370611</v>
      </c>
      <c r="H72" s="12">
        <v>8680.06682298886</v>
      </c>
      <c r="I72" s="12">
        <v>8380.20928112039</v>
      </c>
      <c r="J72" s="12">
        <v>2050.98039887906</v>
      </c>
      <c r="K72" s="13">
        <v>2686.12666889893</v>
      </c>
      <c r="L72" s="12">
        <v>9729.74547525057</v>
      </c>
      <c r="M72" s="12">
        <v>7952.50534063301</v>
      </c>
      <c r="N72" s="12">
        <v>8944.30847858529</v>
      </c>
      <c r="O72" s="12">
        <v>9848.57131099056</v>
      </c>
      <c r="P72" s="12">
        <v>8872.00706856653</v>
      </c>
      <c r="Q72" s="12">
        <v>6733.51676234666</v>
      </c>
      <c r="R72" s="12">
        <v>8669.227886647</v>
      </c>
      <c r="S72" s="12">
        <v>1541.32177322595</v>
      </c>
      <c r="T72" s="12">
        <v>8752.35538298718</v>
      </c>
      <c r="U72" s="23">
        <v>7160.28733607851</v>
      </c>
      <c r="V72" s="7">
        <v>9749.09127774838</v>
      </c>
      <c r="W72" s="7">
        <v>8099.33392757538</v>
      </c>
      <c r="X72" s="7">
        <v>8999.99896780176</v>
      </c>
    </row>
    <row r="73">
      <c r="A73" s="8">
        <v>42339.0</v>
      </c>
      <c r="B73" s="9">
        <f>IFERROR(__xludf.DUMMYFUNCTION("""COMPUTED_VALUE"""),9000.0)</f>
        <v>9000</v>
      </c>
      <c r="C73" s="12">
        <v>6287.67389239637</v>
      </c>
      <c r="D73" s="12">
        <v>6536.09977239897</v>
      </c>
      <c r="E73" s="12">
        <v>1567.91250428242</v>
      </c>
      <c r="F73" s="12">
        <v>28167.6706278703</v>
      </c>
      <c r="G73" s="12">
        <v>9870.14655268052</v>
      </c>
      <c r="H73" s="12">
        <v>8922.76305230273</v>
      </c>
      <c r="I73" s="12">
        <v>8453.50292169648</v>
      </c>
      <c r="J73" s="12">
        <v>1438.24051478219</v>
      </c>
      <c r="K73" s="13">
        <v>5996.49522917801</v>
      </c>
      <c r="L73" s="12">
        <v>10005.0</v>
      </c>
      <c r="M73" s="12">
        <v>1462.2513902108</v>
      </c>
      <c r="N73" s="12">
        <v>9000.00390957477</v>
      </c>
      <c r="O73" s="12">
        <v>9611.96758429783</v>
      </c>
      <c r="P73" s="12">
        <v>8987.54317459043</v>
      </c>
      <c r="Q73" s="12">
        <v>8896.00510323369</v>
      </c>
      <c r="R73" s="12">
        <v>1531.84520652897</v>
      </c>
      <c r="S73" s="12">
        <v>1529.68594541215</v>
      </c>
      <c r="T73" s="12">
        <v>1529.65716730432</v>
      </c>
      <c r="U73" s="23">
        <v>9000.00001300663</v>
      </c>
      <c r="V73" s="7">
        <v>1467.72222222222</v>
      </c>
      <c r="W73" s="7">
        <v>8749.17879349273</v>
      </c>
      <c r="X73" s="7">
        <v>1585.04998369786</v>
      </c>
    </row>
    <row r="74">
      <c r="A74" s="8">
        <v>42370.0</v>
      </c>
      <c r="B74" s="9">
        <f>IFERROR(__xludf.DUMMYFUNCTION("""COMPUTED_VALUE"""),138.0)</f>
        <v>138</v>
      </c>
      <c r="C74" s="12">
        <v>1571.79807381915</v>
      </c>
      <c r="D74" s="12">
        <v>148.413159102577</v>
      </c>
      <c r="E74" s="12">
        <v>1524.36662659301</v>
      </c>
      <c r="F74" s="12">
        <v>8854.41556858104</v>
      </c>
      <c r="G74" s="12">
        <v>1554.33019470531</v>
      </c>
      <c r="H74" s="12">
        <v>1585.04903798492</v>
      </c>
      <c r="I74" s="12">
        <v>1585.05000004996</v>
      </c>
      <c r="J74" s="12">
        <v>1415.24297763109</v>
      </c>
      <c r="K74" s="13">
        <v>1502.79236843444</v>
      </c>
      <c r="L74" s="12">
        <v>2229.9440967506</v>
      </c>
      <c r="M74" s="12">
        <v>1442.19507748797</v>
      </c>
      <c r="N74" s="12">
        <v>1467.72222128122</v>
      </c>
      <c r="O74" s="12">
        <v>1677.09074669689</v>
      </c>
      <c r="P74" s="12">
        <v>1475.01529530346</v>
      </c>
      <c r="Q74" s="12">
        <v>1510.50072533911</v>
      </c>
      <c r="R74" s="12">
        <v>1665.48975984263</v>
      </c>
      <c r="S74" s="12">
        <v>1527.74664077652</v>
      </c>
      <c r="T74" s="12">
        <v>1527.7186635318</v>
      </c>
      <c r="U74" s="23">
        <v>1527.98315448304</v>
      </c>
      <c r="V74" s="7">
        <v>1467.72222222222</v>
      </c>
      <c r="W74" s="7">
        <v>141.413159102577</v>
      </c>
      <c r="X74" s="7">
        <v>11506.4345990825</v>
      </c>
    </row>
    <row r="75">
      <c r="A75" s="8">
        <v>42401.0</v>
      </c>
      <c r="B75" s="9">
        <f>IFERROR(__xludf.DUMMYFUNCTION("""COMPUTED_VALUE"""),406.0)</f>
        <v>406</v>
      </c>
      <c r="C75" s="12">
        <v>1608.80139877238</v>
      </c>
      <c r="D75" s="12">
        <v>148.413159102577</v>
      </c>
      <c r="E75" s="12">
        <v>687.150938224248</v>
      </c>
      <c r="F75" s="12">
        <v>581.067184225954</v>
      </c>
      <c r="G75" s="12">
        <v>786.50630098071</v>
      </c>
      <c r="H75" s="12">
        <v>1585.04903798492</v>
      </c>
      <c r="I75" s="12">
        <v>1585.05000004996</v>
      </c>
      <c r="J75" s="12">
        <v>0.0</v>
      </c>
      <c r="K75" s="13">
        <v>550.366769459373</v>
      </c>
      <c r="L75" s="12">
        <v>4779.6069385623</v>
      </c>
      <c r="M75" s="12">
        <v>145.098996434771</v>
      </c>
      <c r="N75" s="12">
        <v>1467.72222128122</v>
      </c>
      <c r="O75" s="12">
        <v>1661.57372131992</v>
      </c>
      <c r="P75" s="12">
        <v>1473.13017145169</v>
      </c>
      <c r="Q75" s="12">
        <v>1490.08713398841</v>
      </c>
      <c r="R75" s="12">
        <v>1513.64618635192</v>
      </c>
      <c r="S75" s="12">
        <v>1512.23220369145</v>
      </c>
      <c r="T75" s="12">
        <v>1512.2106333517</v>
      </c>
      <c r="U75" s="23">
        <v>1512.40681638207</v>
      </c>
      <c r="V75" s="7">
        <v>1467.72222222222</v>
      </c>
      <c r="W75" s="7">
        <v>496.413159102577</v>
      </c>
      <c r="X75" s="7">
        <v>1585.04998369786</v>
      </c>
    </row>
    <row r="76">
      <c r="A76" s="8">
        <v>42430.0</v>
      </c>
      <c r="B76" s="9">
        <f>IFERROR(__xludf.DUMMYFUNCTION("""COMPUTED_VALUE"""),9180.0)</f>
        <v>9180</v>
      </c>
      <c r="C76" s="12">
        <v>10585.6641757405</v>
      </c>
      <c r="D76" s="12">
        <v>8103.08392757538</v>
      </c>
      <c r="E76" s="12">
        <v>8180.30009092502</v>
      </c>
      <c r="F76" s="12">
        <v>9223.60018979315</v>
      </c>
      <c r="G76" s="12">
        <v>8556.90510817385</v>
      </c>
      <c r="H76" s="12">
        <v>8563.0489104099</v>
      </c>
      <c r="I76" s="12">
        <v>9641.58723875018</v>
      </c>
      <c r="J76" s="12">
        <v>9313.96819396047</v>
      </c>
      <c r="K76" s="13">
        <v>1583.12003423322</v>
      </c>
      <c r="L76" s="12">
        <v>9896.47660416077</v>
      </c>
      <c r="M76" s="12">
        <v>9540.18568432114</v>
      </c>
      <c r="N76" s="12">
        <v>8832.25701773464</v>
      </c>
      <c r="O76" s="12">
        <v>9584.78187958203</v>
      </c>
      <c r="P76" s="12">
        <v>8661.80536354023</v>
      </c>
      <c r="Q76" s="12">
        <v>8662.05594034877</v>
      </c>
      <c r="R76" s="12">
        <v>9179.8067916589</v>
      </c>
      <c r="S76" s="12">
        <v>1277.57634277987</v>
      </c>
      <c r="T76" s="12">
        <v>9582.94094717863</v>
      </c>
      <c r="U76" s="23">
        <v>9179.97519104915</v>
      </c>
      <c r="V76" s="7">
        <v>9179.99630445905</v>
      </c>
      <c r="W76" s="7">
        <v>8748.58392757538</v>
      </c>
      <c r="X76" s="7">
        <v>8112.9327789008</v>
      </c>
    </row>
    <row r="77">
      <c r="A77" s="8">
        <v>42461.0</v>
      </c>
      <c r="B77" s="9">
        <f>IFERROR(__xludf.DUMMYFUNCTION("""COMPUTED_VALUE"""),3870.0)</f>
        <v>3870</v>
      </c>
      <c r="C77" s="12">
        <v>1612.80133203965</v>
      </c>
      <c r="D77" s="12">
        <v>20.0855369231877</v>
      </c>
      <c r="E77" s="12">
        <v>1551.39155593851</v>
      </c>
      <c r="F77" s="12">
        <v>2174.48150833899</v>
      </c>
      <c r="G77" s="12">
        <v>1561.40139978566</v>
      </c>
      <c r="H77" s="12">
        <v>3438.09948285474</v>
      </c>
      <c r="I77" s="12">
        <v>1738.11467765294</v>
      </c>
      <c r="J77" s="12">
        <v>4033.75800572292</v>
      </c>
      <c r="K77" s="13">
        <v>482.236464506183</v>
      </c>
      <c r="L77" s="12">
        <v>1995.21286082744</v>
      </c>
      <c r="M77" s="12">
        <v>1319.35218332486</v>
      </c>
      <c r="N77" s="12">
        <v>1467.72222128122</v>
      </c>
      <c r="O77" s="12">
        <v>5996.67495182058</v>
      </c>
      <c r="P77" s="12">
        <v>3421.73025421994</v>
      </c>
      <c r="Q77" s="12">
        <v>3747.04363861176</v>
      </c>
      <c r="R77" s="12">
        <v>3622.14655351593</v>
      </c>
      <c r="S77" s="12">
        <v>1360.96644211209</v>
      </c>
      <c r="T77" s="12">
        <v>3535.31225058498</v>
      </c>
      <c r="U77" s="23">
        <v>1360.53751989755</v>
      </c>
      <c r="V77" s="7">
        <v>3882.56871951554</v>
      </c>
      <c r="W77" s="7">
        <v>-47.1644630768123</v>
      </c>
      <c r="X77" s="7">
        <v>3425.79777190634</v>
      </c>
    </row>
    <row r="78">
      <c r="A78" s="8">
        <v>42491.0</v>
      </c>
      <c r="B78" s="9">
        <f>IFERROR(__xludf.DUMMYFUNCTION("""COMPUTED_VALUE"""),205.0)</f>
        <v>205</v>
      </c>
      <c r="C78" s="12">
        <v>2157.14543287572</v>
      </c>
      <c r="D78" s="12">
        <v>458.0</v>
      </c>
      <c r="E78" s="12">
        <v>1539.39687660436</v>
      </c>
      <c r="F78" s="12">
        <v>1536.91393100354</v>
      </c>
      <c r="G78" s="12">
        <v>1540.6693408255</v>
      </c>
      <c r="H78" s="12">
        <v>1585.04903798492</v>
      </c>
      <c r="I78" s="12">
        <v>1585.05000004996</v>
      </c>
      <c r="J78" s="12">
        <v>378.209478324932</v>
      </c>
      <c r="K78" s="13">
        <v>0.181500437670114</v>
      </c>
      <c r="L78" s="12">
        <v>1467.72222222222</v>
      </c>
      <c r="M78" s="12">
        <v>406.900291331453</v>
      </c>
      <c r="N78" s="12">
        <v>1697.87765857221</v>
      </c>
      <c r="O78" s="12">
        <v>2461.73532364845</v>
      </c>
      <c r="P78" s="12">
        <v>1454.51457341547</v>
      </c>
      <c r="Q78" s="12">
        <v>1202.76373747762</v>
      </c>
      <c r="R78" s="12">
        <v>1353.89923146454</v>
      </c>
      <c r="S78" s="12">
        <v>-1481.10894038513</v>
      </c>
      <c r="T78" s="12">
        <v>1833.49903799078</v>
      </c>
      <c r="U78" s="23">
        <v>1591.8685218021</v>
      </c>
      <c r="V78" s="7">
        <v>1467.72222222222</v>
      </c>
      <c r="W78" s="7">
        <v>301.835536923188</v>
      </c>
      <c r="X78" s="7">
        <v>1585.04998369786</v>
      </c>
    </row>
    <row r="79">
      <c r="A79" s="8">
        <v>42522.0</v>
      </c>
      <c r="B79" s="9">
        <f>IFERROR(__xludf.DUMMYFUNCTION("""COMPUTED_VALUE"""),56.0)</f>
        <v>56</v>
      </c>
      <c r="C79" s="12">
        <v>1542.65874472309</v>
      </c>
      <c r="D79" s="12">
        <v>227.176820134458</v>
      </c>
      <c r="E79" s="12">
        <v>1718.58751361246</v>
      </c>
      <c r="F79" s="12">
        <v>1715.71483147044</v>
      </c>
      <c r="G79" s="12">
        <v>1711.68137714678</v>
      </c>
      <c r="H79" s="12">
        <v>1585.04903798492</v>
      </c>
      <c r="I79" s="12">
        <v>1585.05000004996</v>
      </c>
      <c r="J79" s="12">
        <v>786.076359828312</v>
      </c>
      <c r="K79" s="13">
        <v>1172.14292781498</v>
      </c>
      <c r="L79" s="12">
        <v>1678.79295003421</v>
      </c>
      <c r="M79" s="12">
        <v>1474.73094669447</v>
      </c>
      <c r="N79" s="12">
        <v>1467.72222128122</v>
      </c>
      <c r="O79" s="12">
        <v>1626.66041422173</v>
      </c>
      <c r="P79" s="12">
        <v>1468.88864278521</v>
      </c>
      <c r="Q79" s="12">
        <v>1377.13867055994</v>
      </c>
      <c r="R79" s="12">
        <v>1477.24814599784</v>
      </c>
      <c r="S79" s="12">
        <v>-2137.37527974994</v>
      </c>
      <c r="T79" s="12">
        <v>1807.02536340694</v>
      </c>
      <c r="U79" s="23">
        <v>1477.36005565487</v>
      </c>
      <c r="V79" s="7">
        <v>1467.72222222222</v>
      </c>
      <c r="W79" s="7">
        <v>401.139056098931</v>
      </c>
      <c r="X79" s="7">
        <v>1585.04998369786</v>
      </c>
    </row>
    <row r="80">
      <c r="A80" s="8">
        <v>42552.0</v>
      </c>
      <c r="B80" s="9">
        <f>IFERROR(__xludf.DUMMYFUNCTION("""COMPUTED_VALUE"""),900.0)</f>
        <v>900</v>
      </c>
      <c r="C80" s="12">
        <v>749.608687993138</v>
      </c>
      <c r="D80" s="12">
        <v>2.71828182845905</v>
      </c>
      <c r="E80" s="12">
        <v>1048.05877848563</v>
      </c>
      <c r="F80" s="12">
        <v>1073.72144798213</v>
      </c>
      <c r="G80" s="12">
        <v>1115.21629254745</v>
      </c>
      <c r="H80" s="12">
        <v>1585.04903798492</v>
      </c>
      <c r="I80" s="12">
        <v>1585.05000004996</v>
      </c>
      <c r="J80" s="12">
        <v>44.5141378547276</v>
      </c>
      <c r="K80" s="13">
        <v>656.277270668293</v>
      </c>
      <c r="L80" s="12">
        <v>1921.0</v>
      </c>
      <c r="M80" s="12">
        <v>595.631950259702</v>
      </c>
      <c r="N80" s="12">
        <v>1467.72222128122</v>
      </c>
      <c r="O80" s="12">
        <v>1657.69446497567</v>
      </c>
      <c r="P80" s="12">
        <v>1472.65889048875</v>
      </c>
      <c r="Q80" s="12">
        <v>1484.27982976929</v>
      </c>
      <c r="R80" s="12">
        <v>1509.60195964591</v>
      </c>
      <c r="S80" s="12">
        <v>1508.35359442019</v>
      </c>
      <c r="T80" s="12">
        <v>1508.33362580668</v>
      </c>
      <c r="U80" s="23">
        <v>1508.51273185682</v>
      </c>
      <c r="V80" s="7">
        <v>1467.72222222222</v>
      </c>
      <c r="W80" s="7">
        <v>2.71828182845905</v>
      </c>
      <c r="X80" s="7">
        <v>1585.04998369786</v>
      </c>
    </row>
    <row r="81">
      <c r="A81" s="8">
        <v>42583.0</v>
      </c>
      <c r="B81" s="9">
        <f>IFERROR(__xludf.DUMMYFUNCTION("""COMPUTED_VALUE"""),368.0)</f>
        <v>368</v>
      </c>
      <c r="C81" s="12">
        <v>1478.75069682895</v>
      </c>
      <c r="D81" s="12">
        <v>1.0</v>
      </c>
      <c r="E81" s="12">
        <v>1548.84126471979</v>
      </c>
      <c r="F81" s="12">
        <v>1574.29116565592</v>
      </c>
      <c r="G81" s="12">
        <v>1576.00886103269</v>
      </c>
      <c r="H81" s="12">
        <v>1585.04903798492</v>
      </c>
      <c r="I81" s="12">
        <v>1585.05000004996</v>
      </c>
      <c r="J81" s="12">
        <v>153.338497486383</v>
      </c>
      <c r="K81" s="13">
        <v>0.0</v>
      </c>
      <c r="L81" s="12">
        <v>1467.72222222222</v>
      </c>
      <c r="M81" s="12">
        <v>1538.4766411021</v>
      </c>
      <c r="N81" s="12">
        <v>1467.72222128122</v>
      </c>
      <c r="O81" s="12">
        <v>1686.7888875575</v>
      </c>
      <c r="P81" s="12">
        <v>1476.19349771082</v>
      </c>
      <c r="Q81" s="12">
        <v>1518.38406869955</v>
      </c>
      <c r="R81" s="12">
        <v>1539.93365994099</v>
      </c>
      <c r="S81" s="12">
        <v>1537.44316395468</v>
      </c>
      <c r="T81" s="12">
        <v>1537.41118239436</v>
      </c>
      <c r="U81" s="23">
        <v>1537.71836579615</v>
      </c>
      <c r="V81" s="7">
        <v>1467.72222222222</v>
      </c>
      <c r="W81" s="7">
        <v>65.0</v>
      </c>
      <c r="X81" s="7">
        <v>1585.04998369786</v>
      </c>
    </row>
    <row r="82">
      <c r="A82" s="8">
        <v>42614.0</v>
      </c>
      <c r="B82" s="9"/>
      <c r="C82" s="12">
        <v>1558.74133602362</v>
      </c>
      <c r="D82" s="12">
        <v>54.5981500331442</v>
      </c>
      <c r="E82" s="12">
        <v>1560.70403901128</v>
      </c>
      <c r="F82" s="12">
        <v>1586.20524984878</v>
      </c>
      <c r="G82" s="12">
        <v>1586.2011961181</v>
      </c>
      <c r="H82" s="12">
        <v>1585.04903798492</v>
      </c>
      <c r="I82" s="12">
        <v>1585.05000004996</v>
      </c>
      <c r="J82" s="12">
        <v>564.576391117611</v>
      </c>
      <c r="K82" s="13">
        <v>1447.85567140708</v>
      </c>
      <c r="L82" s="12">
        <v>1467.72222222222</v>
      </c>
      <c r="M82" s="12">
        <v>1371.68826298253</v>
      </c>
      <c r="N82" s="12">
        <v>1467.72222128122</v>
      </c>
      <c r="O82" s="12">
        <v>2017.02632107393</v>
      </c>
      <c r="P82" s="12">
        <v>1472.89453097022</v>
      </c>
      <c r="Q82" s="12">
        <v>1434.19600821565</v>
      </c>
      <c r="R82" s="12">
        <v>1511.62407299892</v>
      </c>
      <c r="S82" s="12">
        <v>1510.29289905582</v>
      </c>
      <c r="T82" s="12">
        <v>1510.27212957919</v>
      </c>
      <c r="U82" s="23">
        <v>1510.45977411945</v>
      </c>
      <c r="V82" s="7">
        <v>1467.72222222222</v>
      </c>
      <c r="W82" s="7">
        <v>54.5981500331442</v>
      </c>
      <c r="X82" s="7">
        <v>1585.04998369786</v>
      </c>
    </row>
    <row r="83">
      <c r="A83" s="8">
        <v>42644.0</v>
      </c>
      <c r="B83" s="9">
        <f>IFERROR(__xludf.DUMMYFUNCTION("""COMPUTED_VALUE"""),145.0)</f>
        <v>145</v>
      </c>
      <c r="C83" s="12">
        <v>1606.6122073103</v>
      </c>
      <c r="D83" s="12">
        <v>1.0</v>
      </c>
      <c r="E83" s="12">
        <v>1569.89026862607</v>
      </c>
      <c r="F83" s="12">
        <v>1392.84322149278</v>
      </c>
      <c r="G83" s="12">
        <v>1599.33296090172</v>
      </c>
      <c r="H83" s="12">
        <v>1585.04903798492</v>
      </c>
      <c r="I83" s="12">
        <v>1585.05000004996</v>
      </c>
      <c r="J83" s="12">
        <v>1628.17624116838</v>
      </c>
      <c r="K83" s="13">
        <v>1527.74006553572</v>
      </c>
      <c r="L83" s="12">
        <v>1824.3076752867</v>
      </c>
      <c r="M83" s="12">
        <v>1517.91351387384</v>
      </c>
      <c r="N83" s="12">
        <v>1467.72222128122</v>
      </c>
      <c r="O83" s="12">
        <v>1667.39260583628</v>
      </c>
      <c r="P83" s="12">
        <v>1473.8370928961</v>
      </c>
      <c r="Q83" s="12">
        <v>1835.91379005309</v>
      </c>
      <c r="R83" s="12">
        <v>1519.71252641094</v>
      </c>
      <c r="S83" s="12">
        <v>1518.05011759835</v>
      </c>
      <c r="T83" s="12">
        <v>1518.02614466924</v>
      </c>
      <c r="U83" s="23">
        <v>1518.24794316993</v>
      </c>
      <c r="V83" s="7">
        <v>1467.72222222222</v>
      </c>
      <c r="W83" s="7">
        <v>1599.85259704836</v>
      </c>
      <c r="X83" s="7">
        <v>1585.04998369786</v>
      </c>
    </row>
    <row r="84">
      <c r="A84" s="8">
        <v>42675.0</v>
      </c>
      <c r="B84" s="9"/>
      <c r="C84" s="12">
        <v>1666.61238523555</v>
      </c>
      <c r="D84" s="12">
        <v>125.0</v>
      </c>
      <c r="E84" s="12">
        <v>1544.10033706619</v>
      </c>
      <c r="F84" s="12">
        <v>1573.10851558576</v>
      </c>
      <c r="G84" s="12">
        <v>1573.84355778643</v>
      </c>
      <c r="H84" s="12">
        <v>1585.04903798492</v>
      </c>
      <c r="I84" s="12">
        <v>1585.05000004996</v>
      </c>
      <c r="J84" s="12">
        <v>1501.65870059607</v>
      </c>
      <c r="K84" s="13">
        <v>1474.24100855835</v>
      </c>
      <c r="L84" s="12">
        <v>1467.72222222222</v>
      </c>
      <c r="M84" s="12">
        <v>278.843572140127</v>
      </c>
      <c r="N84" s="12">
        <v>1467.72222128122</v>
      </c>
      <c r="O84" s="12">
        <v>1844.93189849211</v>
      </c>
      <c r="P84" s="12">
        <v>1741.59349361843</v>
      </c>
      <c r="Q84" s="12">
        <v>1742.92578997046</v>
      </c>
      <c r="R84" s="12">
        <v>1481.29237270385</v>
      </c>
      <c r="S84" s="12">
        <v>1481.20332952133</v>
      </c>
      <c r="T84" s="12">
        <v>1481.19457299151</v>
      </c>
      <c r="U84" s="23">
        <v>1481.25414018012</v>
      </c>
      <c r="V84" s="7">
        <v>1467.72222222222</v>
      </c>
      <c r="W84" s="7">
        <v>1599.85259704836</v>
      </c>
      <c r="X84" s="7">
        <v>1585.04998369786</v>
      </c>
    </row>
    <row r="85">
      <c r="A85" s="8">
        <v>42705.0</v>
      </c>
      <c r="B85" s="9">
        <f>IFERROR(__xludf.DUMMYFUNCTION("""COMPUTED_VALUE"""),4712.0)</f>
        <v>4712</v>
      </c>
      <c r="C85" s="12">
        <v>1679.6791563496</v>
      </c>
      <c r="D85" s="12">
        <v>3884.24793472742</v>
      </c>
      <c r="E85" s="12">
        <v>4043.10150492458</v>
      </c>
      <c r="F85" s="12">
        <v>4707.61095423122</v>
      </c>
      <c r="G85" s="12">
        <v>4738.53839233313</v>
      </c>
      <c r="H85" s="12">
        <v>4708.6113953303</v>
      </c>
      <c r="I85" s="12">
        <v>1585.05000004996</v>
      </c>
      <c r="J85" s="12">
        <v>3000.0</v>
      </c>
      <c r="K85" s="13">
        <v>1065.9040320364</v>
      </c>
      <c r="L85" s="12">
        <v>5564.98347760692</v>
      </c>
      <c r="M85" s="12">
        <v>3103.33967301626</v>
      </c>
      <c r="N85" s="12">
        <v>4657.81129767656</v>
      </c>
      <c r="O85" s="12">
        <v>4131.09083547877</v>
      </c>
      <c r="P85" s="12">
        <v>6624.52553164536</v>
      </c>
      <c r="Q85" s="12">
        <v>6814.21307360871</v>
      </c>
      <c r="R85" s="12">
        <v>4596.87366840601</v>
      </c>
      <c r="S85" s="12">
        <v>1417.20627654544</v>
      </c>
      <c r="T85" s="12">
        <v>4157.00450395345</v>
      </c>
      <c r="U85" s="23">
        <v>4592.27978968076</v>
      </c>
      <c r="V85" s="7">
        <v>3201.57381329413</v>
      </c>
      <c r="W85" s="7">
        <v>1599.85259704836</v>
      </c>
      <c r="X85" s="7">
        <v>24708.8026211638</v>
      </c>
    </row>
    <row r="86">
      <c r="A86" s="8">
        <v>42736.0</v>
      </c>
      <c r="B86" s="9">
        <f>IFERROR(__xludf.DUMMYFUNCTION("""COMPUTED_VALUE"""),44.0)</f>
        <v>44</v>
      </c>
      <c r="C86" s="12">
        <v>1563.66484825373</v>
      </c>
      <c r="D86" s="12">
        <v>148.413159102577</v>
      </c>
      <c r="E86" s="12">
        <v>1187.01849442002</v>
      </c>
      <c r="F86" s="12">
        <v>1225.54124333529</v>
      </c>
      <c r="G86" s="12">
        <v>1256.37303560297</v>
      </c>
      <c r="H86" s="12">
        <v>1585.04903798492</v>
      </c>
      <c r="I86" s="12">
        <v>1750.4429027862</v>
      </c>
      <c r="J86" s="12">
        <v>1219.34966652346</v>
      </c>
      <c r="K86" s="13">
        <v>912.412848893198</v>
      </c>
      <c r="L86" s="12">
        <v>1467.72222222222</v>
      </c>
      <c r="M86" s="12">
        <v>1510.58926654776</v>
      </c>
      <c r="N86" s="12">
        <v>1467.72222128122</v>
      </c>
      <c r="O86" s="12">
        <v>1690.66814390174</v>
      </c>
      <c r="P86" s="12">
        <v>1673.7761564205</v>
      </c>
      <c r="Q86" s="12">
        <v>1399.44065363721</v>
      </c>
      <c r="R86" s="12">
        <v>1543.977886647</v>
      </c>
      <c r="S86" s="12">
        <v>1541.32177322595</v>
      </c>
      <c r="T86" s="12">
        <v>1541.28818993939</v>
      </c>
      <c r="U86" s="23">
        <v>1541.6124503214</v>
      </c>
      <c r="V86" s="7">
        <v>1467.72222222222</v>
      </c>
      <c r="W86" s="7">
        <v>1599.85259704836</v>
      </c>
      <c r="X86" s="7">
        <v>1585.04998369786</v>
      </c>
    </row>
    <row r="87">
      <c r="A87" s="8">
        <v>42767.0</v>
      </c>
      <c r="B87" s="9">
        <f>IFERROR(__xludf.DUMMYFUNCTION("""COMPUTED_VALUE"""),14754.0)</f>
        <v>14754</v>
      </c>
      <c r="C87" s="12">
        <v>14756.2247757799</v>
      </c>
      <c r="D87" s="12">
        <v>12862.3354700759</v>
      </c>
      <c r="E87" s="12">
        <v>14754.7770459978</v>
      </c>
      <c r="F87" s="12">
        <v>14753.9999656823</v>
      </c>
      <c r="G87" s="12">
        <v>14343.7501609221</v>
      </c>
      <c r="H87" s="12">
        <v>14064.2782127789</v>
      </c>
      <c r="I87" s="12">
        <v>15427.3293965292</v>
      </c>
      <c r="J87" s="12">
        <v>14310.8894743416</v>
      </c>
      <c r="K87" s="13">
        <v>15259.8589102196</v>
      </c>
      <c r="L87" s="12">
        <v>15111.9285953864</v>
      </c>
      <c r="M87" s="12">
        <v>15036.8222201205</v>
      </c>
      <c r="N87" s="12">
        <v>14729.1297293817</v>
      </c>
      <c r="O87" s="12">
        <v>14443.5339762577</v>
      </c>
      <c r="P87" s="12">
        <v>14756.415821814</v>
      </c>
      <c r="Q87" s="12">
        <v>14255.9956493368</v>
      </c>
      <c r="R87" s="12">
        <v>15033.1148029881</v>
      </c>
      <c r="S87" s="12">
        <v>1180.61111099823</v>
      </c>
      <c r="T87" s="12">
        <v>14071.9251153332</v>
      </c>
      <c r="U87" s="23">
        <v>14044.1374752308</v>
      </c>
      <c r="V87" s="7">
        <v>18537.2787333787</v>
      </c>
      <c r="W87" s="7">
        <v>14152.4698749733</v>
      </c>
      <c r="X87" s="7">
        <v>14688.9202766366</v>
      </c>
    </row>
    <row r="88">
      <c r="A88" s="8">
        <v>42795.0</v>
      </c>
      <c r="B88" s="9">
        <f>IFERROR(__xludf.DUMMYFUNCTION("""COMPUTED_VALUE"""),6096.0)</f>
        <v>6096</v>
      </c>
      <c r="C88" s="12">
        <v>8481.90371253739</v>
      </c>
      <c r="D88" s="12">
        <v>3783.07877857625</v>
      </c>
      <c r="E88" s="12">
        <v>6038.96568449103</v>
      </c>
      <c r="F88" s="12">
        <v>6055.13784744772</v>
      </c>
      <c r="G88" s="12">
        <v>6095.07165416044</v>
      </c>
      <c r="H88" s="12">
        <v>4495.90095573534</v>
      </c>
      <c r="I88" s="12">
        <v>6171.51686381431</v>
      </c>
      <c r="J88" s="12">
        <v>6050.57184180224</v>
      </c>
      <c r="K88" s="13">
        <v>6627.54804164659</v>
      </c>
      <c r="L88" s="12">
        <v>5555.69604240126</v>
      </c>
      <c r="M88" s="12">
        <v>5278.45151174865</v>
      </c>
      <c r="N88" s="12">
        <v>5554.22298448177</v>
      </c>
      <c r="O88" s="12">
        <v>4135.01358661311</v>
      </c>
      <c r="P88" s="12">
        <v>5329.50310152521</v>
      </c>
      <c r="Q88" s="12">
        <v>5140.52042134103</v>
      </c>
      <c r="R88" s="12">
        <v>5779.66869325072</v>
      </c>
      <c r="S88" s="12">
        <v>220.655316359935</v>
      </c>
      <c r="T88" s="12">
        <v>4643.36574793954</v>
      </c>
      <c r="U88" s="23">
        <v>4611.35155523295</v>
      </c>
      <c r="V88" s="7">
        <v>6635.43860868005</v>
      </c>
      <c r="W88" s="7">
        <v>6180.45797059392</v>
      </c>
      <c r="X88" s="7">
        <v>2001.00525136811</v>
      </c>
    </row>
    <row r="89">
      <c r="A89" s="8">
        <v>42826.0</v>
      </c>
      <c r="B89" s="9">
        <f>IFERROR(__xludf.DUMMYFUNCTION("""COMPUTED_VALUE"""),18242.0)</f>
        <v>18242</v>
      </c>
      <c r="C89" s="12">
        <v>18236.0209575362</v>
      </c>
      <c r="D89" s="12">
        <v>16269.9855290201</v>
      </c>
      <c r="E89" s="12">
        <v>18498.1500969291</v>
      </c>
      <c r="F89" s="12">
        <v>18448.9585849236</v>
      </c>
      <c r="G89" s="12">
        <v>18978.1036706631</v>
      </c>
      <c r="H89" s="12">
        <v>18046.4425894369</v>
      </c>
      <c r="I89" s="12">
        <v>18242.0089643944</v>
      </c>
      <c r="J89" s="12">
        <v>18583.8370101042</v>
      </c>
      <c r="K89" s="13">
        <v>7417.77903361991</v>
      </c>
      <c r="L89" s="12">
        <v>63273.7959988432</v>
      </c>
      <c r="M89" s="12">
        <v>18237.6400305464</v>
      </c>
      <c r="N89" s="12">
        <v>18241.9997338717</v>
      </c>
      <c r="O89" s="12">
        <v>18034.2226797564</v>
      </c>
      <c r="P89" s="12">
        <v>17487.8564375628</v>
      </c>
      <c r="Q89" s="12">
        <v>17749.8896315118</v>
      </c>
      <c r="R89" s="12">
        <v>17679.0740239365</v>
      </c>
      <c r="S89" s="12">
        <v>6696.52445020487</v>
      </c>
      <c r="T89" s="12">
        <v>18242.1538588666</v>
      </c>
      <c r="U89" s="23">
        <v>18018.0065617134</v>
      </c>
      <c r="V89" s="7">
        <v>2935.44444444444</v>
      </c>
      <c r="W89" s="7">
        <v>7.38905609893065</v>
      </c>
      <c r="X89" s="7">
        <v>9002.31627869663</v>
      </c>
    </row>
    <row r="90">
      <c r="A90" s="8">
        <v>42856.0</v>
      </c>
      <c r="B90" s="9">
        <f>IFERROR(__xludf.DUMMYFUNCTION("""COMPUTED_VALUE"""),507.0)</f>
        <v>507</v>
      </c>
      <c r="C90" s="12">
        <v>-560.438922288025</v>
      </c>
      <c r="D90" s="12">
        <v>211.908060531541</v>
      </c>
      <c r="E90" s="12">
        <v>34.671683966901</v>
      </c>
      <c r="F90" s="12">
        <v>408.104221273478</v>
      </c>
      <c r="G90" s="12">
        <v>507.538062695192</v>
      </c>
      <c r="H90" s="12">
        <v>1585.04903798492</v>
      </c>
      <c r="I90" s="12">
        <v>1585.05000004996</v>
      </c>
      <c r="J90" s="12">
        <v>0.0</v>
      </c>
      <c r="K90" s="13">
        <v>0.0729104322264562</v>
      </c>
      <c r="L90" s="12">
        <v>13784.6591056633</v>
      </c>
      <c r="M90" s="12">
        <v>568.607067034898</v>
      </c>
      <c r="N90" s="12">
        <v>151.685895623732</v>
      </c>
      <c r="O90" s="12">
        <v>543.590443547741</v>
      </c>
      <c r="P90" s="12">
        <v>507.004197419813</v>
      </c>
      <c r="Q90" s="12">
        <v>25.3773692694778</v>
      </c>
      <c r="R90" s="12">
        <v>1784.7314390322</v>
      </c>
      <c r="S90" s="12">
        <v>-6438.91680240348</v>
      </c>
      <c r="T90" s="12">
        <v>248.543793132129</v>
      </c>
      <c r="U90" s="23">
        <v>187.208425389107</v>
      </c>
      <c r="V90" s="7">
        <v>1467.72222222222</v>
      </c>
      <c r="W90" s="7">
        <v>1599.85259704836</v>
      </c>
      <c r="X90" s="7">
        <v>1585.04998369786</v>
      </c>
    </row>
    <row r="91">
      <c r="A91" s="8">
        <v>42887.0</v>
      </c>
      <c r="B91" s="9">
        <f>IFERROR(__xludf.DUMMYFUNCTION("""COMPUTED_VALUE"""),3267.0)</f>
        <v>3267</v>
      </c>
      <c r="C91" s="12">
        <v>1805.86741302054</v>
      </c>
      <c r="D91" s="12">
        <v>2749.60461071742</v>
      </c>
      <c r="E91" s="12">
        <v>2940.13946310015</v>
      </c>
      <c r="F91" s="12">
        <v>2626.20607180635</v>
      </c>
      <c r="G91" s="12">
        <v>2653.96178476298</v>
      </c>
      <c r="H91" s="12">
        <v>2764.50657045311</v>
      </c>
      <c r="I91" s="12">
        <v>2770.81503979773</v>
      </c>
      <c r="J91" s="12">
        <v>2657.85459485341</v>
      </c>
      <c r="K91" s="13">
        <v>2649.75671776712</v>
      </c>
      <c r="L91" s="12">
        <v>44578.4303596398</v>
      </c>
      <c r="M91" s="12">
        <v>2919.41100843295</v>
      </c>
      <c r="N91" s="12">
        <v>3355.00593161985</v>
      </c>
      <c r="O91" s="12">
        <v>2615.54918977649</v>
      </c>
      <c r="P91" s="12">
        <v>2610.31881943576</v>
      </c>
      <c r="Q91" s="12">
        <v>2850.31773844962</v>
      </c>
      <c r="R91" s="12">
        <v>2830.5885776119</v>
      </c>
      <c r="S91" s="12">
        <v>2890.45858140113</v>
      </c>
      <c r="T91" s="12">
        <v>2399.25524879222</v>
      </c>
      <c r="U91" s="23">
        <v>2360.45295644849</v>
      </c>
      <c r="V91" s="7">
        <v>2938.49734986935</v>
      </c>
      <c r="W91" s="7">
        <v>3057.7851616508</v>
      </c>
      <c r="X91" s="7">
        <v>1585.04998369786</v>
      </c>
    </row>
    <row r="92">
      <c r="A92" s="8">
        <v>42917.0</v>
      </c>
      <c r="B92" s="9">
        <f>IFERROR(__xludf.DUMMYFUNCTION("""COMPUTED_VALUE"""),13800.0)</f>
        <v>13800</v>
      </c>
      <c r="C92" s="12">
        <v>12206.3212620291</v>
      </c>
      <c r="D92" s="12">
        <v>12054.5210120193</v>
      </c>
      <c r="E92" s="12">
        <v>13713.5053312354</v>
      </c>
      <c r="F92" s="12">
        <v>13044.4682453024</v>
      </c>
      <c r="G92" s="12">
        <v>12754.9481958939</v>
      </c>
      <c r="H92" s="12">
        <v>13816.9068962164</v>
      </c>
      <c r="I92" s="12">
        <v>15265.9870697135</v>
      </c>
      <c r="J92" s="12">
        <v>12728.5277757452</v>
      </c>
      <c r="K92" s="13">
        <v>13439.1815678967</v>
      </c>
      <c r="L92" s="12">
        <v>16340.9107346752</v>
      </c>
      <c r="M92" s="12">
        <v>7494.03196047374</v>
      </c>
      <c r="N92" s="12">
        <v>113880.102900545</v>
      </c>
      <c r="O92" s="12">
        <v>109262.193288087</v>
      </c>
      <c r="P92" s="12">
        <v>6783.59718679404</v>
      </c>
      <c r="Q92" s="12">
        <v>101672.546338492</v>
      </c>
      <c r="R92" s="12">
        <v>82315.1148510514</v>
      </c>
      <c r="S92" s="12">
        <v>7263.855532733</v>
      </c>
      <c r="T92" s="12">
        <v>6749.55888318153</v>
      </c>
      <c r="U92" s="23">
        <v>304505.455671611</v>
      </c>
      <c r="V92" s="7">
        <v>1467.72222222222</v>
      </c>
      <c r="W92" s="7">
        <v>13600.3089709733</v>
      </c>
      <c r="X92" s="7">
        <v>14221.1537253183</v>
      </c>
    </row>
    <row r="93">
      <c r="A93" s="8">
        <v>42948.0</v>
      </c>
      <c r="B93" s="9">
        <f>IFERROR(__xludf.DUMMYFUNCTION("""COMPUTED_VALUE"""),117.0)</f>
        <v>117</v>
      </c>
      <c r="C93" s="12">
        <v>417.734407009255</v>
      </c>
      <c r="D93" s="12">
        <v>2.71828182845905</v>
      </c>
      <c r="E93" s="12">
        <v>398.088427803033</v>
      </c>
      <c r="F93" s="12">
        <v>403.018161039627</v>
      </c>
      <c r="G93" s="12">
        <v>-25.9182084714871</v>
      </c>
      <c r="H93" s="12">
        <v>1753.94382014852</v>
      </c>
      <c r="I93" s="12">
        <v>1585.05000004996</v>
      </c>
      <c r="J93" s="12">
        <v>0.0</v>
      </c>
      <c r="K93" s="13">
        <v>0.675584962438759</v>
      </c>
      <c r="L93" s="12">
        <v>94006.2017393152</v>
      </c>
      <c r="M93" s="12">
        <v>11346.7676462273</v>
      </c>
      <c r="N93" s="12">
        <v>18498.9402637432</v>
      </c>
      <c r="O93" s="12">
        <v>27389.9240127235</v>
      </c>
      <c r="P93" s="12">
        <v>26140.2735000277</v>
      </c>
      <c r="Q93" s="12">
        <v>22662.6048552624</v>
      </c>
      <c r="R93" s="12">
        <v>12538.0128433422</v>
      </c>
      <c r="S93" s="12">
        <v>16562.9466188621</v>
      </c>
      <c r="T93" s="12">
        <v>10465.8181832384</v>
      </c>
      <c r="U93" s="23">
        <v>21671.0978152021</v>
      </c>
      <c r="V93" s="7">
        <v>1467.72222222222</v>
      </c>
      <c r="W93" s="7">
        <v>1193.48630955867</v>
      </c>
      <c r="X93" s="7">
        <v>1585.04998369786</v>
      </c>
    </row>
    <row r="94">
      <c r="A94" s="14">
        <v>42979.0</v>
      </c>
      <c r="B94" s="9">
        <f>IFERROR(__xludf.DUMMYFUNCTION("""COMPUTED_VALUE"""),570.0)</f>
        <v>570</v>
      </c>
      <c r="C94" s="12">
        <v>1172.05116684219</v>
      </c>
      <c r="D94" s="12">
        <v>384.73563439651</v>
      </c>
      <c r="E94" s="12">
        <v>557.592363891627</v>
      </c>
      <c r="F94" s="12">
        <v>401.147104043033</v>
      </c>
      <c r="G94" s="12">
        <v>569.968600503069</v>
      </c>
      <c r="H94" s="12">
        <v>1585.04903798492</v>
      </c>
      <c r="I94" s="12">
        <v>1585.05000004996</v>
      </c>
      <c r="J94" s="12">
        <v>0.0</v>
      </c>
      <c r="K94" s="13">
        <v>0.153189471965161</v>
      </c>
      <c r="L94" s="12">
        <v>14048.7012392039</v>
      </c>
      <c r="M94" s="12">
        <v>-7894.59273528158</v>
      </c>
      <c r="N94" s="12">
        <v>49988.3115322322</v>
      </c>
      <c r="O94" s="12">
        <v>53452.4921099694</v>
      </c>
      <c r="P94" s="12">
        <v>417.225173979288</v>
      </c>
      <c r="Q94" s="12">
        <v>45729.9468042115</v>
      </c>
      <c r="R94" s="12">
        <v>33388.4462515374</v>
      </c>
      <c r="S94" s="12">
        <v>-4317.38620012077</v>
      </c>
      <c r="T94" s="12">
        <v>-5590.5491460805</v>
      </c>
      <c r="U94" s="23">
        <v>24081.9442259523</v>
      </c>
      <c r="V94" s="7">
        <v>1467.72222222222</v>
      </c>
      <c r="W94" s="7">
        <v>624.85259704836</v>
      </c>
      <c r="X94" s="7">
        <v>1585.04998369786</v>
      </c>
    </row>
    <row r="95">
      <c r="A95" s="14">
        <v>43009.0</v>
      </c>
      <c r="B95" s="9">
        <f>IFERROR(__xludf.DUMMYFUNCTION("""COMPUTED_VALUE"""),1150.0)</f>
        <v>1150</v>
      </c>
      <c r="C95" s="12">
        <v>1372.68816130444</v>
      </c>
      <c r="D95" s="12">
        <v>20.0855369231877</v>
      </c>
      <c r="E95" s="12">
        <v>598.302691655403</v>
      </c>
      <c r="F95" s="12">
        <v>680.232291683968</v>
      </c>
      <c r="G95" s="12">
        <v>-2904.81874532637</v>
      </c>
      <c r="H95" s="12">
        <v>1585.04903798492</v>
      </c>
      <c r="I95" s="12">
        <v>1585.05000004996</v>
      </c>
      <c r="J95" s="12">
        <v>0.0</v>
      </c>
      <c r="K95" s="13">
        <v>1.72425415786609</v>
      </c>
      <c r="L95" s="12">
        <v>13267.5843997841</v>
      </c>
      <c r="M95" s="12">
        <v>-4942.58261359542</v>
      </c>
      <c r="N95" s="12">
        <v>-3338.86573342176</v>
      </c>
      <c r="O95" s="12">
        <v>706.668226187991</v>
      </c>
      <c r="P95" s="12">
        <v>685.855322856446</v>
      </c>
      <c r="Q95" s="12">
        <v>8700.77739614612</v>
      </c>
      <c r="R95" s="12">
        <v>94072.0771164208</v>
      </c>
      <c r="S95" s="12">
        <v>-4966.9845839581</v>
      </c>
      <c r="T95" s="12">
        <v>-4321.131843531</v>
      </c>
      <c r="U95" s="23">
        <v>11612.6166611292</v>
      </c>
      <c r="V95" s="7">
        <v>1467.72222222222</v>
      </c>
      <c r="W95" s="7">
        <v>884.35259704836</v>
      </c>
      <c r="X95" s="7">
        <v>1585.04998369786</v>
      </c>
    </row>
    <row r="96">
      <c r="A96" s="14">
        <v>43040.0</v>
      </c>
      <c r="B96" s="9">
        <f>IFERROR(__xludf.DUMMYFUNCTION("""COMPUTED_VALUE"""),636.0)</f>
        <v>636</v>
      </c>
      <c r="C96" s="12">
        <v>1572.27181177692</v>
      </c>
      <c r="D96" s="12">
        <v>2.71828182845905</v>
      </c>
      <c r="E96" s="12">
        <v>1251.93539595699</v>
      </c>
      <c r="F96" s="12">
        <v>619.687793525499</v>
      </c>
      <c r="G96" s="12">
        <v>932.09185565492</v>
      </c>
      <c r="H96" s="12">
        <v>1585.04903798492</v>
      </c>
      <c r="I96" s="12">
        <v>1585.05000004996</v>
      </c>
      <c r="J96" s="12">
        <v>31096.1382630091</v>
      </c>
      <c r="K96" s="13">
        <v>224.706851958698</v>
      </c>
      <c r="L96" s="12">
        <v>28295.358650836</v>
      </c>
      <c r="M96" s="12">
        <v>-3434.51286378125</v>
      </c>
      <c r="N96" s="12">
        <v>-818.55380903328</v>
      </c>
      <c r="O96" s="12">
        <v>515.906380656117</v>
      </c>
      <c r="P96" s="12">
        <v>864.470807811608</v>
      </c>
      <c r="Q96" s="12">
        <v>27817.3791481604</v>
      </c>
      <c r="R96" s="12">
        <v>41240.4049732734</v>
      </c>
      <c r="S96" s="12">
        <v>-2978.00274800993</v>
      </c>
      <c r="T96" s="12">
        <v>-3494.9446110477</v>
      </c>
      <c r="U96" s="23">
        <v>5540.88705214038</v>
      </c>
      <c r="V96" s="7">
        <v>1467.72222222222</v>
      </c>
      <c r="W96" s="7">
        <v>1199.85259704836</v>
      </c>
      <c r="X96" s="7">
        <v>1585.04998369786</v>
      </c>
    </row>
    <row r="97">
      <c r="A97" s="14">
        <v>43070.0</v>
      </c>
      <c r="B97" s="9">
        <f>IFERROR(__xludf.DUMMYFUNCTION("""COMPUTED_VALUE"""),2642.0)</f>
        <v>2642</v>
      </c>
      <c r="C97" s="12">
        <v>2349.80337377905</v>
      </c>
      <c r="D97" s="12">
        <v>4627.41016699329</v>
      </c>
      <c r="E97" s="12">
        <v>2119.48090821402</v>
      </c>
      <c r="F97" s="12">
        <v>1689.00727621903</v>
      </c>
      <c r="G97" s="12">
        <v>2323.19559230423</v>
      </c>
      <c r="H97" s="12">
        <v>6104.38252986134</v>
      </c>
      <c r="I97" s="12">
        <v>20556.4807392377</v>
      </c>
      <c r="J97" s="12">
        <v>3226.42597192295</v>
      </c>
      <c r="K97" s="12">
        <v>2.7457758519325</v>
      </c>
      <c r="L97" s="12">
        <v>61973.5377644968</v>
      </c>
      <c r="M97" s="12">
        <v>3828.74937139451</v>
      </c>
      <c r="N97" s="12">
        <v>14877.716727216</v>
      </c>
      <c r="O97" s="12">
        <v>25947.8783517452</v>
      </c>
      <c r="P97" s="12">
        <v>2596.64270611126</v>
      </c>
      <c r="Q97" s="12">
        <v>19263.4444121806</v>
      </c>
      <c r="R97" s="12">
        <v>51756.8926912861</v>
      </c>
      <c r="S97" s="12">
        <v>12548.472157105</v>
      </c>
      <c r="T97" s="12">
        <v>3255.9830445081</v>
      </c>
      <c r="U97" s="23">
        <v>8285.05798926211</v>
      </c>
      <c r="V97" s="7">
        <v>1467.72222222222</v>
      </c>
      <c r="W97" s="7">
        <v>2473.70083227738</v>
      </c>
      <c r="X97" s="7">
        <v>1585.04998369786</v>
      </c>
    </row>
    <row r="98">
      <c r="A98" s="19">
        <v>43101.0</v>
      </c>
      <c r="B98" s="9">
        <f>IFERROR(__xludf.DUMMYFUNCTION("""COMPUTED_VALUE"""),0.0)</f>
        <v>0</v>
      </c>
      <c r="C98" s="12">
        <v>1593.42052687326</v>
      </c>
      <c r="D98" s="12">
        <v>1.0</v>
      </c>
      <c r="E98" s="12">
        <v>1681.88247667862</v>
      </c>
      <c r="F98" s="12">
        <v>1237.87168752788</v>
      </c>
      <c r="G98" s="12">
        <v>1269.29633162573</v>
      </c>
      <c r="H98" s="12">
        <v>1585.04903798492</v>
      </c>
      <c r="I98" s="12">
        <v>1585.05000004996</v>
      </c>
      <c r="J98" s="12">
        <v>18163.2329958236</v>
      </c>
      <c r="K98" s="12">
        <v>1009.63534074119</v>
      </c>
      <c r="L98" s="12">
        <v>1467.72222222222</v>
      </c>
      <c r="M98" s="12">
        <v>269.731691117963</v>
      </c>
      <c r="N98" s="12">
        <v>12771.0027155064</v>
      </c>
      <c r="O98" s="12">
        <v>11264.8310505206</v>
      </c>
      <c r="P98" s="12">
        <v>1330.80332064309</v>
      </c>
      <c r="Q98" s="12">
        <v>27375.0073545749</v>
      </c>
      <c r="R98" s="12">
        <v>36411.2883826083</v>
      </c>
      <c r="S98" s="12">
        <v>7052.0061259076</v>
      </c>
      <c r="T98" s="12">
        <v>341.354354754245</v>
      </c>
      <c r="U98" s="23">
        <v>12886.8993098374</v>
      </c>
      <c r="V98" s="7">
        <v>1467.72222222222</v>
      </c>
      <c r="W98" s="7">
        <v>1380.10259704836</v>
      </c>
      <c r="X98" s="7">
        <v>1585.04998369786</v>
      </c>
    </row>
    <row r="99">
      <c r="A99" s="19">
        <v>43132.0</v>
      </c>
      <c r="B99" s="18">
        <f>IFERROR(__xludf.DUMMYFUNCTION("""COMPUTED_VALUE"""),154.0)</f>
        <v>154</v>
      </c>
      <c r="C99" s="12">
        <v>1659.21809218868</v>
      </c>
      <c r="D99" s="12">
        <v>20.0855369231877</v>
      </c>
      <c r="E99" s="12">
        <v>2424.34782517725</v>
      </c>
      <c r="F99" s="12">
        <v>1770.79919349431</v>
      </c>
      <c r="G99" s="12">
        <v>1786.24521386735</v>
      </c>
      <c r="H99" s="12">
        <v>1585.04903798492</v>
      </c>
      <c r="I99" s="12">
        <v>3306.40254386911</v>
      </c>
      <c r="J99" s="12">
        <v>1598.49059834482</v>
      </c>
      <c r="K99" s="12">
        <v>1445.96048525056</v>
      </c>
      <c r="L99" s="12">
        <v>5674.42091820175</v>
      </c>
      <c r="M99" s="12">
        <v>1291.90880620271</v>
      </c>
      <c r="N99" s="12">
        <v>10506.6756699997</v>
      </c>
      <c r="O99" s="12">
        <v>9414.62622922814</v>
      </c>
      <c r="P99" s="12">
        <v>1152.89475713234</v>
      </c>
      <c r="Q99" s="12">
        <v>53754.9068275742</v>
      </c>
      <c r="R99" s="12">
        <v>4004.59413961839</v>
      </c>
      <c r="S99" s="12">
        <v>4163.52303283198</v>
      </c>
      <c r="T99" s="12">
        <v>1305.98263358848</v>
      </c>
      <c r="U99" s="7">
        <v>7044.41292752427</v>
      </c>
      <c r="V99" s="7">
        <v>1467.72222222222</v>
      </c>
      <c r="W99" s="7">
        <v>1356.35259704836</v>
      </c>
      <c r="X99" s="7">
        <v>1585.04998369786</v>
      </c>
    </row>
    <row r="100">
      <c r="A100" s="15">
        <v>43160.0</v>
      </c>
      <c r="B100" s="18">
        <f>IFERROR(__xludf.DUMMYFUNCTION("""COMPUTED_VALUE"""),583.0)</f>
        <v>583</v>
      </c>
      <c r="C100" s="12">
        <v>5580.02460022707</v>
      </c>
      <c r="D100" s="12">
        <v>20.0855369231877</v>
      </c>
      <c r="E100" s="12">
        <v>2951.99700032637</v>
      </c>
      <c r="F100" s="12">
        <v>2284.31334082435</v>
      </c>
      <c r="G100" s="12">
        <v>2273.6560180536</v>
      </c>
      <c r="H100" s="12">
        <v>1585.04903798492</v>
      </c>
      <c r="I100" s="12">
        <v>1585.05000004996</v>
      </c>
      <c r="J100" s="12">
        <v>0.0</v>
      </c>
      <c r="K100" s="12">
        <v>1566.17315734407</v>
      </c>
      <c r="L100" s="12">
        <v>10772.1306205774</v>
      </c>
      <c r="M100" s="12">
        <v>10649.8066396361</v>
      </c>
      <c r="N100" s="12">
        <v>16545.2509314858</v>
      </c>
      <c r="O100" s="12">
        <v>12415.0924775674</v>
      </c>
      <c r="P100" s="12">
        <v>25593.6036186631</v>
      </c>
      <c r="Q100" s="12">
        <v>17208.481904477</v>
      </c>
      <c r="R100" s="12">
        <v>19789.1116232025</v>
      </c>
      <c r="S100" s="12">
        <v>49553.0701492734</v>
      </c>
      <c r="T100" s="12">
        <v>9809.0958779491</v>
      </c>
      <c r="U100" s="7">
        <v>10767.4309087789</v>
      </c>
      <c r="V100" s="7">
        <v>1467.72222222222</v>
      </c>
      <c r="W100" s="7">
        <v>593.35259704836</v>
      </c>
      <c r="X100" s="7">
        <v>4644.36699227565</v>
      </c>
    </row>
    <row r="101">
      <c r="A101" s="15">
        <v>43191.0</v>
      </c>
      <c r="B101" s="18">
        <f>IFERROR(__xludf.DUMMYFUNCTION("""COMPUTED_VALUE"""),10372.0)</f>
        <v>10372</v>
      </c>
      <c r="C101" s="12">
        <v>1566.99257096659</v>
      </c>
      <c r="D101" s="12">
        <v>884.823529411765</v>
      </c>
      <c r="E101" s="12">
        <v>2016.83845386692</v>
      </c>
      <c r="F101" s="12">
        <v>1477.77069996174</v>
      </c>
      <c r="G101" s="12">
        <v>3336.46665232573</v>
      </c>
      <c r="H101" s="12">
        <v>3315.26615372519</v>
      </c>
      <c r="I101" s="12">
        <v>1585.05000004996</v>
      </c>
      <c r="J101" s="12">
        <v>4487.94212305079</v>
      </c>
      <c r="K101" s="12">
        <v>1328.76778571509</v>
      </c>
      <c r="L101" s="12">
        <v>12494.1764581377</v>
      </c>
      <c r="M101" s="12">
        <v>352.033509913715</v>
      </c>
      <c r="N101" s="12">
        <v>5302.38455266892</v>
      </c>
      <c r="O101" s="12">
        <v>1826.01566016951</v>
      </c>
      <c r="P101" s="12">
        <v>3751.68920326719</v>
      </c>
      <c r="Q101" s="12">
        <v>6814.92209551728</v>
      </c>
      <c r="R101" s="12">
        <v>10465.3874876598</v>
      </c>
      <c r="S101" s="12">
        <v>18735.7878247401</v>
      </c>
      <c r="T101" s="12">
        <v>418.894505654739</v>
      </c>
      <c r="U101" s="7">
        <v>1710.56191347489</v>
      </c>
      <c r="V101" s="7">
        <v>1467.72222222222</v>
      </c>
      <c r="W101" s="7">
        <v>260.35259704836</v>
      </c>
      <c r="X101" s="7">
        <v>3719.65896117948</v>
      </c>
    </row>
    <row r="102">
      <c r="A102" s="15">
        <v>43221.0</v>
      </c>
      <c r="B102" s="18">
        <f>IFERROR(__xludf.DUMMYFUNCTION("""COMPUTED_VALUE"""),501.0)</f>
        <v>501</v>
      </c>
      <c r="C102" s="12">
        <v>97768.0490981904</v>
      </c>
      <c r="D102" s="12">
        <v>142247.346915852</v>
      </c>
      <c r="E102" s="12">
        <v>96762.9078585811</v>
      </c>
      <c r="F102" s="12">
        <v>95819.2364885693</v>
      </c>
      <c r="G102" s="12">
        <v>92873.5069616008</v>
      </c>
      <c r="H102" s="12">
        <v>148651.104731717</v>
      </c>
      <c r="I102" s="12">
        <v>22803.4162076199</v>
      </c>
      <c r="J102" s="12">
        <v>93972.0063546406</v>
      </c>
      <c r="K102" s="12">
        <v>98386.2981719388</v>
      </c>
      <c r="L102" s="12">
        <v>6193.22589887126</v>
      </c>
      <c r="M102" s="12">
        <v>4797.51279167625</v>
      </c>
      <c r="N102" s="12">
        <v>5637.42951481641</v>
      </c>
      <c r="O102" s="12">
        <v>5435.33640235756</v>
      </c>
      <c r="P102" s="12">
        <v>3346.49753351956</v>
      </c>
      <c r="Q102" s="12">
        <v>14755.6283169529</v>
      </c>
      <c r="R102" s="12">
        <v>15042.4480367024</v>
      </c>
      <c r="S102" s="12">
        <v>7717.85451585167</v>
      </c>
      <c r="T102" s="12">
        <v>4460.63287271667</v>
      </c>
      <c r="U102" s="7">
        <v>4775.94991480322</v>
      </c>
      <c r="V102" s="7">
        <v>1467.72222222222</v>
      </c>
      <c r="W102" s="7">
        <v>151545.397309944</v>
      </c>
      <c r="X102" s="7">
        <v>315.282854914609</v>
      </c>
    </row>
    <row r="103">
      <c r="A103" s="15">
        <v>43252.0</v>
      </c>
      <c r="B103" s="18">
        <f>IFERROR(__xludf.DUMMYFUNCTION("""COMPUTED_VALUE"""),1959.0)</f>
        <v>1959</v>
      </c>
      <c r="C103" s="7">
        <v>82641.2661036235</v>
      </c>
      <c r="D103" s="7">
        <v>19198.7755203892</v>
      </c>
      <c r="E103" s="7">
        <v>5182.16581765508</v>
      </c>
      <c r="F103" s="7">
        <v>20505.5917808968</v>
      </c>
      <c r="G103" s="7">
        <v>4598.7082626029</v>
      </c>
      <c r="H103" s="7">
        <v>21475.8040940982</v>
      </c>
      <c r="I103" s="7">
        <v>1585.05000004996</v>
      </c>
      <c r="J103" s="7">
        <v>6214.59394227171</v>
      </c>
      <c r="K103" s="7">
        <v>4605.76308223714</v>
      </c>
      <c r="L103" s="7">
        <v>53461.8471423177</v>
      </c>
      <c r="M103" s="7">
        <v>36969.9535915573</v>
      </c>
      <c r="N103" s="7">
        <v>64537.8605678637</v>
      </c>
      <c r="O103" s="7">
        <v>40460.3397062935</v>
      </c>
      <c r="P103" s="7">
        <v>34856.4976855325</v>
      </c>
      <c r="Q103" s="7">
        <v>42916.8328626857</v>
      </c>
      <c r="R103" s="7">
        <v>37301.869298084</v>
      </c>
      <c r="S103" s="7">
        <v>40703.4260915924</v>
      </c>
      <c r="T103" s="7">
        <v>35219.7793393325</v>
      </c>
      <c r="U103" s="7">
        <v>36702.1360278577</v>
      </c>
      <c r="V103" s="7">
        <v>1467.72222222222</v>
      </c>
      <c r="W103" s="7">
        <v>7684.39592476787</v>
      </c>
      <c r="X103" s="7">
        <v>405.379510160733</v>
      </c>
    </row>
    <row r="104">
      <c r="A104" s="15">
        <v>43282.0</v>
      </c>
      <c r="B104" s="18">
        <f>IFERROR(__xludf.DUMMYFUNCTION("""COMPUTED_VALUE"""),2663.0)</f>
        <v>2663</v>
      </c>
      <c r="C104" s="7">
        <v>1506.73179463625</v>
      </c>
      <c r="D104" s="7">
        <v>61117.6250740657</v>
      </c>
      <c r="E104" s="7">
        <v>2111.78375348912</v>
      </c>
      <c r="F104" s="7">
        <v>1358.69001474433</v>
      </c>
      <c r="G104" s="7">
        <v>1382.13285702282</v>
      </c>
      <c r="H104" s="7">
        <v>1585.04903798492</v>
      </c>
      <c r="I104" s="7">
        <v>2836.9313210738</v>
      </c>
      <c r="J104" s="7">
        <v>31996.0</v>
      </c>
      <c r="K104" s="7">
        <v>1317.19631703935</v>
      </c>
      <c r="L104" s="7">
        <v>50785.5944117481</v>
      </c>
      <c r="M104" s="7">
        <v>-75.9268391864834</v>
      </c>
      <c r="N104" s="7">
        <v>16652.8647107186</v>
      </c>
      <c r="O104" s="7">
        <v>8440.09900513928</v>
      </c>
      <c r="P104" s="7">
        <v>6109.2384804349</v>
      </c>
      <c r="Q104" s="7">
        <v>3165.43890714669</v>
      </c>
      <c r="R104" s="7">
        <v>9745.30576536741</v>
      </c>
      <c r="S104" s="7">
        <v>26673.6929228492</v>
      </c>
      <c r="T104" s="7">
        <v>234.916468773625</v>
      </c>
      <c r="U104" s="7">
        <v>1380.4250864507</v>
      </c>
      <c r="V104" s="7">
        <v>1467.72222222222</v>
      </c>
      <c r="W104" s="7">
        <v>390.35259704836</v>
      </c>
      <c r="X104" s="7">
        <v>4979.54003847531</v>
      </c>
    </row>
    <row r="105">
      <c r="A105" s="17">
        <v>43313.0</v>
      </c>
      <c r="B105" s="18"/>
      <c r="C105" s="7">
        <v>1768.83145937618</v>
      </c>
      <c r="D105" s="7">
        <v>6197.16975077695</v>
      </c>
      <c r="E105" s="7">
        <v>2144.44438105413</v>
      </c>
      <c r="F105" s="7">
        <v>1391.29470252771</v>
      </c>
      <c r="G105" s="7">
        <v>1417.3534728746</v>
      </c>
      <c r="H105" s="7">
        <v>1585.04903798492</v>
      </c>
      <c r="I105" s="7">
        <v>10312.9973642583</v>
      </c>
      <c r="J105" s="7">
        <v>3977.0</v>
      </c>
      <c r="K105" s="7">
        <v>1211.91568157912</v>
      </c>
      <c r="L105" s="7">
        <v>3197.84359300389</v>
      </c>
      <c r="M105" s="7">
        <v>-2498.06523380692</v>
      </c>
      <c r="N105" s="7">
        <v>14438.6607751931</v>
      </c>
      <c r="O105" s="7">
        <v>5984.69101360905</v>
      </c>
      <c r="P105" s="7">
        <v>1013.63123258287</v>
      </c>
      <c r="Q105" s="7">
        <v>-1876.36866152233</v>
      </c>
      <c r="R105" s="7">
        <v>4932.8817961578</v>
      </c>
      <c r="S105" s="7">
        <v>1282.43213800524</v>
      </c>
      <c r="T105" s="7">
        <v>-2068.67309596632</v>
      </c>
      <c r="U105" s="7">
        <v>690.65356552785</v>
      </c>
      <c r="V105" s="7">
        <v>1467.72222222222</v>
      </c>
      <c r="W105" s="7">
        <v>-1044.14740295164</v>
      </c>
      <c r="X105" s="7">
        <v>1105.59760914704</v>
      </c>
    </row>
    <row r="106">
      <c r="A106" s="15">
        <v>43344.0</v>
      </c>
      <c r="B106" s="18"/>
    </row>
    <row r="107">
      <c r="A107" s="15">
        <v>43374.0</v>
      </c>
      <c r="B107" s="18"/>
    </row>
    <row r="108">
      <c r="A108" s="15">
        <v>43405.0</v>
      </c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0</v>
      </c>
      <c r="B1" s="3" t="s">
        <v>1</v>
      </c>
      <c r="C1" s="38" t="s">
        <v>107</v>
      </c>
      <c r="D1" s="39" t="s">
        <v>108</v>
      </c>
      <c r="E1" s="39" t="s">
        <v>109</v>
      </c>
      <c r="F1" s="39" t="s">
        <v>110</v>
      </c>
      <c r="G1" s="39" t="s">
        <v>111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116</v>
      </c>
      <c r="M1" s="39" t="s">
        <v>117</v>
      </c>
      <c r="N1" s="39" t="s">
        <v>118</v>
      </c>
      <c r="O1" s="39" t="s">
        <v>119</v>
      </c>
      <c r="P1" s="39" t="s">
        <v>120</v>
      </c>
      <c r="Q1" s="39" t="s">
        <v>121</v>
      </c>
      <c r="R1" s="39" t="s">
        <v>122</v>
      </c>
      <c r="S1" s="39" t="s">
        <v>123</v>
      </c>
      <c r="T1" s="39" t="s">
        <v>124</v>
      </c>
      <c r="U1" s="39" t="s">
        <v>125</v>
      </c>
      <c r="V1" s="39" t="s">
        <v>126</v>
      </c>
      <c r="W1" s="39" t="s">
        <v>127</v>
      </c>
      <c r="X1" s="39" t="s">
        <v>128</v>
      </c>
      <c r="Y1" s="39" t="s">
        <v>129</v>
      </c>
      <c r="Z1" s="39" t="s">
        <v>130</v>
      </c>
      <c r="AA1" s="39"/>
    </row>
    <row r="2">
      <c r="A2" s="8">
        <v>40179.0</v>
      </c>
      <c r="B2" s="9">
        <f>IFERROR(__xludf.DUMMYFUNCTION("IMPORTRANGE(""https://docs.google.com/spreadsheets/d/1oPTPmoJ9phtMOkp-nMB7WHnPESomLzqUj9t0gcE9bYA"",""Current Region!H2:H150"")"),2373.0)</f>
        <v>2373</v>
      </c>
      <c r="C2" s="40" t="s">
        <v>26</v>
      </c>
      <c r="D2" s="40" t="s">
        <v>26</v>
      </c>
      <c r="E2" s="40" t="s">
        <v>26</v>
      </c>
      <c r="F2" s="40" t="s">
        <v>26</v>
      </c>
      <c r="G2" s="40" t="s">
        <v>26</v>
      </c>
      <c r="H2" s="40" t="s">
        <v>26</v>
      </c>
      <c r="I2" s="40" t="s">
        <v>26</v>
      </c>
      <c r="J2" s="40" t="s">
        <v>26</v>
      </c>
      <c r="K2" s="41" t="s">
        <v>26</v>
      </c>
      <c r="L2" s="41" t="s">
        <v>26</v>
      </c>
      <c r="M2" s="41" t="s">
        <v>26</v>
      </c>
      <c r="N2" s="41" t="s">
        <v>26</v>
      </c>
      <c r="O2" s="40" t="s">
        <v>26</v>
      </c>
      <c r="P2" s="40" t="s">
        <v>26</v>
      </c>
      <c r="Q2" s="40" t="s">
        <v>26</v>
      </c>
      <c r="R2" s="40" t="s">
        <v>26</v>
      </c>
      <c r="S2" s="40" t="s">
        <v>26</v>
      </c>
      <c r="T2" s="40" t="s">
        <v>26</v>
      </c>
      <c r="U2" s="40" t="s">
        <v>26</v>
      </c>
      <c r="V2" s="40" t="s">
        <v>26</v>
      </c>
      <c r="W2" s="24" t="s">
        <v>26</v>
      </c>
      <c r="X2" s="24" t="s">
        <v>26</v>
      </c>
      <c r="Y2" s="24" t="s">
        <v>26</v>
      </c>
      <c r="Z2" s="24" t="s">
        <v>26</v>
      </c>
      <c r="AA2" s="24"/>
    </row>
    <row r="3">
      <c r="A3" s="8">
        <v>40210.0</v>
      </c>
      <c r="B3" s="9">
        <f>IFERROR(__xludf.DUMMYFUNCTION("""COMPUTED_VALUE"""),446.0)</f>
        <v>446</v>
      </c>
      <c r="C3" s="40" t="s">
        <v>26</v>
      </c>
      <c r="D3" s="40" t="s">
        <v>26</v>
      </c>
      <c r="E3" s="40" t="s">
        <v>26</v>
      </c>
      <c r="F3" s="40" t="s">
        <v>26</v>
      </c>
      <c r="G3" s="40" t="s">
        <v>26</v>
      </c>
      <c r="H3" s="40" t="s">
        <v>26</v>
      </c>
      <c r="I3" s="40" t="s">
        <v>26</v>
      </c>
      <c r="J3" s="40" t="s">
        <v>26</v>
      </c>
      <c r="K3" s="41" t="s">
        <v>26</v>
      </c>
      <c r="L3" s="41" t="s">
        <v>26</v>
      </c>
      <c r="M3" s="41" t="s">
        <v>26</v>
      </c>
      <c r="N3" s="41" t="s">
        <v>26</v>
      </c>
      <c r="O3" s="40" t="s">
        <v>26</v>
      </c>
      <c r="P3" s="40" t="s">
        <v>26</v>
      </c>
      <c r="Q3" s="40" t="s">
        <v>26</v>
      </c>
      <c r="R3" s="40" t="s">
        <v>26</v>
      </c>
      <c r="S3" s="40" t="s">
        <v>26</v>
      </c>
      <c r="T3" s="40" t="s">
        <v>26</v>
      </c>
      <c r="U3" s="40" t="s">
        <v>26</v>
      </c>
      <c r="V3" s="40" t="s">
        <v>26</v>
      </c>
      <c r="W3" s="24" t="s">
        <v>26</v>
      </c>
      <c r="X3" s="24" t="s">
        <v>26</v>
      </c>
      <c r="Y3" s="24" t="s">
        <v>26</v>
      </c>
      <c r="Z3" s="24" t="s">
        <v>26</v>
      </c>
      <c r="AA3" s="24"/>
    </row>
    <row r="4">
      <c r="A4" s="8">
        <v>40238.0</v>
      </c>
      <c r="B4" s="9">
        <f>IFERROR(__xludf.DUMMYFUNCTION("""COMPUTED_VALUE"""),1097.0)</f>
        <v>1097</v>
      </c>
      <c r="C4" s="40" t="s">
        <v>26</v>
      </c>
      <c r="D4" s="40" t="s">
        <v>26</v>
      </c>
      <c r="E4" s="40" t="s">
        <v>26</v>
      </c>
      <c r="F4" s="40" t="s">
        <v>26</v>
      </c>
      <c r="G4" s="40" t="s">
        <v>26</v>
      </c>
      <c r="H4" s="40" t="s">
        <v>26</v>
      </c>
      <c r="I4" s="40" t="s">
        <v>26</v>
      </c>
      <c r="J4" s="40" t="s">
        <v>26</v>
      </c>
      <c r="K4" s="41" t="s">
        <v>26</v>
      </c>
      <c r="L4" s="41" t="s">
        <v>26</v>
      </c>
      <c r="M4" s="41" t="s">
        <v>26</v>
      </c>
      <c r="N4" s="41" t="s">
        <v>26</v>
      </c>
      <c r="O4" s="40" t="s">
        <v>26</v>
      </c>
      <c r="P4" s="40" t="s">
        <v>26</v>
      </c>
      <c r="Q4" s="40" t="s">
        <v>26</v>
      </c>
      <c r="R4" s="40" t="s">
        <v>26</v>
      </c>
      <c r="S4" s="40" t="s">
        <v>26</v>
      </c>
      <c r="T4" s="40" t="s">
        <v>26</v>
      </c>
      <c r="U4" s="40" t="s">
        <v>26</v>
      </c>
      <c r="V4" s="40" t="s">
        <v>26</v>
      </c>
      <c r="W4" s="24" t="s">
        <v>26</v>
      </c>
      <c r="X4" s="24" t="s">
        <v>26</v>
      </c>
      <c r="Y4" s="24" t="s">
        <v>26</v>
      </c>
      <c r="Z4" s="24" t="s">
        <v>26</v>
      </c>
      <c r="AA4" s="24"/>
    </row>
    <row r="5">
      <c r="A5" s="8">
        <v>40269.0</v>
      </c>
      <c r="B5" s="9">
        <f>IFERROR(__xludf.DUMMYFUNCTION("""COMPUTED_VALUE"""),1278.0)</f>
        <v>1278</v>
      </c>
      <c r="C5" s="40" t="s">
        <v>26</v>
      </c>
      <c r="D5" s="40" t="s">
        <v>26</v>
      </c>
      <c r="E5" s="40" t="s">
        <v>26</v>
      </c>
      <c r="F5" s="40" t="s">
        <v>26</v>
      </c>
      <c r="G5" s="40" t="s">
        <v>26</v>
      </c>
      <c r="H5" s="40" t="s">
        <v>26</v>
      </c>
      <c r="I5" s="40" t="s">
        <v>26</v>
      </c>
      <c r="J5" s="40" t="s">
        <v>26</v>
      </c>
      <c r="K5" s="41" t="s">
        <v>26</v>
      </c>
      <c r="L5" s="41" t="s">
        <v>26</v>
      </c>
      <c r="M5" s="41" t="s">
        <v>26</v>
      </c>
      <c r="N5" s="41" t="s">
        <v>26</v>
      </c>
      <c r="O5" s="40" t="s">
        <v>26</v>
      </c>
      <c r="P5" s="40" t="s">
        <v>26</v>
      </c>
      <c r="Q5" s="40" t="s">
        <v>26</v>
      </c>
      <c r="R5" s="40" t="s">
        <v>26</v>
      </c>
      <c r="S5" s="40" t="s">
        <v>26</v>
      </c>
      <c r="T5" s="40" t="s">
        <v>26</v>
      </c>
      <c r="U5" s="40" t="s">
        <v>26</v>
      </c>
      <c r="V5" s="40" t="s">
        <v>26</v>
      </c>
      <c r="W5" s="24" t="s">
        <v>26</v>
      </c>
      <c r="X5" s="24" t="s">
        <v>26</v>
      </c>
      <c r="Y5" s="24" t="s">
        <v>26</v>
      </c>
      <c r="Z5" s="24" t="s">
        <v>26</v>
      </c>
      <c r="AA5" s="24"/>
    </row>
    <row r="6">
      <c r="A6" s="8">
        <v>40299.0</v>
      </c>
      <c r="B6" s="9">
        <f>IFERROR(__xludf.DUMMYFUNCTION("""COMPUTED_VALUE"""),4289.0)</f>
        <v>4289</v>
      </c>
      <c r="C6" s="40" t="s">
        <v>26</v>
      </c>
      <c r="D6" s="40" t="s">
        <v>26</v>
      </c>
      <c r="E6" s="40" t="s">
        <v>26</v>
      </c>
      <c r="F6" s="40" t="s">
        <v>26</v>
      </c>
      <c r="G6" s="40" t="s">
        <v>26</v>
      </c>
      <c r="H6" s="40" t="s">
        <v>26</v>
      </c>
      <c r="I6" s="40" t="s">
        <v>26</v>
      </c>
      <c r="J6" s="40" t="s">
        <v>26</v>
      </c>
      <c r="K6" s="41" t="s">
        <v>26</v>
      </c>
      <c r="L6" s="41" t="s">
        <v>26</v>
      </c>
      <c r="M6" s="41" t="s">
        <v>26</v>
      </c>
      <c r="N6" s="41" t="s">
        <v>26</v>
      </c>
      <c r="O6" s="40" t="s">
        <v>26</v>
      </c>
      <c r="P6" s="40" t="s">
        <v>26</v>
      </c>
      <c r="Q6" s="40" t="s">
        <v>26</v>
      </c>
      <c r="R6" s="40" t="s">
        <v>26</v>
      </c>
      <c r="S6" s="40" t="s">
        <v>26</v>
      </c>
      <c r="T6" s="40" t="s">
        <v>26</v>
      </c>
      <c r="U6" s="40" t="s">
        <v>26</v>
      </c>
      <c r="V6" s="40" t="s">
        <v>26</v>
      </c>
      <c r="W6" s="24" t="s">
        <v>26</v>
      </c>
      <c r="X6" s="24" t="s">
        <v>26</v>
      </c>
      <c r="Y6" s="24" t="s">
        <v>26</v>
      </c>
      <c r="Z6" s="24" t="s">
        <v>26</v>
      </c>
      <c r="AA6" s="24"/>
    </row>
    <row r="7">
      <c r="A7" s="8">
        <v>40330.0</v>
      </c>
      <c r="B7" s="9">
        <f>IFERROR(__xludf.DUMMYFUNCTION("""COMPUTED_VALUE"""),6714.0)</f>
        <v>6714</v>
      </c>
      <c r="C7" s="40" t="s">
        <v>26</v>
      </c>
      <c r="D7" s="40" t="s">
        <v>26</v>
      </c>
      <c r="E7" s="40" t="s">
        <v>26</v>
      </c>
      <c r="F7" s="40" t="s">
        <v>26</v>
      </c>
      <c r="G7" s="40" t="s">
        <v>26</v>
      </c>
      <c r="H7" s="40" t="s">
        <v>26</v>
      </c>
      <c r="I7" s="40" t="s">
        <v>26</v>
      </c>
      <c r="J7" s="40" t="s">
        <v>26</v>
      </c>
      <c r="K7" s="41" t="s">
        <v>26</v>
      </c>
      <c r="L7" s="41" t="s">
        <v>26</v>
      </c>
      <c r="M7" s="41" t="s">
        <v>26</v>
      </c>
      <c r="N7" s="41" t="s">
        <v>26</v>
      </c>
      <c r="O7" s="40" t="s">
        <v>26</v>
      </c>
      <c r="P7" s="40" t="s">
        <v>26</v>
      </c>
      <c r="Q7" s="40" t="s">
        <v>26</v>
      </c>
      <c r="R7" s="40" t="s">
        <v>26</v>
      </c>
      <c r="S7" s="40" t="s">
        <v>26</v>
      </c>
      <c r="T7" s="40" t="s">
        <v>26</v>
      </c>
      <c r="U7" s="40" t="s">
        <v>26</v>
      </c>
      <c r="V7" s="40" t="s">
        <v>26</v>
      </c>
      <c r="W7" s="24" t="s">
        <v>26</v>
      </c>
      <c r="X7" s="24" t="s">
        <v>26</v>
      </c>
      <c r="Y7" s="24" t="s">
        <v>26</v>
      </c>
      <c r="Z7" s="24" t="s">
        <v>26</v>
      </c>
      <c r="AA7" s="24"/>
    </row>
    <row r="8">
      <c r="A8" s="8">
        <v>40360.0</v>
      </c>
      <c r="B8" s="9">
        <f>IFERROR(__xludf.DUMMYFUNCTION("""COMPUTED_VALUE"""),6408.0)</f>
        <v>6408</v>
      </c>
      <c r="C8" s="40" t="s">
        <v>26</v>
      </c>
      <c r="D8" s="40" t="s">
        <v>26</v>
      </c>
      <c r="E8" s="40" t="s">
        <v>26</v>
      </c>
      <c r="F8" s="40" t="s">
        <v>26</v>
      </c>
      <c r="G8" s="40" t="s">
        <v>26</v>
      </c>
      <c r="H8" s="40" t="s">
        <v>26</v>
      </c>
      <c r="I8" s="40" t="s">
        <v>26</v>
      </c>
      <c r="J8" s="40" t="s">
        <v>26</v>
      </c>
      <c r="K8" s="41" t="s">
        <v>26</v>
      </c>
      <c r="L8" s="41" t="s">
        <v>26</v>
      </c>
      <c r="M8" s="41" t="s">
        <v>26</v>
      </c>
      <c r="N8" s="41" t="s">
        <v>26</v>
      </c>
      <c r="O8" s="40" t="s">
        <v>26</v>
      </c>
      <c r="P8" s="40" t="s">
        <v>26</v>
      </c>
      <c r="Q8" s="40" t="s">
        <v>26</v>
      </c>
      <c r="R8" s="40" t="s">
        <v>26</v>
      </c>
      <c r="S8" s="40" t="s">
        <v>26</v>
      </c>
      <c r="T8" s="40" t="s">
        <v>26</v>
      </c>
      <c r="U8" s="40" t="s">
        <v>26</v>
      </c>
      <c r="V8" s="40" t="s">
        <v>26</v>
      </c>
      <c r="W8" s="24" t="s">
        <v>26</v>
      </c>
      <c r="X8" s="24" t="s">
        <v>26</v>
      </c>
      <c r="Y8" s="24" t="s">
        <v>26</v>
      </c>
      <c r="Z8" s="24" t="s">
        <v>26</v>
      </c>
      <c r="AA8" s="24"/>
    </row>
    <row r="9">
      <c r="A9" s="8">
        <v>40391.0</v>
      </c>
      <c r="B9" s="9">
        <f>IFERROR(__xludf.DUMMYFUNCTION("""COMPUTED_VALUE"""),1667.0)</f>
        <v>1667</v>
      </c>
      <c r="C9" s="40" t="s">
        <v>26</v>
      </c>
      <c r="D9" s="40" t="s">
        <v>26</v>
      </c>
      <c r="E9" s="40" t="s">
        <v>26</v>
      </c>
      <c r="F9" s="40" t="s">
        <v>26</v>
      </c>
      <c r="G9" s="40" t="s">
        <v>26</v>
      </c>
      <c r="H9" s="40" t="s">
        <v>26</v>
      </c>
      <c r="I9" s="40" t="s">
        <v>26</v>
      </c>
      <c r="J9" s="40" t="s">
        <v>26</v>
      </c>
      <c r="K9" s="41" t="s">
        <v>26</v>
      </c>
      <c r="L9" s="41" t="s">
        <v>26</v>
      </c>
      <c r="M9" s="41" t="s">
        <v>26</v>
      </c>
      <c r="N9" s="41" t="s">
        <v>26</v>
      </c>
      <c r="O9" s="40" t="s">
        <v>26</v>
      </c>
      <c r="P9" s="40" t="s">
        <v>26</v>
      </c>
      <c r="Q9" s="40" t="s">
        <v>26</v>
      </c>
      <c r="R9" s="40" t="s">
        <v>26</v>
      </c>
      <c r="S9" s="40" t="s">
        <v>26</v>
      </c>
      <c r="T9" s="40" t="s">
        <v>26</v>
      </c>
      <c r="U9" s="40" t="s">
        <v>26</v>
      </c>
      <c r="V9" s="40" t="s">
        <v>26</v>
      </c>
      <c r="W9" s="24" t="s">
        <v>26</v>
      </c>
      <c r="X9" s="24" t="s">
        <v>26</v>
      </c>
      <c r="Y9" s="24" t="s">
        <v>26</v>
      </c>
      <c r="Z9" s="24" t="s">
        <v>26</v>
      </c>
      <c r="AA9" s="24"/>
    </row>
    <row r="10">
      <c r="A10" s="8">
        <v>40422.0</v>
      </c>
      <c r="B10" s="9">
        <f>IFERROR(__xludf.DUMMYFUNCTION("""COMPUTED_VALUE"""),1232.0)</f>
        <v>1232</v>
      </c>
      <c r="C10" s="40" t="s">
        <v>26</v>
      </c>
      <c r="D10" s="40" t="s">
        <v>26</v>
      </c>
      <c r="E10" s="40" t="s">
        <v>26</v>
      </c>
      <c r="F10" s="40" t="s">
        <v>26</v>
      </c>
      <c r="G10" s="40" t="s">
        <v>26</v>
      </c>
      <c r="H10" s="40" t="s">
        <v>26</v>
      </c>
      <c r="I10" s="40" t="s">
        <v>26</v>
      </c>
      <c r="J10" s="40" t="s">
        <v>26</v>
      </c>
      <c r="K10" s="41" t="s">
        <v>26</v>
      </c>
      <c r="L10" s="41" t="s">
        <v>26</v>
      </c>
      <c r="M10" s="41" t="s">
        <v>26</v>
      </c>
      <c r="N10" s="41" t="s">
        <v>26</v>
      </c>
      <c r="O10" s="40" t="s">
        <v>26</v>
      </c>
      <c r="P10" s="40" t="s">
        <v>26</v>
      </c>
      <c r="Q10" s="40" t="s">
        <v>26</v>
      </c>
      <c r="R10" s="40" t="s">
        <v>26</v>
      </c>
      <c r="S10" s="40" t="s">
        <v>26</v>
      </c>
      <c r="T10" s="40" t="s">
        <v>26</v>
      </c>
      <c r="U10" s="40" t="s">
        <v>26</v>
      </c>
      <c r="V10" s="40" t="s">
        <v>26</v>
      </c>
      <c r="W10" s="24" t="s">
        <v>26</v>
      </c>
      <c r="X10" s="24" t="s">
        <v>26</v>
      </c>
      <c r="Y10" s="24" t="s">
        <v>26</v>
      </c>
      <c r="Z10" s="24" t="s">
        <v>26</v>
      </c>
      <c r="AA10" s="24"/>
    </row>
    <row r="11">
      <c r="A11" s="8">
        <v>40452.0</v>
      </c>
      <c r="B11" s="9">
        <f>IFERROR(__xludf.DUMMYFUNCTION("""COMPUTED_VALUE"""),2527.0)</f>
        <v>2527</v>
      </c>
      <c r="C11" s="40" t="s">
        <v>26</v>
      </c>
      <c r="D11" s="40" t="s">
        <v>26</v>
      </c>
      <c r="E11" s="40" t="s">
        <v>26</v>
      </c>
      <c r="F11" s="40" t="s">
        <v>26</v>
      </c>
      <c r="G11" s="40" t="s">
        <v>26</v>
      </c>
      <c r="H11" s="40" t="s">
        <v>26</v>
      </c>
      <c r="I11" s="40" t="s">
        <v>26</v>
      </c>
      <c r="J11" s="40" t="s">
        <v>26</v>
      </c>
      <c r="K11" s="41" t="s">
        <v>26</v>
      </c>
      <c r="L11" s="41" t="s">
        <v>26</v>
      </c>
      <c r="M11" s="41" t="s">
        <v>26</v>
      </c>
      <c r="N11" s="41" t="s">
        <v>26</v>
      </c>
      <c r="O11" s="40" t="s">
        <v>26</v>
      </c>
      <c r="P11" s="40" t="s">
        <v>26</v>
      </c>
      <c r="Q11" s="40" t="s">
        <v>26</v>
      </c>
      <c r="R11" s="40" t="s">
        <v>26</v>
      </c>
      <c r="S11" s="40" t="s">
        <v>26</v>
      </c>
      <c r="T11" s="40" t="s">
        <v>26</v>
      </c>
      <c r="U11" s="40" t="s">
        <v>26</v>
      </c>
      <c r="V11" s="40" t="s">
        <v>26</v>
      </c>
      <c r="W11" s="24" t="s">
        <v>26</v>
      </c>
      <c r="X11" s="24" t="s">
        <v>26</v>
      </c>
      <c r="Y11" s="24" t="s">
        <v>26</v>
      </c>
      <c r="Z11" s="24" t="s">
        <v>26</v>
      </c>
      <c r="AA11" s="24"/>
    </row>
    <row r="12">
      <c r="A12" s="8">
        <v>40483.0</v>
      </c>
      <c r="B12" s="9">
        <f>IFERROR(__xludf.DUMMYFUNCTION("""COMPUTED_VALUE"""),3040.0)</f>
        <v>3040</v>
      </c>
      <c r="C12" s="40" t="s">
        <v>26</v>
      </c>
      <c r="D12" s="40" t="s">
        <v>26</v>
      </c>
      <c r="E12" s="40" t="s">
        <v>26</v>
      </c>
      <c r="F12" s="40" t="s">
        <v>26</v>
      </c>
      <c r="G12" s="40" t="s">
        <v>26</v>
      </c>
      <c r="H12" s="40" t="s">
        <v>26</v>
      </c>
      <c r="I12" s="40" t="s">
        <v>26</v>
      </c>
      <c r="J12" s="40" t="s">
        <v>26</v>
      </c>
      <c r="K12" s="41" t="s">
        <v>26</v>
      </c>
      <c r="L12" s="41" t="s">
        <v>26</v>
      </c>
      <c r="M12" s="41" t="s">
        <v>26</v>
      </c>
      <c r="N12" s="41" t="s">
        <v>26</v>
      </c>
      <c r="O12" s="40" t="s">
        <v>26</v>
      </c>
      <c r="P12" s="40" t="s">
        <v>26</v>
      </c>
      <c r="Q12" s="40" t="s">
        <v>26</v>
      </c>
      <c r="R12" s="40" t="s">
        <v>26</v>
      </c>
      <c r="S12" s="40" t="s">
        <v>26</v>
      </c>
      <c r="T12" s="40" t="s">
        <v>26</v>
      </c>
      <c r="U12" s="40" t="s">
        <v>26</v>
      </c>
      <c r="V12" s="40" t="s">
        <v>26</v>
      </c>
      <c r="W12" s="24" t="s">
        <v>26</v>
      </c>
      <c r="X12" s="24" t="s">
        <v>26</v>
      </c>
      <c r="Y12" s="24" t="s">
        <v>26</v>
      </c>
      <c r="Z12" s="24" t="s">
        <v>26</v>
      </c>
      <c r="AA12" s="24"/>
    </row>
    <row r="13">
      <c r="A13" s="8">
        <v>40513.0</v>
      </c>
      <c r="B13" s="9">
        <f>IFERROR(__xludf.DUMMYFUNCTION("""COMPUTED_VALUE"""),2714.0)</f>
        <v>2714</v>
      </c>
      <c r="C13" s="40" t="s">
        <v>26</v>
      </c>
      <c r="D13" s="40" t="s">
        <v>26</v>
      </c>
      <c r="E13" s="40" t="s">
        <v>26</v>
      </c>
      <c r="F13" s="40" t="s">
        <v>26</v>
      </c>
      <c r="G13" s="40" t="s">
        <v>26</v>
      </c>
      <c r="H13" s="40" t="s">
        <v>26</v>
      </c>
      <c r="I13" s="40" t="s">
        <v>26</v>
      </c>
      <c r="J13" s="40" t="s">
        <v>26</v>
      </c>
      <c r="K13" s="41" t="s">
        <v>26</v>
      </c>
      <c r="L13" s="41" t="s">
        <v>26</v>
      </c>
      <c r="M13" s="41" t="s">
        <v>26</v>
      </c>
      <c r="N13" s="41" t="s">
        <v>26</v>
      </c>
      <c r="O13" s="40" t="s">
        <v>26</v>
      </c>
      <c r="P13" s="40" t="s">
        <v>26</v>
      </c>
      <c r="Q13" s="40" t="s">
        <v>26</v>
      </c>
      <c r="R13" s="40" t="s">
        <v>26</v>
      </c>
      <c r="S13" s="40" t="s">
        <v>26</v>
      </c>
      <c r="T13" s="40" t="s">
        <v>26</v>
      </c>
      <c r="U13" s="40" t="s">
        <v>26</v>
      </c>
      <c r="V13" s="40" t="s">
        <v>26</v>
      </c>
      <c r="W13" s="24" t="s">
        <v>26</v>
      </c>
      <c r="X13" s="24" t="s">
        <v>26</v>
      </c>
      <c r="Y13" s="24" t="s">
        <v>26</v>
      </c>
      <c r="Z13" s="24" t="s">
        <v>26</v>
      </c>
      <c r="AA13" s="24"/>
    </row>
    <row r="14">
      <c r="A14" s="8">
        <v>40544.0</v>
      </c>
      <c r="B14" s="9">
        <f>IFERROR(__xludf.DUMMYFUNCTION("""COMPUTED_VALUE"""),3531.0)</f>
        <v>3531</v>
      </c>
      <c r="C14" s="40" t="s">
        <v>26</v>
      </c>
      <c r="D14" s="40" t="s">
        <v>26</v>
      </c>
      <c r="E14" s="40" t="s">
        <v>26</v>
      </c>
      <c r="F14" s="40" t="s">
        <v>26</v>
      </c>
      <c r="G14" s="40" t="s">
        <v>26</v>
      </c>
      <c r="H14" s="40" t="s">
        <v>26</v>
      </c>
      <c r="I14" s="40" t="s">
        <v>26</v>
      </c>
      <c r="J14" s="40" t="s">
        <v>26</v>
      </c>
      <c r="K14" s="41" t="s">
        <v>26</v>
      </c>
      <c r="L14" s="41" t="s">
        <v>26</v>
      </c>
      <c r="M14" s="41" t="s">
        <v>26</v>
      </c>
      <c r="N14" s="41" t="s">
        <v>26</v>
      </c>
      <c r="O14" s="40" t="s">
        <v>26</v>
      </c>
      <c r="P14" s="40" t="s">
        <v>26</v>
      </c>
      <c r="Q14" s="40" t="s">
        <v>26</v>
      </c>
      <c r="R14" s="40" t="s">
        <v>26</v>
      </c>
      <c r="S14" s="40" t="s">
        <v>26</v>
      </c>
      <c r="T14" s="40" t="s">
        <v>26</v>
      </c>
      <c r="U14" s="40" t="s">
        <v>26</v>
      </c>
      <c r="V14" s="40" t="s">
        <v>26</v>
      </c>
      <c r="W14" s="24" t="s">
        <v>26</v>
      </c>
      <c r="X14" s="24" t="s">
        <v>26</v>
      </c>
      <c r="Y14" s="24" t="s">
        <v>26</v>
      </c>
      <c r="Z14" s="24" t="s">
        <v>26</v>
      </c>
      <c r="AA14" s="24"/>
    </row>
    <row r="15">
      <c r="A15" s="8">
        <v>40575.0</v>
      </c>
      <c r="B15" s="9">
        <f>IFERROR(__xludf.DUMMYFUNCTION("""COMPUTED_VALUE"""),1566.0)</f>
        <v>1566</v>
      </c>
      <c r="C15" s="40" t="s">
        <v>26</v>
      </c>
      <c r="D15" s="40" t="s">
        <v>26</v>
      </c>
      <c r="E15" s="40" t="s">
        <v>26</v>
      </c>
      <c r="F15" s="40" t="s">
        <v>26</v>
      </c>
      <c r="G15" s="40" t="s">
        <v>26</v>
      </c>
      <c r="H15" s="40" t="s">
        <v>26</v>
      </c>
      <c r="I15" s="40" t="s">
        <v>26</v>
      </c>
      <c r="J15" s="40" t="s">
        <v>26</v>
      </c>
      <c r="K15" s="41" t="s">
        <v>26</v>
      </c>
      <c r="L15" s="41" t="s">
        <v>26</v>
      </c>
      <c r="M15" s="41" t="s">
        <v>26</v>
      </c>
      <c r="N15" s="41" t="s">
        <v>26</v>
      </c>
      <c r="O15" s="40" t="s">
        <v>26</v>
      </c>
      <c r="P15" s="40" t="s">
        <v>26</v>
      </c>
      <c r="Q15" s="40" t="s">
        <v>26</v>
      </c>
      <c r="R15" s="40" t="s">
        <v>26</v>
      </c>
      <c r="S15" s="40" t="s">
        <v>26</v>
      </c>
      <c r="T15" s="40" t="s">
        <v>26</v>
      </c>
      <c r="U15" s="40" t="s">
        <v>26</v>
      </c>
      <c r="V15" s="40" t="s">
        <v>26</v>
      </c>
      <c r="W15" s="24" t="s">
        <v>26</v>
      </c>
      <c r="X15" s="24" t="s">
        <v>26</v>
      </c>
      <c r="Y15" s="24" t="s">
        <v>26</v>
      </c>
      <c r="Z15" s="24" t="s">
        <v>26</v>
      </c>
      <c r="AA15" s="24"/>
    </row>
    <row r="16">
      <c r="A16" s="8">
        <v>40603.0</v>
      </c>
      <c r="B16" s="9">
        <f>IFERROR(__xludf.DUMMYFUNCTION("""COMPUTED_VALUE"""),5969.0)</f>
        <v>5969</v>
      </c>
      <c r="C16" s="40" t="s">
        <v>26</v>
      </c>
      <c r="D16" s="40" t="s">
        <v>26</v>
      </c>
      <c r="E16" s="40" t="s">
        <v>26</v>
      </c>
      <c r="F16" s="40" t="s">
        <v>26</v>
      </c>
      <c r="G16" s="40" t="s">
        <v>26</v>
      </c>
      <c r="H16" s="40" t="s">
        <v>26</v>
      </c>
      <c r="I16" s="40" t="s">
        <v>26</v>
      </c>
      <c r="J16" s="40" t="s">
        <v>26</v>
      </c>
      <c r="K16" s="41" t="s">
        <v>26</v>
      </c>
      <c r="L16" s="41" t="s">
        <v>26</v>
      </c>
      <c r="M16" s="41" t="s">
        <v>26</v>
      </c>
      <c r="N16" s="41" t="s">
        <v>26</v>
      </c>
      <c r="O16" s="40" t="s">
        <v>26</v>
      </c>
      <c r="P16" s="40" t="s">
        <v>26</v>
      </c>
      <c r="Q16" s="40" t="s">
        <v>26</v>
      </c>
      <c r="R16" s="40" t="s">
        <v>26</v>
      </c>
      <c r="S16" s="40" t="s">
        <v>26</v>
      </c>
      <c r="T16" s="40" t="s">
        <v>26</v>
      </c>
      <c r="U16" s="40" t="s">
        <v>26</v>
      </c>
      <c r="V16" s="40" t="s">
        <v>26</v>
      </c>
      <c r="W16" s="24" t="s">
        <v>26</v>
      </c>
      <c r="X16" s="24" t="s">
        <v>26</v>
      </c>
      <c r="Y16" s="24" t="s">
        <v>26</v>
      </c>
      <c r="Z16" s="24" t="s">
        <v>26</v>
      </c>
      <c r="AA16" s="24"/>
    </row>
    <row r="17">
      <c r="A17" s="8">
        <v>40634.0</v>
      </c>
      <c r="B17" s="9">
        <f>IFERROR(__xludf.DUMMYFUNCTION("""COMPUTED_VALUE"""),1419.0)</f>
        <v>1419</v>
      </c>
      <c r="C17" s="40" t="s">
        <v>26</v>
      </c>
      <c r="D17" s="40" t="s">
        <v>26</v>
      </c>
      <c r="E17" s="40" t="s">
        <v>26</v>
      </c>
      <c r="F17" s="40" t="s">
        <v>26</v>
      </c>
      <c r="G17" s="40" t="s">
        <v>26</v>
      </c>
      <c r="H17" s="40" t="s">
        <v>26</v>
      </c>
      <c r="I17" s="40" t="s">
        <v>26</v>
      </c>
      <c r="J17" s="40" t="s">
        <v>26</v>
      </c>
      <c r="K17" s="41" t="s">
        <v>26</v>
      </c>
      <c r="L17" s="41" t="s">
        <v>26</v>
      </c>
      <c r="M17" s="41" t="s">
        <v>26</v>
      </c>
      <c r="N17" s="41" t="s">
        <v>26</v>
      </c>
      <c r="O17" s="40" t="s">
        <v>26</v>
      </c>
      <c r="P17" s="40" t="s">
        <v>26</v>
      </c>
      <c r="Q17" s="40" t="s">
        <v>26</v>
      </c>
      <c r="R17" s="40" t="s">
        <v>26</v>
      </c>
      <c r="S17" s="40" t="s">
        <v>26</v>
      </c>
      <c r="T17" s="40" t="s">
        <v>26</v>
      </c>
      <c r="U17" s="40" t="s">
        <v>26</v>
      </c>
      <c r="V17" s="40" t="s">
        <v>26</v>
      </c>
      <c r="W17" s="24" t="s">
        <v>26</v>
      </c>
      <c r="X17" s="24" t="s">
        <v>26</v>
      </c>
      <c r="Y17" s="24" t="s">
        <v>26</v>
      </c>
      <c r="Z17" s="24" t="s">
        <v>26</v>
      </c>
      <c r="AA17" s="24"/>
    </row>
    <row r="18">
      <c r="A18" s="8">
        <v>40664.0</v>
      </c>
      <c r="B18" s="9">
        <f>IFERROR(__xludf.DUMMYFUNCTION("""COMPUTED_VALUE"""),1670.0)</f>
        <v>1670</v>
      </c>
      <c r="C18" s="40" t="s">
        <v>26</v>
      </c>
      <c r="D18" s="40" t="s">
        <v>26</v>
      </c>
      <c r="E18" s="40" t="s">
        <v>26</v>
      </c>
      <c r="F18" s="40" t="s">
        <v>26</v>
      </c>
      <c r="G18" s="40" t="s">
        <v>26</v>
      </c>
      <c r="H18" s="40" t="s">
        <v>26</v>
      </c>
      <c r="I18" s="40" t="s">
        <v>26</v>
      </c>
      <c r="J18" s="40" t="s">
        <v>26</v>
      </c>
      <c r="K18" s="41" t="s">
        <v>26</v>
      </c>
      <c r="L18" s="41" t="s">
        <v>26</v>
      </c>
      <c r="M18" s="41" t="s">
        <v>26</v>
      </c>
      <c r="N18" s="41" t="s">
        <v>26</v>
      </c>
      <c r="O18" s="40" t="s">
        <v>26</v>
      </c>
      <c r="P18" s="40" t="s">
        <v>26</v>
      </c>
      <c r="Q18" s="40" t="s">
        <v>26</v>
      </c>
      <c r="R18" s="40" t="s">
        <v>26</v>
      </c>
      <c r="S18" s="40" t="s">
        <v>26</v>
      </c>
      <c r="T18" s="40" t="s">
        <v>26</v>
      </c>
      <c r="U18" s="40" t="s">
        <v>26</v>
      </c>
      <c r="V18" s="40" t="s">
        <v>26</v>
      </c>
      <c r="W18" s="24" t="s">
        <v>26</v>
      </c>
      <c r="X18" s="24" t="s">
        <v>26</v>
      </c>
      <c r="Y18" s="24" t="s">
        <v>26</v>
      </c>
      <c r="Z18" s="24" t="s">
        <v>26</v>
      </c>
      <c r="AA18" s="24"/>
    </row>
    <row r="19">
      <c r="A19" s="8">
        <v>40695.0</v>
      </c>
      <c r="B19" s="9">
        <f>IFERROR(__xludf.DUMMYFUNCTION("""COMPUTED_VALUE"""),1881.0)</f>
        <v>1881</v>
      </c>
      <c r="C19" s="40" t="s">
        <v>26</v>
      </c>
      <c r="D19" s="40" t="s">
        <v>26</v>
      </c>
      <c r="E19" s="40" t="s">
        <v>26</v>
      </c>
      <c r="F19" s="40" t="s">
        <v>26</v>
      </c>
      <c r="G19" s="40" t="s">
        <v>26</v>
      </c>
      <c r="H19" s="40" t="s">
        <v>26</v>
      </c>
      <c r="I19" s="40" t="s">
        <v>26</v>
      </c>
      <c r="J19" s="40" t="s">
        <v>26</v>
      </c>
      <c r="K19" s="41" t="s">
        <v>26</v>
      </c>
      <c r="L19" s="41" t="s">
        <v>26</v>
      </c>
      <c r="M19" s="41" t="s">
        <v>26</v>
      </c>
      <c r="N19" s="41" t="s">
        <v>26</v>
      </c>
      <c r="O19" s="40" t="s">
        <v>26</v>
      </c>
      <c r="P19" s="40" t="s">
        <v>26</v>
      </c>
      <c r="Q19" s="40" t="s">
        <v>26</v>
      </c>
      <c r="R19" s="40" t="s">
        <v>26</v>
      </c>
      <c r="S19" s="40" t="s">
        <v>26</v>
      </c>
      <c r="T19" s="40" t="s">
        <v>26</v>
      </c>
      <c r="U19" s="40" t="s">
        <v>26</v>
      </c>
      <c r="V19" s="40" t="s">
        <v>26</v>
      </c>
      <c r="W19" s="24" t="s">
        <v>26</v>
      </c>
      <c r="X19" s="24" t="s">
        <v>26</v>
      </c>
      <c r="Y19" s="24" t="s">
        <v>26</v>
      </c>
      <c r="Z19" s="24" t="s">
        <v>26</v>
      </c>
      <c r="AA19" s="24"/>
    </row>
    <row r="20">
      <c r="A20" s="8">
        <v>40725.0</v>
      </c>
      <c r="B20" s="9">
        <f>IFERROR(__xludf.DUMMYFUNCTION("""COMPUTED_VALUE"""),4839.0)</f>
        <v>4839</v>
      </c>
      <c r="C20" s="40" t="s">
        <v>26</v>
      </c>
      <c r="D20" s="40" t="s">
        <v>26</v>
      </c>
      <c r="E20" s="40" t="s">
        <v>26</v>
      </c>
      <c r="F20" s="40" t="s">
        <v>26</v>
      </c>
      <c r="G20" s="40" t="s">
        <v>26</v>
      </c>
      <c r="H20" s="40" t="s">
        <v>26</v>
      </c>
      <c r="I20" s="40" t="s">
        <v>26</v>
      </c>
      <c r="J20" s="40" t="s">
        <v>26</v>
      </c>
      <c r="K20" s="41" t="s">
        <v>26</v>
      </c>
      <c r="L20" s="41" t="s">
        <v>26</v>
      </c>
      <c r="M20" s="41" t="s">
        <v>26</v>
      </c>
      <c r="N20" s="41" t="s">
        <v>26</v>
      </c>
      <c r="O20" s="40" t="s">
        <v>26</v>
      </c>
      <c r="P20" s="40" t="s">
        <v>26</v>
      </c>
      <c r="Q20" s="40" t="s">
        <v>26</v>
      </c>
      <c r="R20" s="40" t="s">
        <v>26</v>
      </c>
      <c r="S20" s="40" t="s">
        <v>26</v>
      </c>
      <c r="T20" s="40" t="s">
        <v>26</v>
      </c>
      <c r="U20" s="40" t="s">
        <v>26</v>
      </c>
      <c r="V20" s="40" t="s">
        <v>26</v>
      </c>
      <c r="W20" s="24" t="s">
        <v>26</v>
      </c>
      <c r="X20" s="24" t="s">
        <v>26</v>
      </c>
      <c r="Y20" s="24" t="s">
        <v>26</v>
      </c>
      <c r="Z20" s="24" t="s">
        <v>26</v>
      </c>
      <c r="AA20" s="24"/>
    </row>
    <row r="21">
      <c r="A21" s="8">
        <v>40756.0</v>
      </c>
      <c r="B21" s="9">
        <f>IFERROR(__xludf.DUMMYFUNCTION("""COMPUTED_VALUE"""),16464.0)</f>
        <v>16464</v>
      </c>
      <c r="C21" s="35">
        <v>500.0</v>
      </c>
      <c r="D21" s="35">
        <v>500.0</v>
      </c>
      <c r="E21" s="35">
        <v>20018.2674265204</v>
      </c>
      <c r="F21" s="35">
        <v>2162.58437591306</v>
      </c>
      <c r="G21" s="35">
        <v>15947.1907871909</v>
      </c>
      <c r="H21" s="35">
        <v>14477.2595238095</v>
      </c>
      <c r="I21" s="35">
        <v>16204.0719861267</v>
      </c>
      <c r="J21" s="35">
        <v>10797.4377593198</v>
      </c>
      <c r="K21" s="42">
        <v>1929.5</v>
      </c>
      <c r="L21" s="42">
        <v>16304.0499765689</v>
      </c>
      <c r="M21" s="42">
        <v>16728.3085232242</v>
      </c>
      <c r="N21" s="42">
        <v>2658.06003855228</v>
      </c>
      <c r="O21" s="35">
        <v>16214.2072766133</v>
      </c>
      <c r="P21" s="35">
        <v>3804.07560709859</v>
      </c>
      <c r="Q21" s="35">
        <v>1962.40214381769</v>
      </c>
      <c r="R21" s="35">
        <v>17061.9530272007</v>
      </c>
      <c r="S21" s="35">
        <v>3112.38914233031</v>
      </c>
      <c r="T21" s="35">
        <v>1982.94838865134</v>
      </c>
      <c r="U21" s="35">
        <v>17067.4175051605</v>
      </c>
      <c r="V21" s="35">
        <v>16730.5250018569</v>
      </c>
      <c r="W21" s="24">
        <v>16405.4825528159</v>
      </c>
      <c r="X21" s="24">
        <v>16840.0424639943</v>
      </c>
      <c r="Y21" s="24">
        <v>16180.36</v>
      </c>
      <c r="Z21" s="24">
        <v>16307.1200829804</v>
      </c>
      <c r="AA21" s="24"/>
    </row>
    <row r="22">
      <c r="A22" s="8">
        <v>40787.0</v>
      </c>
      <c r="B22" s="9">
        <f>IFERROR(__xludf.DUMMYFUNCTION("""COMPUTED_VALUE"""),15937.0)</f>
        <v>15937</v>
      </c>
      <c r="C22" s="35">
        <v>338.5</v>
      </c>
      <c r="D22" s="35">
        <v>338.5</v>
      </c>
      <c r="E22" s="35">
        <v>14815.9040601859</v>
      </c>
      <c r="F22" s="35">
        <v>15165.2379481249</v>
      </c>
      <c r="G22" s="35">
        <v>15936.9974760034</v>
      </c>
      <c r="H22" s="35">
        <v>4015.23772606764</v>
      </c>
      <c r="I22" s="35">
        <v>11800.9291217347</v>
      </c>
      <c r="J22" s="35">
        <v>17036.3995205877</v>
      </c>
      <c r="K22" s="42">
        <v>14492.5065853925</v>
      </c>
      <c r="L22" s="42">
        <v>15391.1736563888</v>
      </c>
      <c r="M22" s="42">
        <v>16131.5237954315</v>
      </c>
      <c r="N22" s="42">
        <v>14389.6495528805</v>
      </c>
      <c r="O22" s="35">
        <v>12784.8138150263</v>
      </c>
      <c r="P22" s="35">
        <v>15711.1613158659</v>
      </c>
      <c r="Q22" s="35">
        <v>33174.127473702</v>
      </c>
      <c r="R22" s="35">
        <v>18376.4854744346</v>
      </c>
      <c r="S22" s="35">
        <v>14150.5781376575</v>
      </c>
      <c r="T22" s="35">
        <v>32858.8748226705</v>
      </c>
      <c r="U22" s="35">
        <v>12104.8987120187</v>
      </c>
      <c r="V22" s="35">
        <v>14848.1962804886</v>
      </c>
      <c r="W22" s="24">
        <v>15852.5582283019</v>
      </c>
      <c r="X22" s="24">
        <v>15016.3658574202</v>
      </c>
      <c r="Y22" s="24">
        <v>14997.9426234454</v>
      </c>
      <c r="Z22" s="24">
        <v>14858.7928566918</v>
      </c>
      <c r="AA22" s="24"/>
    </row>
    <row r="23">
      <c r="A23" s="8">
        <v>40817.0</v>
      </c>
      <c r="B23" s="9">
        <f>IFERROR(__xludf.DUMMYFUNCTION("""COMPUTED_VALUE"""),5404.0)</f>
        <v>5404</v>
      </c>
      <c r="C23" s="35">
        <v>369.2</v>
      </c>
      <c r="D23" s="35">
        <v>369.2</v>
      </c>
      <c r="E23" s="35">
        <v>6773.56203285203</v>
      </c>
      <c r="F23" s="35">
        <v>6201.71832450289</v>
      </c>
      <c r="G23" s="35">
        <v>5313.57742483319</v>
      </c>
      <c r="H23" s="35">
        <v>5490.15625469964</v>
      </c>
      <c r="I23" s="35">
        <v>5460.1117891809</v>
      </c>
      <c r="J23" s="35">
        <v>7468.78141461462</v>
      </c>
      <c r="K23" s="42">
        <v>4886.00890988937</v>
      </c>
      <c r="L23" s="42">
        <v>5623.80207886767</v>
      </c>
      <c r="M23" s="42">
        <v>5843.47529410241</v>
      </c>
      <c r="N23" s="42">
        <v>4496.21610555053</v>
      </c>
      <c r="O23" s="35">
        <v>6406.14320386032</v>
      </c>
      <c r="P23" s="35">
        <v>5559.07370660048</v>
      </c>
      <c r="Q23" s="35">
        <v>2598.08005662034</v>
      </c>
      <c r="R23" s="35">
        <v>18077.5030272007</v>
      </c>
      <c r="S23" s="35">
        <v>2274.18886731747</v>
      </c>
      <c r="T23" s="35">
        <v>2635.50245607318</v>
      </c>
      <c r="U23" s="35">
        <v>4099.7</v>
      </c>
      <c r="V23" s="35">
        <v>4724.65614863207</v>
      </c>
      <c r="W23" s="24">
        <v>5304.53955944443</v>
      </c>
      <c r="X23" s="24">
        <v>2558.48473160982</v>
      </c>
      <c r="Y23" s="24">
        <v>5397.15</v>
      </c>
      <c r="Z23" s="24">
        <v>5451.32752259899</v>
      </c>
      <c r="AA23" s="24"/>
    </row>
    <row r="24">
      <c r="A24" s="8">
        <v>40848.0</v>
      </c>
      <c r="B24" s="9">
        <f>IFERROR(__xludf.DUMMYFUNCTION("""COMPUTED_VALUE"""),2783.0)</f>
        <v>2783</v>
      </c>
      <c r="C24" s="35">
        <v>296.0</v>
      </c>
      <c r="D24" s="35">
        <v>296.0</v>
      </c>
      <c r="E24" s="35">
        <v>2751.0</v>
      </c>
      <c r="F24" s="35">
        <v>5969.37820328774</v>
      </c>
      <c r="G24" s="35">
        <v>3412.56328185923</v>
      </c>
      <c r="H24" s="35">
        <v>5518.59201832744</v>
      </c>
      <c r="I24" s="35">
        <v>3632.97846658385</v>
      </c>
      <c r="J24" s="35">
        <v>5662.17229427201</v>
      </c>
      <c r="K24" s="42">
        <v>2751.0</v>
      </c>
      <c r="L24" s="42">
        <v>2415.54167770526</v>
      </c>
      <c r="M24" s="42">
        <v>2380.41</v>
      </c>
      <c r="N24" s="42">
        <v>2490.0</v>
      </c>
      <c r="O24" s="35">
        <v>3259.91450914739</v>
      </c>
      <c r="P24" s="35">
        <v>3225.34645024851</v>
      </c>
      <c r="Q24" s="35">
        <v>2825.33480394647</v>
      </c>
      <c r="R24" s="35">
        <v>17121.1105799667</v>
      </c>
      <c r="S24" s="35">
        <v>4766.90016329699</v>
      </c>
      <c r="T24" s="35">
        <v>2845.11586585781</v>
      </c>
      <c r="U24" s="35">
        <v>4179.48</v>
      </c>
      <c r="V24" s="35">
        <v>4121.26868270475</v>
      </c>
      <c r="W24" s="24">
        <v>3692.23516245345</v>
      </c>
      <c r="X24" s="24">
        <v>2568.9057054862</v>
      </c>
      <c r="Y24" s="24">
        <v>3317.31</v>
      </c>
      <c r="Z24" s="24">
        <v>3341.02201659609</v>
      </c>
      <c r="AA24" s="24"/>
    </row>
    <row r="25">
      <c r="A25" s="8">
        <v>40878.0</v>
      </c>
      <c r="B25" s="9">
        <f>IFERROR(__xludf.DUMMYFUNCTION("""COMPUTED_VALUE"""),2358.0)</f>
        <v>2358</v>
      </c>
      <c r="C25" s="35">
        <v>296.0</v>
      </c>
      <c r="D25" s="35">
        <v>296.0</v>
      </c>
      <c r="E25" s="35">
        <v>2709.0</v>
      </c>
      <c r="F25" s="35">
        <v>5175.64894527664</v>
      </c>
      <c r="G25" s="35">
        <v>2073.25328185923</v>
      </c>
      <c r="H25" s="35">
        <v>5016.59201832744</v>
      </c>
      <c r="I25" s="35">
        <v>1884.67594900131</v>
      </c>
      <c r="J25" s="35">
        <v>2820.61593087125</v>
      </c>
      <c r="K25" s="42">
        <v>2709.0</v>
      </c>
      <c r="L25" s="42">
        <v>2284.1543270447</v>
      </c>
      <c r="M25" s="42">
        <v>1875.65494473471</v>
      </c>
      <c r="N25" s="42">
        <v>2245.0</v>
      </c>
      <c r="O25" s="35">
        <v>2161.94883171763</v>
      </c>
      <c r="P25" s="35">
        <v>1761.22808665569</v>
      </c>
      <c r="Q25" s="35">
        <v>2353.01899869277</v>
      </c>
      <c r="R25" s="35">
        <v>16589.2705799667</v>
      </c>
      <c r="S25" s="35">
        <v>3056.72747235176</v>
      </c>
      <c r="T25" s="35">
        <v>2357.13001560471</v>
      </c>
      <c r="U25" s="35">
        <v>2780.9</v>
      </c>
      <c r="V25" s="35">
        <v>4150.31033478288</v>
      </c>
      <c r="W25" s="24">
        <v>2715.74526321085</v>
      </c>
      <c r="X25" s="24">
        <v>2568.9057054862</v>
      </c>
      <c r="Y25" s="24">
        <v>1954.60311126821</v>
      </c>
      <c r="Z25" s="24">
        <v>2014.90710722698</v>
      </c>
      <c r="AA25" s="24"/>
    </row>
    <row r="26">
      <c r="A26" s="8">
        <v>40909.0</v>
      </c>
      <c r="B26" s="9">
        <f>IFERROR(__xludf.DUMMYFUNCTION("""COMPUTED_VALUE"""),8261.0)</f>
        <v>8261</v>
      </c>
      <c r="C26" s="35">
        <v>296.0</v>
      </c>
      <c r="D26" s="35">
        <v>296.0</v>
      </c>
      <c r="E26" s="35">
        <v>2748.5</v>
      </c>
      <c r="F26" s="35">
        <v>3134.57942136481</v>
      </c>
      <c r="G26" s="35">
        <v>2073.92792562698</v>
      </c>
      <c r="H26" s="35">
        <v>3172.37601064174</v>
      </c>
      <c r="I26" s="35">
        <v>2865.63704745968</v>
      </c>
      <c r="J26" s="35">
        <v>8231.47883729007</v>
      </c>
      <c r="K26" s="42">
        <v>2748.5</v>
      </c>
      <c r="L26" s="42">
        <v>6589.41896630755</v>
      </c>
      <c r="M26" s="42">
        <v>3177.22180908096</v>
      </c>
      <c r="N26" s="42">
        <v>4518.0</v>
      </c>
      <c r="O26" s="35">
        <v>2226.72609850233</v>
      </c>
      <c r="P26" s="35">
        <v>5379.08894298288</v>
      </c>
      <c r="Q26" s="35">
        <v>3101.50837860803</v>
      </c>
      <c r="R26" s="35">
        <v>18099.2218124942</v>
      </c>
      <c r="S26" s="35">
        <v>3154.79773858246</v>
      </c>
      <c r="T26" s="35">
        <v>3015.07330644861</v>
      </c>
      <c r="U26" s="35">
        <v>8212.15207715378</v>
      </c>
      <c r="V26" s="35">
        <v>5095.43875675967</v>
      </c>
      <c r="W26" s="24">
        <v>2219.68615827746</v>
      </c>
      <c r="X26" s="24">
        <v>2643.24400245814</v>
      </c>
      <c r="Y26" s="24">
        <v>3459.71883484047</v>
      </c>
      <c r="Z26" s="24">
        <v>8385.15212089335</v>
      </c>
      <c r="AA26" s="24"/>
    </row>
    <row r="27">
      <c r="A27" s="8">
        <v>40940.0</v>
      </c>
      <c r="B27" s="9">
        <f>IFERROR(__xludf.DUMMYFUNCTION("""COMPUTED_VALUE"""),2075.0)</f>
        <v>2075</v>
      </c>
      <c r="C27" s="35">
        <v>741.230380797779</v>
      </c>
      <c r="D27" s="35">
        <v>741.230380797779</v>
      </c>
      <c r="E27" s="35">
        <v>2790.5</v>
      </c>
      <c r="F27" s="35">
        <v>2958.73612674901</v>
      </c>
      <c r="G27" s="35">
        <v>2098.78089019552</v>
      </c>
      <c r="H27" s="35">
        <v>2819.37601064174</v>
      </c>
      <c r="I27" s="35">
        <v>2544.28909830431</v>
      </c>
      <c r="J27" s="35">
        <v>4439.6574763262</v>
      </c>
      <c r="K27" s="42">
        <v>2790.5</v>
      </c>
      <c r="L27" s="42">
        <v>2384.58094717076</v>
      </c>
      <c r="M27" s="42">
        <v>2477.90786954256</v>
      </c>
      <c r="N27" s="42">
        <v>3566.70769230769</v>
      </c>
      <c r="O27" s="35">
        <v>2295.46848464839</v>
      </c>
      <c r="P27" s="35">
        <v>1966.27477638721</v>
      </c>
      <c r="Q27" s="35">
        <v>2537.31343521421</v>
      </c>
      <c r="R27" s="35">
        <v>18051.1905799667</v>
      </c>
      <c r="S27" s="35">
        <v>2791.63697276516</v>
      </c>
      <c r="T27" s="35">
        <v>2586.74254059471</v>
      </c>
      <c r="U27" s="35">
        <v>2391.16254340337</v>
      </c>
      <c r="V27" s="35">
        <v>2128.4654880586</v>
      </c>
      <c r="W27" s="24">
        <v>1673.52258567734</v>
      </c>
      <c r="X27" s="24">
        <v>2643.24400245814</v>
      </c>
      <c r="Y27" s="24">
        <v>2261.65625</v>
      </c>
      <c r="Z27" s="24">
        <v>2466.14174446849</v>
      </c>
      <c r="AA27" s="24"/>
    </row>
    <row r="28">
      <c r="A28" s="8">
        <v>40969.0</v>
      </c>
      <c r="B28" s="9">
        <f>IFERROR(__xludf.DUMMYFUNCTION("""COMPUTED_VALUE"""),2568.0)</f>
        <v>2568</v>
      </c>
      <c r="C28" s="35">
        <v>2156.28255442587</v>
      </c>
      <c r="D28" s="35">
        <v>2156.28255442587</v>
      </c>
      <c r="E28" s="35">
        <v>2709.0</v>
      </c>
      <c r="F28" s="35">
        <v>2852.6311525201</v>
      </c>
      <c r="G28" s="35">
        <v>2299.49818752476</v>
      </c>
      <c r="H28" s="35">
        <v>3010.37601064174</v>
      </c>
      <c r="I28" s="35">
        <v>2419.2832290049</v>
      </c>
      <c r="J28" s="35">
        <v>4198.59713194104</v>
      </c>
      <c r="K28" s="42">
        <v>2709.0</v>
      </c>
      <c r="L28" s="42">
        <v>2449.77735513355</v>
      </c>
      <c r="M28" s="42">
        <v>2598.40786954256</v>
      </c>
      <c r="N28" s="42">
        <v>2531.78461538462</v>
      </c>
      <c r="O28" s="35">
        <v>2134.92014874396</v>
      </c>
      <c r="P28" s="35">
        <v>2337.60326739869</v>
      </c>
      <c r="Q28" s="35">
        <v>2419.03708801468</v>
      </c>
      <c r="R28" s="35">
        <v>16872.4436312252</v>
      </c>
      <c r="S28" s="35">
        <v>2974.14727670842</v>
      </c>
      <c r="T28" s="35">
        <v>2451.95006487557</v>
      </c>
      <c r="U28" s="35">
        <v>2711.67</v>
      </c>
      <c r="V28" s="35">
        <v>2749.77564767057</v>
      </c>
      <c r="W28" s="24">
        <v>2553.75335483726</v>
      </c>
      <c r="X28" s="24">
        <v>2609.73538426992</v>
      </c>
      <c r="Y28" s="24">
        <v>2459.2299773435</v>
      </c>
      <c r="Z28" s="24">
        <v>1898.75284734011</v>
      </c>
      <c r="AA28" s="24"/>
    </row>
    <row r="29">
      <c r="A29" s="8">
        <v>41000.0</v>
      </c>
      <c r="B29" s="9">
        <f>IFERROR(__xludf.DUMMYFUNCTION("""COMPUTED_VALUE"""),3159.0)</f>
        <v>3159</v>
      </c>
      <c r="C29" s="35">
        <v>2862.97512210135</v>
      </c>
      <c r="D29" s="35">
        <v>2862.97512210135</v>
      </c>
      <c r="E29" s="35">
        <v>2403.5</v>
      </c>
      <c r="F29" s="35">
        <v>3190.42610236465</v>
      </c>
      <c r="G29" s="35">
        <v>2527.03480690025</v>
      </c>
      <c r="H29" s="35">
        <v>3069.07812734982</v>
      </c>
      <c r="I29" s="35">
        <v>2256.35058521901</v>
      </c>
      <c r="J29" s="35">
        <v>2424.71174172488</v>
      </c>
      <c r="K29" s="42">
        <v>2403.5</v>
      </c>
      <c r="L29" s="42">
        <v>2249.86244982966</v>
      </c>
      <c r="M29" s="42">
        <v>2909.90786954256</v>
      </c>
      <c r="N29" s="42">
        <v>2976.42307692308</v>
      </c>
      <c r="O29" s="35">
        <v>2616.86898046159</v>
      </c>
      <c r="P29" s="35">
        <v>2762.84278307549</v>
      </c>
      <c r="Q29" s="35">
        <v>3015.56075058964</v>
      </c>
      <c r="R29" s="35">
        <v>3061.18828080197</v>
      </c>
      <c r="S29" s="35">
        <v>3429.88406198778</v>
      </c>
      <c r="T29" s="35">
        <v>2995.74903050908</v>
      </c>
      <c r="U29" s="35">
        <v>3570.57</v>
      </c>
      <c r="V29" s="35">
        <v>3306.0365738488</v>
      </c>
      <c r="W29" s="24">
        <v>3080.96193981204</v>
      </c>
      <c r="X29" s="24">
        <v>1993.96014282976</v>
      </c>
      <c r="Y29" s="24">
        <v>2583.32635707723</v>
      </c>
      <c r="Z29" s="24">
        <v>3146.63644985936</v>
      </c>
      <c r="AA29" s="24"/>
    </row>
    <row r="30">
      <c r="A30" s="8">
        <v>41030.0</v>
      </c>
      <c r="B30" s="9">
        <f>IFERROR(__xludf.DUMMYFUNCTION("""COMPUTED_VALUE"""),3452.0)</f>
        <v>3452</v>
      </c>
      <c r="C30" s="35">
        <v>3007.03118805232</v>
      </c>
      <c r="D30" s="35">
        <v>3007.03118805232</v>
      </c>
      <c r="E30" s="35">
        <v>2751.0</v>
      </c>
      <c r="F30" s="35">
        <v>2787.68887841827</v>
      </c>
      <c r="G30" s="35">
        <v>3122.98839302893</v>
      </c>
      <c r="H30" s="35">
        <v>2988.45801030918</v>
      </c>
      <c r="I30" s="35">
        <v>2611.76044811847</v>
      </c>
      <c r="J30" s="35">
        <v>2165.8746649571</v>
      </c>
      <c r="K30" s="42">
        <v>2751.0</v>
      </c>
      <c r="L30" s="42">
        <v>2802.84157664039</v>
      </c>
      <c r="M30" s="42">
        <v>2842.27999046577</v>
      </c>
      <c r="N30" s="42">
        <v>3950.05892155051</v>
      </c>
      <c r="O30" s="35">
        <v>2447.63004645996</v>
      </c>
      <c r="P30" s="35">
        <v>2612.75447456999</v>
      </c>
      <c r="Q30" s="35">
        <v>3133.57244482811</v>
      </c>
      <c r="R30" s="35">
        <v>3178.95513708407</v>
      </c>
      <c r="S30" s="35">
        <v>2510.43073032203</v>
      </c>
      <c r="T30" s="35">
        <v>3216.53417260457</v>
      </c>
      <c r="U30" s="35">
        <v>3473.48</v>
      </c>
      <c r="V30" s="35">
        <v>3390.02788146274</v>
      </c>
      <c r="W30" s="24">
        <v>2898.44172129065</v>
      </c>
      <c r="X30" s="24">
        <v>3218.65274948263</v>
      </c>
      <c r="Y30" s="24">
        <v>3623.06040753778</v>
      </c>
      <c r="Z30" s="24">
        <v>2180.21535282891</v>
      </c>
      <c r="AA30" s="24"/>
    </row>
    <row r="31">
      <c r="A31" s="8">
        <v>41061.0</v>
      </c>
      <c r="B31" s="9">
        <f>IFERROR(__xludf.DUMMYFUNCTION("""COMPUTED_VALUE"""),1819.0)</f>
        <v>1819</v>
      </c>
      <c r="C31" s="35">
        <v>2529.97330269944</v>
      </c>
      <c r="D31" s="35">
        <v>2529.97330269944</v>
      </c>
      <c r="E31" s="35">
        <v>2664.0</v>
      </c>
      <c r="F31" s="35">
        <v>3089.62275193221</v>
      </c>
      <c r="G31" s="35">
        <v>2051.41687724309</v>
      </c>
      <c r="H31" s="35">
        <v>3007.45801030918</v>
      </c>
      <c r="I31" s="35">
        <v>2255.06126827401</v>
      </c>
      <c r="J31" s="35">
        <v>1506.58232551438</v>
      </c>
      <c r="K31" s="42">
        <v>2664.0</v>
      </c>
      <c r="L31" s="42">
        <v>3132.41854663831</v>
      </c>
      <c r="M31" s="42">
        <v>2804.27999046577</v>
      </c>
      <c r="N31" s="42">
        <v>3866.23067445394</v>
      </c>
      <c r="O31" s="35">
        <v>2781.77009604128</v>
      </c>
      <c r="P31" s="35">
        <v>2255.40615656721</v>
      </c>
      <c r="Q31" s="35">
        <v>2986.01839853221</v>
      </c>
      <c r="R31" s="35">
        <v>2562.39533065209</v>
      </c>
      <c r="S31" s="35">
        <v>3070.66656264459</v>
      </c>
      <c r="T31" s="35">
        <v>3038.26799791721</v>
      </c>
      <c r="U31" s="35">
        <v>3340.8</v>
      </c>
      <c r="V31" s="35">
        <v>1348.38072460529</v>
      </c>
      <c r="W31" s="24">
        <v>2921.12110631195</v>
      </c>
      <c r="X31" s="24">
        <v>2600.82319217301</v>
      </c>
      <c r="Y31" s="24">
        <v>2196.72163150364</v>
      </c>
      <c r="Z31" s="24">
        <v>2126.53786240611</v>
      </c>
      <c r="AA31" s="24"/>
    </row>
    <row r="32">
      <c r="A32" s="8">
        <v>41091.0</v>
      </c>
      <c r="B32" s="9">
        <f>IFERROR(__xludf.DUMMYFUNCTION("""COMPUTED_VALUE"""),2628.0)</f>
        <v>2628</v>
      </c>
      <c r="C32" s="35">
        <v>2366.25533508049</v>
      </c>
      <c r="D32" s="35">
        <v>2366.25533508049</v>
      </c>
      <c r="E32" s="35">
        <v>2490.0</v>
      </c>
      <c r="F32" s="35">
        <v>2750.19433843542</v>
      </c>
      <c r="G32" s="35">
        <v>2039.42742483319</v>
      </c>
      <c r="H32" s="35">
        <v>2660.97200687279</v>
      </c>
      <c r="I32" s="35">
        <v>2781.48942571126</v>
      </c>
      <c r="J32" s="35">
        <v>2873.02609217268</v>
      </c>
      <c r="K32" s="42">
        <v>2490.0</v>
      </c>
      <c r="L32" s="42">
        <v>2131.89994342665</v>
      </c>
      <c r="M32" s="42">
        <v>2733.40786954256</v>
      </c>
      <c r="N32" s="42">
        <v>2831.92153381348</v>
      </c>
      <c r="O32" s="35">
        <v>2636.69024478524</v>
      </c>
      <c r="P32" s="35">
        <v>3319.04769308391</v>
      </c>
      <c r="Q32" s="35">
        <v>2623.31118170375</v>
      </c>
      <c r="R32" s="35">
        <v>2365.29193648154</v>
      </c>
      <c r="S32" s="35">
        <v>1926.02470437087</v>
      </c>
      <c r="T32" s="35">
        <v>2684.74793630437</v>
      </c>
      <c r="U32" s="35">
        <v>2202.52</v>
      </c>
      <c r="V32" s="35">
        <v>2726.72613213461</v>
      </c>
      <c r="W32" s="24">
        <v>2632.71854527808</v>
      </c>
      <c r="X32" s="24">
        <v>2452.95499597028</v>
      </c>
      <c r="Y32" s="24">
        <v>2437.05102246471</v>
      </c>
      <c r="Z32" s="24">
        <v>2580.56706179407</v>
      </c>
      <c r="AA32" s="24"/>
    </row>
    <row r="33">
      <c r="A33" s="8">
        <v>41122.0</v>
      </c>
      <c r="B33" s="9">
        <f>IFERROR(__xludf.DUMMYFUNCTION("""COMPUTED_VALUE"""),2355.0)</f>
        <v>2355</v>
      </c>
      <c r="C33" s="35">
        <v>2127.91797557297</v>
      </c>
      <c r="D33" s="35">
        <v>2127.91797557297</v>
      </c>
      <c r="E33" s="35">
        <v>2525.5</v>
      </c>
      <c r="F33" s="35">
        <v>2231.72270170005</v>
      </c>
      <c r="G33" s="35">
        <v>2344.36205255587</v>
      </c>
      <c r="H33" s="35">
        <v>1737.7433909595</v>
      </c>
      <c r="I33" s="35">
        <v>2269.12235190331</v>
      </c>
      <c r="J33" s="35">
        <v>2094.71929778909</v>
      </c>
      <c r="K33" s="42">
        <v>2525.5</v>
      </c>
      <c r="L33" s="42">
        <v>2323.57172278213</v>
      </c>
      <c r="M33" s="42">
        <v>2568.8197891541</v>
      </c>
      <c r="N33" s="42">
        <v>1862.74405671785</v>
      </c>
      <c r="O33" s="35">
        <v>2519.4107653891</v>
      </c>
      <c r="P33" s="35">
        <v>3498.46229167666</v>
      </c>
      <c r="Q33" s="35">
        <v>2485.12754916902</v>
      </c>
      <c r="R33" s="35">
        <v>2324.18</v>
      </c>
      <c r="S33" s="35">
        <v>2401.06984147297</v>
      </c>
      <c r="T33" s="35">
        <v>2499.89820504658</v>
      </c>
      <c r="U33" s="35">
        <v>2825.43788051122</v>
      </c>
      <c r="V33" s="35">
        <v>2611.15285446001</v>
      </c>
      <c r="W33" s="24">
        <v>2084.2960811109</v>
      </c>
      <c r="X33" s="24">
        <v>3048.56596933727</v>
      </c>
      <c r="Y33" s="24">
        <v>1999.55879907832</v>
      </c>
      <c r="Z33" s="24">
        <v>1934.50565590528</v>
      </c>
      <c r="AA33" s="24"/>
    </row>
    <row r="34">
      <c r="A34" s="8">
        <v>41153.0</v>
      </c>
      <c r="B34" s="9">
        <f>IFERROR(__xludf.DUMMYFUNCTION("""COMPUTED_VALUE"""),4626.0)</f>
        <v>4626</v>
      </c>
      <c r="C34" s="35">
        <v>1960.19943685767</v>
      </c>
      <c r="D34" s="35">
        <v>1960.19943685767</v>
      </c>
      <c r="E34" s="35">
        <v>2459.5</v>
      </c>
      <c r="F34" s="35">
        <v>2302.58402382858</v>
      </c>
      <c r="G34" s="35">
        <v>2028.43352747738</v>
      </c>
      <c r="H34" s="35">
        <v>1585.33315813379</v>
      </c>
      <c r="I34" s="35">
        <v>2412.27815711051</v>
      </c>
      <c r="J34" s="35">
        <v>1895.79834207664</v>
      </c>
      <c r="K34" s="42">
        <v>2459.5</v>
      </c>
      <c r="L34" s="42">
        <v>3039.68415182635</v>
      </c>
      <c r="M34" s="42">
        <v>2450.38120378392</v>
      </c>
      <c r="N34" s="42">
        <v>1362.7583433718</v>
      </c>
      <c r="O34" s="35">
        <v>3987.49088309968</v>
      </c>
      <c r="P34" s="35">
        <v>4730.87742369993</v>
      </c>
      <c r="Q34" s="35">
        <v>4980.52379240834</v>
      </c>
      <c r="R34" s="35">
        <v>4283.21084301445</v>
      </c>
      <c r="S34" s="35">
        <v>4688.66656163342</v>
      </c>
      <c r="T34" s="35">
        <v>5240.24724301504</v>
      </c>
      <c r="U34" s="35">
        <v>3312.59908342832</v>
      </c>
      <c r="V34" s="35">
        <v>2090.24351448542</v>
      </c>
      <c r="W34" s="24">
        <v>2203.50535304919</v>
      </c>
      <c r="X34" s="24">
        <v>3152.60715354594</v>
      </c>
      <c r="Y34" s="24">
        <v>2540.03779534709</v>
      </c>
      <c r="Z34" s="24">
        <v>2256.79897269327</v>
      </c>
      <c r="AA34" s="24"/>
    </row>
    <row r="35">
      <c r="A35" s="8">
        <v>41183.0</v>
      </c>
      <c r="B35" s="9">
        <f>IFERROR(__xludf.DUMMYFUNCTION("""COMPUTED_VALUE"""),2007.0)</f>
        <v>2007</v>
      </c>
      <c r="C35" s="35">
        <v>2220.34397641855</v>
      </c>
      <c r="D35" s="35">
        <v>2220.34397641855</v>
      </c>
      <c r="E35" s="35">
        <v>2053.5</v>
      </c>
      <c r="F35" s="35">
        <v>1844.1639153799</v>
      </c>
      <c r="G35" s="35">
        <v>1534.95769587483</v>
      </c>
      <c r="H35" s="35">
        <v>1697.33315813379</v>
      </c>
      <c r="I35" s="35">
        <v>1975.04366158118</v>
      </c>
      <c r="J35" s="35">
        <v>2014.69467854736</v>
      </c>
      <c r="K35" s="42">
        <v>2243.5</v>
      </c>
      <c r="L35" s="42">
        <v>2142.96237250542</v>
      </c>
      <c r="M35" s="42">
        <v>2521.88120378392</v>
      </c>
      <c r="N35" s="42">
        <v>1417.37293445766</v>
      </c>
      <c r="O35" s="35">
        <v>1142.44502626124</v>
      </c>
      <c r="P35" s="35">
        <v>1621.36125740181</v>
      </c>
      <c r="Q35" s="35">
        <v>811.881678946573</v>
      </c>
      <c r="R35" s="35">
        <v>1943.81727819001</v>
      </c>
      <c r="S35" s="35">
        <v>667.608514967049</v>
      </c>
      <c r="T35" s="35">
        <v>1278.95587845064</v>
      </c>
      <c r="U35" s="35">
        <v>1691.09</v>
      </c>
      <c r="V35" s="35">
        <v>2844.08864330701</v>
      </c>
      <c r="W35" s="24">
        <v>1353.28058771579</v>
      </c>
      <c r="X35" s="24">
        <v>2065.76708102954</v>
      </c>
      <c r="Y35" s="24">
        <v>1501.8</v>
      </c>
      <c r="Z35" s="24">
        <v>1122.30723564032</v>
      </c>
      <c r="AA35" s="24"/>
    </row>
    <row r="36">
      <c r="A36" s="8">
        <v>41214.0</v>
      </c>
      <c r="B36" s="9">
        <f>IFERROR(__xludf.DUMMYFUNCTION("""COMPUTED_VALUE"""),1065.0)</f>
        <v>1065</v>
      </c>
      <c r="C36" s="35">
        <v>2052.20848254945</v>
      </c>
      <c r="D36" s="35">
        <v>2052.20848254945</v>
      </c>
      <c r="E36" s="35">
        <v>1645.0</v>
      </c>
      <c r="F36" s="35">
        <v>1844.44731962545</v>
      </c>
      <c r="G36" s="35">
        <v>1497.18293392779</v>
      </c>
      <c r="H36" s="35">
        <v>1651.33315813379</v>
      </c>
      <c r="I36" s="35">
        <v>1566.88833720508</v>
      </c>
      <c r="J36" s="35">
        <v>1124.51125450649</v>
      </c>
      <c r="K36" s="42">
        <v>1645.0</v>
      </c>
      <c r="L36" s="42">
        <v>1616.74830281665</v>
      </c>
      <c r="M36" s="42">
        <v>1792.57373073555</v>
      </c>
      <c r="N36" s="42">
        <v>746.0</v>
      </c>
      <c r="O36" s="35">
        <v>1518.47858050947</v>
      </c>
      <c r="P36" s="35">
        <v>1326.13671813228</v>
      </c>
      <c r="Q36" s="35">
        <v>1218.46828752583</v>
      </c>
      <c r="R36" s="35">
        <v>1791.63684522572</v>
      </c>
      <c r="S36" s="35">
        <v>876.950424465459</v>
      </c>
      <c r="T36" s="35">
        <v>1256.74292714036</v>
      </c>
      <c r="U36" s="35">
        <v>950.4</v>
      </c>
      <c r="V36" s="35">
        <v>1518.81874761279</v>
      </c>
      <c r="W36" s="24">
        <v>1325.74499265519</v>
      </c>
      <c r="X36" s="24">
        <v>1642.54492506244</v>
      </c>
      <c r="Y36" s="24">
        <v>1007.14042466069</v>
      </c>
      <c r="Z36" s="24">
        <v>1107.79263594634</v>
      </c>
      <c r="AA36" s="24"/>
    </row>
    <row r="37">
      <c r="A37" s="8">
        <v>41244.0</v>
      </c>
      <c r="B37" s="9">
        <f>IFERROR(__xludf.DUMMYFUNCTION("""COMPUTED_VALUE"""),1700.0)</f>
        <v>1700</v>
      </c>
      <c r="C37" s="35">
        <v>1866.05482929306</v>
      </c>
      <c r="D37" s="35">
        <v>1866.05482929306</v>
      </c>
      <c r="E37" s="35">
        <v>2345.85</v>
      </c>
      <c r="F37" s="35">
        <v>1394.73984926973</v>
      </c>
      <c r="G37" s="35">
        <v>1298.51079856402</v>
      </c>
      <c r="H37" s="35">
        <v>1674.17469393269</v>
      </c>
      <c r="I37" s="35">
        <v>1397.20899179575</v>
      </c>
      <c r="J37" s="35">
        <v>1830.51566263164</v>
      </c>
      <c r="K37" s="42">
        <v>1598.0</v>
      </c>
      <c r="L37" s="42">
        <v>1298.99581404616</v>
      </c>
      <c r="M37" s="42">
        <v>1913.57373073555</v>
      </c>
      <c r="N37" s="42">
        <v>686.744103616076</v>
      </c>
      <c r="O37" s="35">
        <v>1414.19149020055</v>
      </c>
      <c r="P37" s="35">
        <v>1354.04656421772</v>
      </c>
      <c r="Q37" s="35">
        <v>908.354452745266</v>
      </c>
      <c r="R37" s="35">
        <v>1824.188542311</v>
      </c>
      <c r="S37" s="35">
        <v>826.936317494332</v>
      </c>
      <c r="T37" s="35">
        <v>924.495423521861</v>
      </c>
      <c r="U37" s="35">
        <v>1012.28</v>
      </c>
      <c r="V37" s="35">
        <v>2048.20954129614</v>
      </c>
      <c r="W37" s="24">
        <v>1474.51702003735</v>
      </c>
      <c r="X37" s="24">
        <v>1690.75499227195</v>
      </c>
      <c r="Y37" s="24">
        <v>811.115619114949</v>
      </c>
      <c r="Z37" s="24">
        <v>1577.87072878144</v>
      </c>
      <c r="AA37" s="24"/>
    </row>
    <row r="38">
      <c r="A38" s="8">
        <v>41275.0</v>
      </c>
      <c r="B38" s="9">
        <f>IFERROR(__xludf.DUMMYFUNCTION("""COMPUTED_VALUE"""),1747.0)</f>
        <v>1747</v>
      </c>
      <c r="C38" s="35">
        <v>1893.1992413151</v>
      </c>
      <c r="D38" s="35">
        <v>1893.1992413151</v>
      </c>
      <c r="E38" s="35">
        <v>1479.5</v>
      </c>
      <c r="F38" s="35">
        <v>1372.5134979083</v>
      </c>
      <c r="G38" s="35">
        <v>1609.53637552517</v>
      </c>
      <c r="H38" s="35">
        <v>1867.3591731155</v>
      </c>
      <c r="I38" s="35">
        <v>1613.0273978623</v>
      </c>
      <c r="J38" s="35">
        <v>1748.01396633107</v>
      </c>
      <c r="K38" s="42">
        <v>1479.5</v>
      </c>
      <c r="L38" s="42">
        <v>1332.63965777125</v>
      </c>
      <c r="M38" s="42">
        <v>1867.07373073555</v>
      </c>
      <c r="N38" s="42">
        <v>793.393422149967</v>
      </c>
      <c r="O38" s="35">
        <v>1279.00141913013</v>
      </c>
      <c r="P38" s="35">
        <v>1763.94621143236</v>
      </c>
      <c r="Q38" s="35">
        <v>1420.18330803847</v>
      </c>
      <c r="R38" s="35">
        <v>1708.12164020064</v>
      </c>
      <c r="S38" s="35">
        <v>1583.01861476804</v>
      </c>
      <c r="T38" s="35">
        <v>1467.91157305825</v>
      </c>
      <c r="U38" s="35">
        <v>1757.54470838632</v>
      </c>
      <c r="V38" s="35">
        <v>1554.46463098018</v>
      </c>
      <c r="W38" s="24">
        <v>1652.96845027272</v>
      </c>
      <c r="X38" s="24">
        <v>1528.99290589595</v>
      </c>
      <c r="Y38" s="24">
        <v>2527.91538256993</v>
      </c>
      <c r="Z38" s="24">
        <v>792.836435028284</v>
      </c>
      <c r="AA38" s="24"/>
    </row>
    <row r="39">
      <c r="A39" s="8">
        <v>41306.0</v>
      </c>
      <c r="B39" s="9">
        <f>IFERROR(__xludf.DUMMYFUNCTION("""COMPUTED_VALUE"""),1718.0)</f>
        <v>1718</v>
      </c>
      <c r="C39" s="35">
        <v>1593.39034575192</v>
      </c>
      <c r="D39" s="35">
        <v>1593.39034575192</v>
      </c>
      <c r="E39" s="35">
        <v>1445.5</v>
      </c>
      <c r="F39" s="35">
        <v>1896.93020809657</v>
      </c>
      <c r="G39" s="35">
        <v>1215.09813191432</v>
      </c>
      <c r="H39" s="35">
        <v>1425.50208439859</v>
      </c>
      <c r="I39" s="35">
        <v>1709.89124186118</v>
      </c>
      <c r="J39" s="35">
        <v>1190.68642049418</v>
      </c>
      <c r="K39" s="42">
        <v>1445.5</v>
      </c>
      <c r="L39" s="42">
        <v>2047.75881356367</v>
      </c>
      <c r="M39" s="42">
        <v>1456.41413608295</v>
      </c>
      <c r="N39" s="42">
        <v>667.0</v>
      </c>
      <c r="O39" s="35">
        <v>1253.09703100313</v>
      </c>
      <c r="P39" s="35">
        <v>1799.71521873175</v>
      </c>
      <c r="Q39" s="35">
        <v>1666.53419441944</v>
      </c>
      <c r="R39" s="35">
        <v>1640.54027207612</v>
      </c>
      <c r="S39" s="35">
        <v>2032.29462054437</v>
      </c>
      <c r="T39" s="35">
        <v>1830.17301354214</v>
      </c>
      <c r="U39" s="35">
        <v>2622.10615240535</v>
      </c>
      <c r="V39" s="35">
        <v>977.327534524409</v>
      </c>
      <c r="W39" s="24">
        <v>1118.57614758441</v>
      </c>
      <c r="X39" s="24">
        <v>1436.88014702219</v>
      </c>
      <c r="Y39" s="24">
        <v>1238.2896865966</v>
      </c>
      <c r="Z39" s="24">
        <v>824.504652542425</v>
      </c>
      <c r="AA39" s="24"/>
    </row>
    <row r="40">
      <c r="A40" s="8">
        <v>41334.0</v>
      </c>
      <c r="B40" s="9">
        <f>IFERROR(__xludf.DUMMYFUNCTION("""COMPUTED_VALUE"""),1126.0)</f>
        <v>1126</v>
      </c>
      <c r="C40" s="35">
        <v>916.584728256122</v>
      </c>
      <c r="D40" s="35">
        <v>916.584728256122</v>
      </c>
      <c r="E40" s="35">
        <v>918.5</v>
      </c>
      <c r="F40" s="35">
        <v>1709.0</v>
      </c>
      <c r="G40" s="35">
        <v>1215.8759441512</v>
      </c>
      <c r="H40" s="35">
        <v>1494.1947127676</v>
      </c>
      <c r="I40" s="35">
        <v>1286.74672857588</v>
      </c>
      <c r="J40" s="35">
        <v>1201.80254677413</v>
      </c>
      <c r="K40" s="42">
        <v>984.5</v>
      </c>
      <c r="L40" s="42">
        <v>1208.58413990358</v>
      </c>
      <c r="M40" s="42">
        <v>1525.61676266889</v>
      </c>
      <c r="N40" s="42">
        <v>683.818317943865</v>
      </c>
      <c r="O40" s="35">
        <v>986.536299768766</v>
      </c>
      <c r="P40" s="35">
        <v>1353.57904752146</v>
      </c>
      <c r="Q40" s="35">
        <v>1402.47101575242</v>
      </c>
      <c r="R40" s="35">
        <v>1176.24733507464</v>
      </c>
      <c r="S40" s="35">
        <v>1607.2834837382</v>
      </c>
      <c r="T40" s="35">
        <v>1361.71693260068</v>
      </c>
      <c r="U40" s="35">
        <v>1693.83602763103</v>
      </c>
      <c r="V40" s="35">
        <v>1346.37140846335</v>
      </c>
      <c r="W40" s="24">
        <v>969.621955127627</v>
      </c>
      <c r="X40" s="24">
        <v>1067.5928155865</v>
      </c>
      <c r="Y40" s="24">
        <v>1491.37154775317</v>
      </c>
      <c r="Z40" s="24">
        <v>1298.31293032055</v>
      </c>
      <c r="AA40" s="24"/>
    </row>
    <row r="41">
      <c r="A41" s="8">
        <v>41365.0</v>
      </c>
      <c r="B41" s="9">
        <f>IFERROR(__xludf.DUMMYFUNCTION("""COMPUTED_VALUE"""),530.0)</f>
        <v>530</v>
      </c>
      <c r="C41" s="35">
        <v>788.537209433535</v>
      </c>
      <c r="D41" s="35">
        <v>788.537209433535</v>
      </c>
      <c r="E41" s="35">
        <v>885.5</v>
      </c>
      <c r="F41" s="35">
        <v>1610.03670912267</v>
      </c>
      <c r="G41" s="35">
        <v>606.795004014007</v>
      </c>
      <c r="H41" s="35">
        <v>1654.25236863476</v>
      </c>
      <c r="I41" s="35">
        <v>750.008245892592</v>
      </c>
      <c r="J41" s="35">
        <v>1074.24848310186</v>
      </c>
      <c r="K41" s="42">
        <v>1123.5</v>
      </c>
      <c r="L41" s="42">
        <v>686.571794140609</v>
      </c>
      <c r="M41" s="42">
        <v>1474.22140918169</v>
      </c>
      <c r="N41" s="42">
        <v>1010.56131988406</v>
      </c>
      <c r="O41" s="35">
        <v>725.752302410011</v>
      </c>
      <c r="P41" s="35">
        <v>1627.31034995766</v>
      </c>
      <c r="Q41" s="35">
        <v>788.195010682833</v>
      </c>
      <c r="R41" s="35">
        <v>1162.73415738624</v>
      </c>
      <c r="S41" s="35">
        <v>2203.07249798593</v>
      </c>
      <c r="T41" s="35">
        <v>822.387809982592</v>
      </c>
      <c r="U41" s="35">
        <v>1630.23184079586</v>
      </c>
      <c r="V41" s="35">
        <v>1153.14971929619</v>
      </c>
      <c r="W41" s="24">
        <v>881.131857615629</v>
      </c>
      <c r="X41" s="24">
        <v>1322.99304094526</v>
      </c>
      <c r="Y41" s="24">
        <v>908.79394105005</v>
      </c>
      <c r="Z41" s="24">
        <v>671.260468220457</v>
      </c>
      <c r="AA41" s="24"/>
    </row>
    <row r="42">
      <c r="A42" s="8">
        <v>41395.0</v>
      </c>
      <c r="B42" s="9">
        <f>IFERROR(__xludf.DUMMYFUNCTION("""COMPUTED_VALUE"""),590.0)</f>
        <v>590</v>
      </c>
      <c r="C42" s="35">
        <v>615.284815763342</v>
      </c>
      <c r="D42" s="35">
        <v>615.284815763342</v>
      </c>
      <c r="E42" s="35">
        <v>640.5</v>
      </c>
      <c r="F42" s="35">
        <v>1557.79924609206</v>
      </c>
      <c r="G42" s="35">
        <v>515.439330169836</v>
      </c>
      <c r="H42" s="35">
        <v>1280.54445535062</v>
      </c>
      <c r="I42" s="35">
        <v>1032.77844419441</v>
      </c>
      <c r="J42" s="35">
        <v>928.069943130855</v>
      </c>
      <c r="K42" s="42">
        <v>1488.5</v>
      </c>
      <c r="L42" s="42">
        <v>1068.56897332539</v>
      </c>
      <c r="M42" s="42">
        <v>1403.72140918169</v>
      </c>
      <c r="N42" s="42">
        <v>825.617948040992</v>
      </c>
      <c r="O42" s="35">
        <v>886.225200941155</v>
      </c>
      <c r="P42" s="35">
        <v>972.032701991106</v>
      </c>
      <c r="Q42" s="35">
        <v>591.220835781587</v>
      </c>
      <c r="R42" s="35">
        <v>798.137858894062</v>
      </c>
      <c r="S42" s="35">
        <v>722.777573594719</v>
      </c>
      <c r="T42" s="35">
        <v>691.51216790136</v>
      </c>
      <c r="U42" s="35">
        <v>649.32</v>
      </c>
      <c r="V42" s="35">
        <v>530.800629418586</v>
      </c>
      <c r="W42" s="24">
        <v>869.381439924112</v>
      </c>
      <c r="X42" s="24">
        <v>700.362621686904</v>
      </c>
      <c r="Y42" s="24">
        <v>527.857809557474</v>
      </c>
      <c r="Z42" s="24">
        <v>544.131397245835</v>
      </c>
      <c r="AA42" s="24"/>
    </row>
    <row r="43">
      <c r="A43" s="8">
        <v>41426.0</v>
      </c>
      <c r="B43" s="9">
        <f>IFERROR(__xludf.DUMMYFUNCTION("""COMPUTED_VALUE"""),1366.0)</f>
        <v>1366</v>
      </c>
      <c r="C43" s="35">
        <v>739.525910243332</v>
      </c>
      <c r="D43" s="35">
        <v>739.525910243332</v>
      </c>
      <c r="E43" s="35">
        <v>451.0</v>
      </c>
      <c r="F43" s="35">
        <v>-442.373647370644</v>
      </c>
      <c r="G43" s="35">
        <v>496.333755621761</v>
      </c>
      <c r="H43" s="35">
        <v>1505.88343380784</v>
      </c>
      <c r="I43" s="35">
        <v>673.917657561458</v>
      </c>
      <c r="J43" s="35">
        <v>991.83535204482</v>
      </c>
      <c r="K43" s="42">
        <v>1445.0</v>
      </c>
      <c r="L43" s="42">
        <v>662.875838818553</v>
      </c>
      <c r="M43" s="42">
        <v>813.938785319817</v>
      </c>
      <c r="N43" s="42">
        <v>1224.42109580165</v>
      </c>
      <c r="O43" s="35">
        <v>1051.98282834105</v>
      </c>
      <c r="P43" s="35">
        <v>1234.57961731305</v>
      </c>
      <c r="Q43" s="35">
        <v>1024.20075968306</v>
      </c>
      <c r="R43" s="35">
        <v>754.218952361157</v>
      </c>
      <c r="S43" s="35">
        <v>661.983608394018</v>
      </c>
      <c r="T43" s="35">
        <v>1055.18504106404</v>
      </c>
      <c r="U43" s="35">
        <v>700.08</v>
      </c>
      <c r="V43" s="35">
        <v>1130.64793762357</v>
      </c>
      <c r="W43" s="24">
        <v>851.036106994345</v>
      </c>
      <c r="X43" s="24">
        <v>623.84789033837</v>
      </c>
      <c r="Y43" s="24">
        <v>1345.33125</v>
      </c>
      <c r="Z43" s="24">
        <v>498.168217514142</v>
      </c>
      <c r="AA43" s="24"/>
    </row>
    <row r="44">
      <c r="A44" s="8">
        <v>41456.0</v>
      </c>
      <c r="B44" s="9">
        <f>IFERROR(__xludf.DUMMYFUNCTION("""COMPUTED_VALUE"""),1705.0)</f>
        <v>1705</v>
      </c>
      <c r="C44" s="35">
        <v>791.494395823737</v>
      </c>
      <c r="D44" s="35">
        <v>791.494395823737</v>
      </c>
      <c r="E44" s="35">
        <v>2497.5</v>
      </c>
      <c r="F44" s="35">
        <v>1964.0</v>
      </c>
      <c r="G44" s="35">
        <v>1146.2906882455</v>
      </c>
      <c r="H44" s="35">
        <v>1116.79200354725</v>
      </c>
      <c r="I44" s="35">
        <v>867.045944497121</v>
      </c>
      <c r="J44" s="35">
        <v>993.919085139472</v>
      </c>
      <c r="K44" s="42">
        <v>1426.0</v>
      </c>
      <c r="L44" s="42">
        <v>498.550067495818</v>
      </c>
      <c r="M44" s="42">
        <v>627.432118880155</v>
      </c>
      <c r="N44" s="42">
        <v>1274.89622186455</v>
      </c>
      <c r="O44" s="35">
        <v>1271.81737789217</v>
      </c>
      <c r="P44" s="35">
        <v>1972.67838434527</v>
      </c>
      <c r="Q44" s="35">
        <v>1364.29793767573</v>
      </c>
      <c r="R44" s="35">
        <v>1416.9893365138</v>
      </c>
      <c r="S44" s="35">
        <v>1574.57128282288</v>
      </c>
      <c r="T44" s="35">
        <v>1438.74085016607</v>
      </c>
      <c r="U44" s="35">
        <v>6158.72680787567</v>
      </c>
      <c r="V44" s="35">
        <v>1313.64026726355</v>
      </c>
      <c r="W44" s="24">
        <v>747.148132724609</v>
      </c>
      <c r="X44" s="24">
        <v>410.092538331207</v>
      </c>
      <c r="Y44" s="24">
        <v>2416.91678454847</v>
      </c>
      <c r="Z44" s="24">
        <v>486.292635946339</v>
      </c>
      <c r="AA44" s="24"/>
    </row>
    <row r="45">
      <c r="A45" s="8">
        <v>41487.0</v>
      </c>
      <c r="B45" s="9">
        <f>IFERROR(__xludf.DUMMYFUNCTION("""COMPUTED_VALUE"""),1419.0)</f>
        <v>1419</v>
      </c>
      <c r="C45" s="35">
        <v>1451.53217973765</v>
      </c>
      <c r="D45" s="35">
        <v>1451.53217973765</v>
      </c>
      <c r="E45" s="35">
        <v>157.0</v>
      </c>
      <c r="F45" s="35">
        <v>1341.38832378941</v>
      </c>
      <c r="G45" s="35">
        <v>1691.21693304268</v>
      </c>
      <c r="H45" s="35">
        <v>882.834912423171</v>
      </c>
      <c r="I45" s="35">
        <v>906.467930096631</v>
      </c>
      <c r="J45" s="35">
        <v>933.618798350457</v>
      </c>
      <c r="K45" s="42">
        <v>1327.0</v>
      </c>
      <c r="L45" s="42">
        <v>245.733936012563</v>
      </c>
      <c r="M45" s="42">
        <v>469.239391978892</v>
      </c>
      <c r="N45" s="42">
        <v>471.365068530137</v>
      </c>
      <c r="O45" s="35">
        <v>755.923073861625</v>
      </c>
      <c r="P45" s="35">
        <v>1233.95395534289</v>
      </c>
      <c r="Q45" s="35">
        <v>1630.09442650405</v>
      </c>
      <c r="R45" s="35">
        <v>984.42</v>
      </c>
      <c r="S45" s="35">
        <v>1081.54567022238</v>
      </c>
      <c r="T45" s="35">
        <v>1636.62558248743</v>
      </c>
      <c r="U45" s="35">
        <v>938.615633906525</v>
      </c>
      <c r="V45" s="35">
        <v>1295.9718647763</v>
      </c>
      <c r="W45" s="24">
        <v>545.319115118304</v>
      </c>
      <c r="X45" s="24">
        <v>1140.48793673274</v>
      </c>
      <c r="Y45" s="24">
        <v>669.144482409389</v>
      </c>
      <c r="Z45" s="24">
        <v>744.613829213935</v>
      </c>
      <c r="AA45" s="24"/>
    </row>
    <row r="46">
      <c r="A46" s="8">
        <v>41518.0</v>
      </c>
      <c r="B46" s="9">
        <f>IFERROR(__xludf.DUMMYFUNCTION("""COMPUTED_VALUE"""),808.0)</f>
        <v>808</v>
      </c>
      <c r="C46" s="35">
        <v>617.877481589358</v>
      </c>
      <c r="D46" s="35">
        <v>617.877481589358</v>
      </c>
      <c r="E46" s="35">
        <v>974.5</v>
      </c>
      <c r="F46" s="35">
        <v>1236.33917844608</v>
      </c>
      <c r="G46" s="35">
        <v>274.030037367879</v>
      </c>
      <c r="H46" s="35">
        <v>1135.75934360715</v>
      </c>
      <c r="I46" s="35">
        <v>1033.01070281607</v>
      </c>
      <c r="J46" s="35">
        <v>897.115996529144</v>
      </c>
      <c r="K46" s="42">
        <v>1279.5</v>
      </c>
      <c r="L46" s="42">
        <v>802.444023390207</v>
      </c>
      <c r="M46" s="42">
        <v>496.239391978892</v>
      </c>
      <c r="N46" s="42">
        <v>532.991972088814</v>
      </c>
      <c r="O46" s="35">
        <v>416.866882490513</v>
      </c>
      <c r="P46" s="35">
        <v>946.311666329387</v>
      </c>
      <c r="Q46" s="35">
        <v>707.000725441589</v>
      </c>
      <c r="R46" s="35">
        <v>522.494189339677</v>
      </c>
      <c r="S46" s="35">
        <v>1331.3831662963</v>
      </c>
      <c r="T46" s="35">
        <v>779.247968432527</v>
      </c>
      <c r="U46" s="35">
        <v>1463.77111544137</v>
      </c>
      <c r="V46" s="35">
        <v>1038.59741864668</v>
      </c>
      <c r="W46" s="24">
        <v>436.432366655178</v>
      </c>
      <c r="X46" s="24">
        <v>364.921866987334</v>
      </c>
      <c r="Y46" s="24">
        <v>1028.07963267949</v>
      </c>
      <c r="Z46" s="24">
        <v>533.17519632778</v>
      </c>
      <c r="AA46" s="24"/>
    </row>
    <row r="47">
      <c r="A47" s="8">
        <v>41548.0</v>
      </c>
      <c r="B47" s="9">
        <f>IFERROR(__xludf.DUMMYFUNCTION("""COMPUTED_VALUE"""),711.0)</f>
        <v>711</v>
      </c>
      <c r="C47" s="35">
        <v>651.245328576455</v>
      </c>
      <c r="D47" s="35">
        <v>651.245328576455</v>
      </c>
      <c r="E47" s="35">
        <v>78.5</v>
      </c>
      <c r="F47" s="35">
        <v>1059.50216510161</v>
      </c>
      <c r="G47" s="35">
        <v>332.841382067223</v>
      </c>
      <c r="H47" s="35">
        <v>1041.62883330089</v>
      </c>
      <c r="I47" s="35">
        <v>706.384259634142</v>
      </c>
      <c r="J47" s="35">
        <v>824.972491674933</v>
      </c>
      <c r="K47" s="42">
        <v>721.5</v>
      </c>
      <c r="L47" s="42">
        <v>162.0</v>
      </c>
      <c r="M47" s="42">
        <v>217.422019245845</v>
      </c>
      <c r="N47" s="42">
        <v>632.151564002987</v>
      </c>
      <c r="O47" s="35">
        <v>588.141202256904</v>
      </c>
      <c r="P47" s="35">
        <v>267.612125181019</v>
      </c>
      <c r="Q47" s="35">
        <v>1850.54936811036</v>
      </c>
      <c r="R47" s="35">
        <v>613.12</v>
      </c>
      <c r="S47" s="35">
        <v>434.650397185274</v>
      </c>
      <c r="T47" s="35">
        <v>2048.50484296081</v>
      </c>
      <c r="U47" s="35">
        <v>621.821779955848</v>
      </c>
      <c r="V47" s="35">
        <v>800.340377597856</v>
      </c>
      <c r="W47" s="24">
        <v>527.623683595306</v>
      </c>
      <c r="X47" s="24">
        <v>192.784246729958</v>
      </c>
      <c r="Y47" s="24">
        <v>588.8</v>
      </c>
      <c r="Z47" s="24">
        <v>442.995383796712</v>
      </c>
      <c r="AA47" s="24"/>
    </row>
    <row r="48">
      <c r="A48" s="8">
        <v>41579.0</v>
      </c>
      <c r="B48" s="9">
        <f>IFERROR(__xludf.DUMMYFUNCTION("""COMPUTED_VALUE"""),385.0)</f>
        <v>385</v>
      </c>
      <c r="C48" s="35">
        <v>560.188472623093</v>
      </c>
      <c r="D48" s="35">
        <v>560.188472623093</v>
      </c>
      <c r="E48" s="35">
        <v>484.6</v>
      </c>
      <c r="F48" s="35">
        <v>982.323934690336</v>
      </c>
      <c r="G48" s="35">
        <v>188.020502258883</v>
      </c>
      <c r="H48" s="35">
        <v>964.83031868328</v>
      </c>
      <c r="I48" s="35">
        <v>685.201408702739</v>
      </c>
      <c r="J48" s="35">
        <v>766.521379458749</v>
      </c>
      <c r="K48" s="42">
        <v>721.5</v>
      </c>
      <c r="L48" s="42">
        <v>248.539558670799</v>
      </c>
      <c r="M48" s="42">
        <v>106.199393340925</v>
      </c>
      <c r="N48" s="42">
        <v>499.823295069787</v>
      </c>
      <c r="O48" s="35">
        <v>376.524672004469</v>
      </c>
      <c r="P48" s="35">
        <v>380.926378157755</v>
      </c>
      <c r="Q48" s="35">
        <v>1641.19646545331</v>
      </c>
      <c r="R48" s="35">
        <v>527.02</v>
      </c>
      <c r="S48" s="35">
        <v>241.915958266897</v>
      </c>
      <c r="T48" s="35">
        <v>1726.9678458304</v>
      </c>
      <c r="U48" s="35">
        <v>367.12</v>
      </c>
      <c r="V48" s="35">
        <v>872.462574701187</v>
      </c>
      <c r="W48" s="24">
        <v>344.501535801223</v>
      </c>
      <c r="X48" s="24">
        <v>373.181168431558</v>
      </c>
      <c r="Y48" s="24">
        <v>517.541202477739</v>
      </c>
      <c r="Z48" s="24">
        <v>519.760468220457</v>
      </c>
      <c r="AA48" s="24"/>
    </row>
    <row r="49">
      <c r="A49" s="8">
        <v>41609.0</v>
      </c>
      <c r="B49" s="9">
        <f>IFERROR(__xludf.DUMMYFUNCTION("""COMPUTED_VALUE"""),613.0)</f>
        <v>613</v>
      </c>
      <c r="C49" s="35">
        <v>403.819954467388</v>
      </c>
      <c r="D49" s="35">
        <v>403.819954467388</v>
      </c>
      <c r="E49" s="35">
        <v>300.85</v>
      </c>
      <c r="F49" s="35">
        <v>684.305897080105</v>
      </c>
      <c r="G49" s="35">
        <v>268.524471231992</v>
      </c>
      <c r="H49" s="35">
        <v>914.534074276469</v>
      </c>
      <c r="I49" s="35">
        <v>428.99964358046</v>
      </c>
      <c r="J49" s="35">
        <v>798.102301936263</v>
      </c>
      <c r="K49" s="42">
        <v>532.0</v>
      </c>
      <c r="L49" s="42">
        <v>356.641788173425</v>
      </c>
      <c r="M49" s="42">
        <v>111.393736864695</v>
      </c>
      <c r="N49" s="42">
        <v>712.710035628262</v>
      </c>
      <c r="O49" s="35">
        <v>448.860547883241</v>
      </c>
      <c r="P49" s="35">
        <v>538.143841767065</v>
      </c>
      <c r="Q49" s="35">
        <v>751.568232888762</v>
      </c>
      <c r="R49" s="35">
        <v>650.593688941013</v>
      </c>
      <c r="S49" s="35">
        <v>410.773109916044</v>
      </c>
      <c r="T49" s="35">
        <v>832.666231773017</v>
      </c>
      <c r="U49" s="35">
        <v>351.7</v>
      </c>
      <c r="V49" s="35">
        <v>462.092001690699</v>
      </c>
      <c r="W49" s="24">
        <v>352.817032090524</v>
      </c>
      <c r="X49" s="24">
        <v>339.199670366781</v>
      </c>
      <c r="Y49" s="24">
        <v>334.642968259579</v>
      </c>
      <c r="Z49" s="24">
        <v>352.546125353158</v>
      </c>
      <c r="AA49" s="24"/>
    </row>
    <row r="50">
      <c r="A50" s="8">
        <v>41640.0</v>
      </c>
      <c r="B50" s="9">
        <f>IFERROR(__xludf.DUMMYFUNCTION("""COMPUTED_VALUE"""),526.0)</f>
        <v>526</v>
      </c>
      <c r="C50" s="35">
        <v>559.625068569956</v>
      </c>
      <c r="D50" s="35">
        <v>559.625068569956</v>
      </c>
      <c r="E50" s="35">
        <v>67.5</v>
      </c>
      <c r="F50" s="35">
        <v>676.219788055434</v>
      </c>
      <c r="G50" s="35">
        <v>200.281456865947</v>
      </c>
      <c r="H50" s="35">
        <v>697.534074276469</v>
      </c>
      <c r="I50" s="35">
        <v>1152.4030103551</v>
      </c>
      <c r="J50" s="35">
        <v>786.972239697017</v>
      </c>
      <c r="K50" s="42">
        <v>524.0</v>
      </c>
      <c r="L50" s="42">
        <v>432.173253229925</v>
      </c>
      <c r="M50" s="42">
        <v>317.5</v>
      </c>
      <c r="N50" s="42">
        <v>162.0</v>
      </c>
      <c r="O50" s="35">
        <v>312.978459513043</v>
      </c>
      <c r="P50" s="35">
        <v>401.083043767515</v>
      </c>
      <c r="Q50" s="35">
        <v>1096.25553984541</v>
      </c>
      <c r="R50" s="35">
        <v>745.956322195055</v>
      </c>
      <c r="S50" s="35">
        <v>541.326555495459</v>
      </c>
      <c r="T50" s="35">
        <v>1045.49759756605</v>
      </c>
      <c r="U50" s="35">
        <v>1538.86417451257</v>
      </c>
      <c r="V50" s="35">
        <v>547.270151260398</v>
      </c>
      <c r="W50" s="24">
        <v>780.200098683001</v>
      </c>
      <c r="X50" s="24">
        <v>549.0</v>
      </c>
      <c r="Y50" s="24">
        <v>275.950388908527</v>
      </c>
      <c r="Z50" s="24">
        <v>837.140525518222</v>
      </c>
      <c r="AA50" s="24"/>
    </row>
    <row r="51">
      <c r="A51" s="8">
        <v>41671.0</v>
      </c>
      <c r="B51" s="9">
        <f>IFERROR(__xludf.DUMMYFUNCTION("""COMPUTED_VALUE"""),587.0)</f>
        <v>587</v>
      </c>
      <c r="C51" s="35">
        <v>601.466274164387</v>
      </c>
      <c r="D51" s="35">
        <v>601.466274164387</v>
      </c>
      <c r="E51" s="35">
        <v>111.25</v>
      </c>
      <c r="F51" s="35">
        <v>722.943966023731</v>
      </c>
      <c r="G51" s="35">
        <v>696.563017256414</v>
      </c>
      <c r="H51" s="35">
        <v>546.457304243569</v>
      </c>
      <c r="I51" s="35">
        <v>570.069697265417</v>
      </c>
      <c r="J51" s="35">
        <v>805.057170414902</v>
      </c>
      <c r="K51" s="42">
        <v>248.0</v>
      </c>
      <c r="L51" s="42">
        <v>145.370294092429</v>
      </c>
      <c r="M51" s="42">
        <v>21.7151511540064</v>
      </c>
      <c r="N51" s="42">
        <v>94.0</v>
      </c>
      <c r="O51" s="35">
        <v>404.771832479218</v>
      </c>
      <c r="P51" s="35">
        <v>825.988429193124</v>
      </c>
      <c r="Q51" s="35">
        <v>360.68491631857</v>
      </c>
      <c r="R51" s="35">
        <v>463.24</v>
      </c>
      <c r="S51" s="35">
        <v>1561.30511658719</v>
      </c>
      <c r="T51" s="35">
        <v>367.468135226447</v>
      </c>
      <c r="U51" s="35">
        <v>6313.0487554095</v>
      </c>
      <c r="V51" s="35">
        <v>695.366529680475</v>
      </c>
      <c r="W51" s="24">
        <v>344.306172083352</v>
      </c>
      <c r="X51" s="24">
        <v>470.995195343832</v>
      </c>
      <c r="Y51" s="24">
        <v>221.842968259579</v>
      </c>
      <c r="Z51" s="24">
        <v>254.973126883249</v>
      </c>
      <c r="AA51" s="24"/>
    </row>
    <row r="52">
      <c r="A52" s="8">
        <v>41699.0</v>
      </c>
      <c r="B52" s="9">
        <f>IFERROR(__xludf.DUMMYFUNCTION("""COMPUTED_VALUE"""),5082.0)</f>
        <v>5082</v>
      </c>
      <c r="C52" s="35">
        <v>1164.7290219602</v>
      </c>
      <c r="D52" s="35">
        <v>1164.7290219602</v>
      </c>
      <c r="E52" s="35">
        <v>2369.56820562434</v>
      </c>
      <c r="F52" s="35">
        <v>576.571195194219</v>
      </c>
      <c r="G52" s="35">
        <v>3656.52579241685</v>
      </c>
      <c r="H52" s="35">
        <v>3654.69819120997</v>
      </c>
      <c r="I52" s="35">
        <v>2015.23902498249</v>
      </c>
      <c r="J52" s="35">
        <v>812.078407648585</v>
      </c>
      <c r="K52" s="42">
        <v>1195.66666666667</v>
      </c>
      <c r="L52" s="42">
        <v>5082.14548147131</v>
      </c>
      <c r="M52" s="42">
        <v>1527.5</v>
      </c>
      <c r="N52" s="42">
        <v>5122.98517031037</v>
      </c>
      <c r="O52" s="35">
        <v>4962.81207157352</v>
      </c>
      <c r="P52" s="35">
        <v>4983.36356113262</v>
      </c>
      <c r="Q52" s="35">
        <v>4762.12541403036</v>
      </c>
      <c r="R52" s="35">
        <v>5047.72487667941</v>
      </c>
      <c r="S52" s="35">
        <v>5223.58965329136</v>
      </c>
      <c r="T52" s="35">
        <v>5106.280796367</v>
      </c>
      <c r="U52" s="35">
        <v>3850.47603164591</v>
      </c>
      <c r="V52" s="35">
        <v>2079.56626151776</v>
      </c>
      <c r="W52" s="24">
        <v>4833.47243367258</v>
      </c>
      <c r="X52" s="24">
        <v>2120.0</v>
      </c>
      <c r="Y52" s="24">
        <v>5063.52079191375</v>
      </c>
      <c r="Z52" s="24">
        <v>1916.09696309773</v>
      </c>
      <c r="AA52" s="24"/>
    </row>
    <row r="53">
      <c r="A53" s="8">
        <v>41730.0</v>
      </c>
      <c r="B53" s="9">
        <f>IFERROR(__xludf.DUMMYFUNCTION("""COMPUTED_VALUE"""),1944.0)</f>
        <v>1944</v>
      </c>
      <c r="C53" s="35">
        <v>4330.45041467788</v>
      </c>
      <c r="D53" s="35">
        <v>4330.45041467788</v>
      </c>
      <c r="E53" s="35">
        <v>69.5</v>
      </c>
      <c r="F53" s="35">
        <v>681.444775978252</v>
      </c>
      <c r="G53" s="35">
        <v>55.1743235395427</v>
      </c>
      <c r="H53" s="35">
        <v>2960.60538943823</v>
      </c>
      <c r="I53" s="35">
        <v>4121.67915844065</v>
      </c>
      <c r="J53" s="35">
        <v>679.240196603068</v>
      </c>
      <c r="K53" s="42">
        <v>189.5</v>
      </c>
      <c r="L53" s="42">
        <v>976.888376301121</v>
      </c>
      <c r="M53" s="42">
        <v>29.8422219195482</v>
      </c>
      <c r="N53" s="42">
        <v>2539.83076923077</v>
      </c>
      <c r="O53" s="35">
        <v>1878.73550935571</v>
      </c>
      <c r="P53" s="35">
        <v>208.214929676532</v>
      </c>
      <c r="Q53" s="35">
        <v>1720.4987542159</v>
      </c>
      <c r="R53" s="35">
        <v>256.4</v>
      </c>
      <c r="S53" s="35">
        <v>99.2106077611141</v>
      </c>
      <c r="T53" s="35">
        <v>2147.38587932198</v>
      </c>
      <c r="U53" s="35">
        <v>442.0</v>
      </c>
      <c r="V53" s="35">
        <v>906.19098740188</v>
      </c>
      <c r="W53" s="24">
        <v>1117.23172441496</v>
      </c>
      <c r="X53" s="24">
        <v>3636.6</v>
      </c>
      <c r="Y53" s="24">
        <v>1125.13389252783</v>
      </c>
      <c r="Z53" s="24">
        <v>1485.00130791444</v>
      </c>
      <c r="AA53" s="24"/>
    </row>
    <row r="54">
      <c r="A54" s="8">
        <v>41760.0</v>
      </c>
      <c r="B54" s="9">
        <f>IFERROR(__xludf.DUMMYFUNCTION("""COMPUTED_VALUE"""),200.0)</f>
        <v>200</v>
      </c>
      <c r="C54" s="35">
        <v>226.608274251048</v>
      </c>
      <c r="D54" s="35">
        <v>226.608274251048</v>
      </c>
      <c r="E54" s="35">
        <v>738.25</v>
      </c>
      <c r="F54" s="35">
        <v>823.085389390076</v>
      </c>
      <c r="G54" s="35">
        <v>86.6289080969459</v>
      </c>
      <c r="H54" s="35">
        <v>1395.0</v>
      </c>
      <c r="I54" s="35">
        <v>128.803781726668</v>
      </c>
      <c r="J54" s="35">
        <v>721.926321159994</v>
      </c>
      <c r="K54" s="42">
        <v>189.5</v>
      </c>
      <c r="L54" s="42">
        <v>191.888788202006</v>
      </c>
      <c r="M54" s="42">
        <v>46.7311349429912</v>
      </c>
      <c r="N54" s="42">
        <v>363.479624974132</v>
      </c>
      <c r="O54" s="35">
        <v>459.246818038843</v>
      </c>
      <c r="P54" s="35">
        <v>189.941585583769</v>
      </c>
      <c r="Q54" s="35">
        <v>76.7393772719856</v>
      </c>
      <c r="R54" s="35">
        <v>191.578052462079</v>
      </c>
      <c r="S54" s="35">
        <v>91.1405914225953</v>
      </c>
      <c r="T54" s="35">
        <v>76.7393772719855</v>
      </c>
      <c r="U54" s="35">
        <v>265.47</v>
      </c>
      <c r="V54" s="35">
        <v>1080.49209842786</v>
      </c>
      <c r="W54" s="24">
        <v>291.835692247519</v>
      </c>
      <c r="X54" s="24">
        <v>647.358609972034</v>
      </c>
      <c r="Y54" s="24">
        <v>313.309126720681</v>
      </c>
      <c r="Z54" s="24">
        <v>298.799614759977</v>
      </c>
      <c r="AA54" s="24"/>
    </row>
    <row r="55">
      <c r="A55" s="8">
        <v>41791.0</v>
      </c>
      <c r="B55" s="9">
        <f>IFERROR(__xludf.DUMMYFUNCTION("""COMPUTED_VALUE"""),332.0)</f>
        <v>332</v>
      </c>
      <c r="C55" s="35">
        <v>132.536232875458</v>
      </c>
      <c r="D55" s="35">
        <v>132.536232875458</v>
      </c>
      <c r="E55" s="35">
        <v>115.0</v>
      </c>
      <c r="F55" s="35">
        <v>574.847301057114</v>
      </c>
      <c r="G55" s="35">
        <v>97.1277803831307</v>
      </c>
      <c r="H55" s="35">
        <v>486.35505693414</v>
      </c>
      <c r="I55" s="35">
        <v>438.871867629351</v>
      </c>
      <c r="J55" s="35">
        <v>588.161781005364</v>
      </c>
      <c r="K55" s="42">
        <v>203.0</v>
      </c>
      <c r="L55" s="42">
        <v>211.0</v>
      </c>
      <c r="M55" s="42">
        <v>94.5</v>
      </c>
      <c r="N55" s="42">
        <v>374.85954204649</v>
      </c>
      <c r="O55" s="35">
        <v>699.235569803434</v>
      </c>
      <c r="P55" s="35">
        <v>180.257801636087</v>
      </c>
      <c r="Q55" s="35">
        <v>329.56254558174</v>
      </c>
      <c r="R55" s="35">
        <v>202.079066130418</v>
      </c>
      <c r="S55" s="35">
        <v>187.810174015574</v>
      </c>
      <c r="T55" s="35">
        <v>433.185998478781</v>
      </c>
      <c r="U55" s="35">
        <v>173.48</v>
      </c>
      <c r="V55" s="35">
        <v>285.162638888349</v>
      </c>
      <c r="W55" s="24">
        <v>118.804610706938</v>
      </c>
      <c r="X55" s="24">
        <v>257.05688104204</v>
      </c>
      <c r="Y55" s="24">
        <v>349.466575692796</v>
      </c>
      <c r="Z55" s="24">
        <v>161.014187735308</v>
      </c>
      <c r="AA55" s="24"/>
    </row>
    <row r="56">
      <c r="A56" s="8">
        <v>41821.0</v>
      </c>
      <c r="B56" s="9">
        <f>IFERROR(__xludf.DUMMYFUNCTION("""COMPUTED_VALUE"""),334.0)</f>
        <v>334</v>
      </c>
      <c r="C56" s="35">
        <v>556.940813810111</v>
      </c>
      <c r="D56" s="35">
        <v>556.940813810111</v>
      </c>
      <c r="E56" s="35">
        <v>649.75</v>
      </c>
      <c r="F56" s="35">
        <v>524.483906918809</v>
      </c>
      <c r="G56" s="35">
        <v>91.2470780616254</v>
      </c>
      <c r="H56" s="35">
        <v>366.131072653526</v>
      </c>
      <c r="I56" s="35">
        <v>1338.70992657301</v>
      </c>
      <c r="J56" s="35">
        <v>591.635985575953</v>
      </c>
      <c r="K56" s="42">
        <v>573.0</v>
      </c>
      <c r="L56" s="42">
        <v>93.0599833102073</v>
      </c>
      <c r="M56" s="42">
        <v>67.5</v>
      </c>
      <c r="N56" s="42">
        <v>114.5</v>
      </c>
      <c r="O56" s="35">
        <v>152.764907775622</v>
      </c>
      <c r="P56" s="35">
        <v>51.4394437307199</v>
      </c>
      <c r="Q56" s="35">
        <v>-70.4486231456335</v>
      </c>
      <c r="R56" s="35">
        <v>240.16</v>
      </c>
      <c r="S56" s="35">
        <v>130.442741427388</v>
      </c>
      <c r="T56" s="35">
        <v>-52.2392860074001</v>
      </c>
      <c r="U56" s="35">
        <v>156.311243476955</v>
      </c>
      <c r="V56" s="35">
        <v>295.49565086615</v>
      </c>
      <c r="W56" s="24">
        <v>85.6996580158414</v>
      </c>
      <c r="X56" s="24">
        <v>90.3351456874267</v>
      </c>
      <c r="Y56" s="24">
        <v>194.636325427685</v>
      </c>
      <c r="Z56" s="24">
        <v>440.41641231183</v>
      </c>
      <c r="AA56" s="24"/>
    </row>
    <row r="57">
      <c r="A57" s="8">
        <v>41852.0</v>
      </c>
      <c r="B57" s="9">
        <f>IFERROR(__xludf.DUMMYFUNCTION("""COMPUTED_VALUE"""),1011.0)</f>
        <v>1011</v>
      </c>
      <c r="C57" s="35">
        <v>451.66247735867</v>
      </c>
      <c r="D57" s="35">
        <v>451.66247735867</v>
      </c>
      <c r="E57" s="35">
        <v>1260.0</v>
      </c>
      <c r="F57" s="35">
        <v>585.25183910334</v>
      </c>
      <c r="G57" s="35">
        <v>102.622200493916</v>
      </c>
      <c r="H57" s="35">
        <v>665.062357670748</v>
      </c>
      <c r="I57" s="35">
        <v>252.633138940813</v>
      </c>
      <c r="J57" s="35">
        <v>605.618359431041</v>
      </c>
      <c r="K57" s="42">
        <v>589.0</v>
      </c>
      <c r="L57" s="42">
        <v>145.00896007442</v>
      </c>
      <c r="M57" s="42">
        <v>15.5</v>
      </c>
      <c r="N57" s="42">
        <v>77.0</v>
      </c>
      <c r="O57" s="35">
        <v>72.7010751419702</v>
      </c>
      <c r="P57" s="35">
        <v>90.9090277823161</v>
      </c>
      <c r="Q57" s="35">
        <v>422.394669179235</v>
      </c>
      <c r="R57" s="35">
        <v>631.969227525217</v>
      </c>
      <c r="S57" s="35">
        <v>174.827454246102</v>
      </c>
      <c r="T57" s="35">
        <v>378.720526319637</v>
      </c>
      <c r="U57" s="35">
        <v>149.931482906274</v>
      </c>
      <c r="V57" s="35">
        <v>619.25102221882</v>
      </c>
      <c r="W57" s="24">
        <v>-23.0545018254236</v>
      </c>
      <c r="X57" s="24">
        <v>1447.31088578383</v>
      </c>
      <c r="Y57" s="24">
        <v>202.053710324474</v>
      </c>
      <c r="Z57" s="24">
        <v>165.529199387963</v>
      </c>
      <c r="AA57" s="24"/>
    </row>
    <row r="58">
      <c r="A58" s="8">
        <v>41883.0</v>
      </c>
      <c r="B58" s="9">
        <f>IFERROR(__xludf.DUMMYFUNCTION("""COMPUTED_VALUE"""),454.0)</f>
        <v>454</v>
      </c>
      <c r="C58" s="35">
        <v>1004.00897228513</v>
      </c>
      <c r="D58" s="35">
        <v>1004.00897228513</v>
      </c>
      <c r="E58" s="35">
        <v>904.0</v>
      </c>
      <c r="F58" s="35">
        <v>509.795804490702</v>
      </c>
      <c r="G58" s="35">
        <v>364.751714052074</v>
      </c>
      <c r="H58" s="35">
        <v>531.062357670748</v>
      </c>
      <c r="I58" s="35">
        <v>758.449456365347</v>
      </c>
      <c r="J58" s="35">
        <v>648.256721289521</v>
      </c>
      <c r="K58" s="42">
        <v>600.5</v>
      </c>
      <c r="L58" s="42">
        <v>301.877211465996</v>
      </c>
      <c r="M58" s="42">
        <v>-76.4119196115355</v>
      </c>
      <c r="N58" s="42">
        <v>77.0</v>
      </c>
      <c r="O58" s="35">
        <v>240.363669017661</v>
      </c>
      <c r="P58" s="35">
        <v>268.911880642252</v>
      </c>
      <c r="Q58" s="35">
        <v>341.707271598241</v>
      </c>
      <c r="R58" s="35">
        <v>808.880076371081</v>
      </c>
      <c r="S58" s="35">
        <v>763.677846356103</v>
      </c>
      <c r="T58" s="35">
        <v>635.298420136291</v>
      </c>
      <c r="U58" s="35">
        <v>480.244207449709</v>
      </c>
      <c r="V58" s="35">
        <v>363.319543829245</v>
      </c>
      <c r="W58" s="24">
        <v>262.726916110992</v>
      </c>
      <c r="X58" s="24">
        <v>577.655290386809</v>
      </c>
      <c r="Y58" s="24">
        <v>337.4</v>
      </c>
      <c r="Z58" s="24">
        <v>100.597545315446</v>
      </c>
      <c r="AA58" s="24"/>
    </row>
    <row r="59">
      <c r="A59" s="8">
        <v>41913.0</v>
      </c>
      <c r="B59" s="9">
        <f>IFERROR(__xludf.DUMMYFUNCTION("""COMPUTED_VALUE"""),428.0)</f>
        <v>428</v>
      </c>
      <c r="C59" s="35">
        <v>145.517764165391</v>
      </c>
      <c r="D59" s="35">
        <v>145.517764165391</v>
      </c>
      <c r="E59" s="35">
        <v>528.5</v>
      </c>
      <c r="F59" s="35">
        <v>513.091859597341</v>
      </c>
      <c r="G59" s="35">
        <v>199.189520132802</v>
      </c>
      <c r="H59" s="35">
        <v>526.276309102111</v>
      </c>
      <c r="I59" s="35">
        <v>12.373486304322</v>
      </c>
      <c r="J59" s="35">
        <v>745.341301164841</v>
      </c>
      <c r="K59" s="42">
        <v>639.5</v>
      </c>
      <c r="L59" s="42">
        <v>153.688224467944</v>
      </c>
      <c r="M59" s="42">
        <v>133.5</v>
      </c>
      <c r="N59" s="42">
        <v>77.0</v>
      </c>
      <c r="O59" s="35">
        <v>147.276509095507</v>
      </c>
      <c r="P59" s="35">
        <v>349.278252739268</v>
      </c>
      <c r="Q59" s="35">
        <v>44.9797573204809</v>
      </c>
      <c r="R59" s="35">
        <v>742.7868989648</v>
      </c>
      <c r="S59" s="35">
        <v>557.706664828677</v>
      </c>
      <c r="T59" s="35">
        <v>44.9797573204808</v>
      </c>
      <c r="U59" s="35">
        <v>704.582454213294</v>
      </c>
      <c r="V59" s="35">
        <v>769.821025355216</v>
      </c>
      <c r="W59" s="24">
        <v>108.060743777251</v>
      </c>
      <c r="X59" s="24">
        <v>105.956661092761</v>
      </c>
      <c r="Y59" s="24">
        <v>603.3</v>
      </c>
      <c r="Z59" s="24">
        <v>125.668217514142</v>
      </c>
      <c r="AA59" s="24"/>
    </row>
    <row r="60">
      <c r="A60" s="8">
        <v>41944.0</v>
      </c>
      <c r="B60" s="9">
        <f>IFERROR(__xludf.DUMMYFUNCTION("""COMPUTED_VALUE"""),3148.0)</f>
        <v>3148</v>
      </c>
      <c r="C60" s="35">
        <v>200.600284711017</v>
      </c>
      <c r="D60" s="35">
        <v>200.600284711017</v>
      </c>
      <c r="E60" s="35">
        <v>183.0</v>
      </c>
      <c r="F60" s="35">
        <v>3037.0</v>
      </c>
      <c r="G60" s="35">
        <v>153.128037035604</v>
      </c>
      <c r="H60" s="35">
        <v>3598.33328953345</v>
      </c>
      <c r="I60" s="35">
        <v>207.297534594306</v>
      </c>
      <c r="J60" s="35">
        <v>699.889901237615</v>
      </c>
      <c r="K60" s="42">
        <v>660.5</v>
      </c>
      <c r="L60" s="42">
        <v>174.619400232527</v>
      </c>
      <c r="M60" s="42">
        <v>57.5880803884646</v>
      </c>
      <c r="N60" s="42">
        <v>1254.0</v>
      </c>
      <c r="O60" s="35">
        <v>169.807189291363</v>
      </c>
      <c r="P60" s="35">
        <v>327.486139266406</v>
      </c>
      <c r="Q60" s="35">
        <v>0.0</v>
      </c>
      <c r="R60" s="35">
        <v>369.16218693419</v>
      </c>
      <c r="S60" s="35">
        <v>453.779470782842</v>
      </c>
      <c r="T60" s="35">
        <v>0.0</v>
      </c>
      <c r="U60" s="35">
        <v>472.8</v>
      </c>
      <c r="V60" s="35">
        <v>689.107898809579</v>
      </c>
      <c r="W60" s="24">
        <v>287.844624537202</v>
      </c>
      <c r="X60" s="24">
        <v>214.986517456651</v>
      </c>
      <c r="Y60" s="24">
        <v>190.299789852267</v>
      </c>
      <c r="Z60" s="24">
        <v>91.5145996939816</v>
      </c>
      <c r="AA60" s="24"/>
    </row>
    <row r="61">
      <c r="A61" s="8">
        <v>41974.0</v>
      </c>
      <c r="B61" s="9">
        <f>IFERROR(__xludf.DUMMYFUNCTION("""COMPUTED_VALUE"""),164.0)</f>
        <v>164</v>
      </c>
      <c r="C61" s="35">
        <v>213.037056012895</v>
      </c>
      <c r="D61" s="35">
        <v>213.037056012895</v>
      </c>
      <c r="E61" s="35">
        <v>323.25</v>
      </c>
      <c r="F61" s="35">
        <v>246.077573430417</v>
      </c>
      <c r="G61" s="35">
        <v>273.592020173015</v>
      </c>
      <c r="H61" s="35">
        <v>93.1858209924656</v>
      </c>
      <c r="I61" s="35">
        <v>802.30625129946</v>
      </c>
      <c r="J61" s="35">
        <v>646.226021110865</v>
      </c>
      <c r="K61" s="42">
        <v>668.0</v>
      </c>
      <c r="L61" s="42">
        <v>351.555525366682</v>
      </c>
      <c r="M61" s="42">
        <v>166.498383377494</v>
      </c>
      <c r="N61" s="42">
        <v>52.0</v>
      </c>
      <c r="O61" s="35">
        <v>145.912004922092</v>
      </c>
      <c r="P61" s="35">
        <v>517.006850016825</v>
      </c>
      <c r="Q61" s="35">
        <v>8.13546915013915</v>
      </c>
      <c r="R61" s="35">
        <v>23263.0693937529</v>
      </c>
      <c r="S61" s="35">
        <v>629.470976927337</v>
      </c>
      <c r="T61" s="35">
        <v>8.13546915013914</v>
      </c>
      <c r="U61" s="35">
        <v>404.31</v>
      </c>
      <c r="V61" s="35">
        <v>680.968618660981</v>
      </c>
      <c r="W61" s="24">
        <v>406.449698738463</v>
      </c>
      <c r="X61" s="24">
        <v>465.968660870557</v>
      </c>
      <c r="Y61" s="24">
        <v>763.039547149713</v>
      </c>
      <c r="Z61" s="24">
        <v>236.660596633798</v>
      </c>
      <c r="AA61" s="24"/>
    </row>
    <row r="62">
      <c r="A62" s="8">
        <v>42005.0</v>
      </c>
      <c r="B62" s="9">
        <f>IFERROR(__xludf.DUMMYFUNCTION("""COMPUTED_VALUE"""),211.0)</f>
        <v>211</v>
      </c>
      <c r="C62" s="35">
        <v>129.521668560299</v>
      </c>
      <c r="D62" s="35">
        <v>129.521668560299</v>
      </c>
      <c r="E62" s="35">
        <v>412.5</v>
      </c>
      <c r="F62" s="35">
        <v>1240.0</v>
      </c>
      <c r="G62" s="35">
        <v>462.96250312378</v>
      </c>
      <c r="H62" s="35">
        <v>104.688916001183</v>
      </c>
      <c r="I62" s="35">
        <v>1050.63517098796</v>
      </c>
      <c r="J62" s="35">
        <v>599.195220477358</v>
      </c>
      <c r="K62" s="42">
        <v>698.0</v>
      </c>
      <c r="L62" s="42">
        <v>164.861771177489</v>
      </c>
      <c r="M62" s="42">
        <v>-1.00161662250616</v>
      </c>
      <c r="N62" s="42">
        <v>132.0</v>
      </c>
      <c r="O62" s="35">
        <v>271.518946306856</v>
      </c>
      <c r="P62" s="35">
        <v>377.308674800431</v>
      </c>
      <c r="Q62" s="35">
        <v>70.0901957550449</v>
      </c>
      <c r="R62" s="35">
        <v>6636.66404670254</v>
      </c>
      <c r="S62" s="35">
        <v>520.166007350702</v>
      </c>
      <c r="T62" s="35">
        <v>92.5860823977765</v>
      </c>
      <c r="U62" s="35">
        <v>400.888187596178</v>
      </c>
      <c r="V62" s="35">
        <v>729.033376173562</v>
      </c>
      <c r="W62" s="24">
        <v>323.745317289094</v>
      </c>
      <c r="X62" s="24">
        <v>254.6</v>
      </c>
      <c r="Y62" s="24">
        <v>161.809754100108</v>
      </c>
      <c r="Z62" s="24">
        <v>231.382560381441</v>
      </c>
      <c r="AA62" s="24"/>
    </row>
    <row r="63">
      <c r="A63" s="8">
        <v>42036.0</v>
      </c>
      <c r="B63" s="9">
        <f>IFERROR(__xludf.DUMMYFUNCTION("""COMPUTED_VALUE"""),238.0)</f>
        <v>238</v>
      </c>
      <c r="C63" s="35">
        <v>218.689563197293</v>
      </c>
      <c r="D63" s="35">
        <v>218.689563197293</v>
      </c>
      <c r="E63" s="35">
        <v>198.0</v>
      </c>
      <c r="F63" s="35">
        <v>230.353654099861</v>
      </c>
      <c r="G63" s="35">
        <v>407.246771467844</v>
      </c>
      <c r="H63" s="35">
        <v>540.478914222786</v>
      </c>
      <c r="I63" s="35">
        <v>230.630031712976</v>
      </c>
      <c r="J63" s="35">
        <v>507.143892470596</v>
      </c>
      <c r="K63" s="42">
        <v>564.0</v>
      </c>
      <c r="L63" s="42">
        <v>238.010732743804</v>
      </c>
      <c r="M63" s="42">
        <v>1152.0</v>
      </c>
      <c r="N63" s="42">
        <v>155.376078795682</v>
      </c>
      <c r="O63" s="35">
        <v>239.876417659549</v>
      </c>
      <c r="P63" s="35">
        <v>1411.09300749229</v>
      </c>
      <c r="Q63" s="35">
        <v>35.5233605846996</v>
      </c>
      <c r="R63" s="35">
        <v>6615.31436009312</v>
      </c>
      <c r="S63" s="35">
        <v>1347.22373998767</v>
      </c>
      <c r="T63" s="35">
        <v>58.1321957493068</v>
      </c>
      <c r="U63" s="35">
        <v>1541.71293485678</v>
      </c>
      <c r="V63" s="35">
        <v>151.470595610007</v>
      </c>
      <c r="W63" s="24">
        <v>210.962770391237</v>
      </c>
      <c r="X63" s="24">
        <v>186.316237980318</v>
      </c>
      <c r="Y63" s="24">
        <v>142.640424660685</v>
      </c>
      <c r="Z63" s="24">
        <v>249.955962763232</v>
      </c>
      <c r="AA63" s="24"/>
    </row>
    <row r="64">
      <c r="A64" s="8">
        <v>42064.0</v>
      </c>
      <c r="B64" s="9">
        <f>IFERROR(__xludf.DUMMYFUNCTION("""COMPUTED_VALUE"""),492.0)</f>
        <v>492</v>
      </c>
      <c r="C64" s="35">
        <v>369.466462973386</v>
      </c>
      <c r="D64" s="35">
        <v>369.466462973386</v>
      </c>
      <c r="E64" s="35">
        <v>268.0</v>
      </c>
      <c r="F64" s="35">
        <v>260.578323530486</v>
      </c>
      <c r="G64" s="35">
        <v>212.894626882461</v>
      </c>
      <c r="H64" s="35">
        <v>541.35505693414</v>
      </c>
      <c r="I64" s="35">
        <v>17.2629299106961</v>
      </c>
      <c r="J64" s="35">
        <v>398.32871868449</v>
      </c>
      <c r="K64" s="42">
        <v>599.0</v>
      </c>
      <c r="L64" s="42">
        <v>259.820390961803</v>
      </c>
      <c r="M64" s="42">
        <v>16.0199993189834</v>
      </c>
      <c r="N64" s="42">
        <v>130.5</v>
      </c>
      <c r="O64" s="35">
        <v>155.283197995123</v>
      </c>
      <c r="P64" s="35">
        <v>334.401156044951</v>
      </c>
      <c r="Q64" s="35">
        <v>672.151381076959</v>
      </c>
      <c r="R64" s="35">
        <v>23655.7294214401</v>
      </c>
      <c r="S64" s="35">
        <v>648.109272742676</v>
      </c>
      <c r="T64" s="35">
        <v>675.811799561383</v>
      </c>
      <c r="U64" s="35">
        <v>390.520301063773</v>
      </c>
      <c r="V64" s="35">
        <v>236.724070136177</v>
      </c>
      <c r="W64" s="24">
        <v>287.084837720482</v>
      </c>
      <c r="X64" s="24">
        <v>272.785615044066</v>
      </c>
      <c r="Y64" s="24">
        <v>745.6</v>
      </c>
      <c r="Z64" s="24">
        <v>272.770178683082</v>
      </c>
      <c r="AA64" s="24"/>
    </row>
    <row r="65">
      <c r="A65" s="8">
        <v>42095.0</v>
      </c>
      <c r="B65" s="9">
        <f>IFERROR(__xludf.DUMMYFUNCTION("""COMPUTED_VALUE"""),154.0)</f>
        <v>154</v>
      </c>
      <c r="C65" s="35">
        <v>245.181244341616</v>
      </c>
      <c r="D65" s="35">
        <v>245.181244341616</v>
      </c>
      <c r="E65" s="35">
        <v>385.0</v>
      </c>
      <c r="F65" s="35">
        <v>271.327227019869</v>
      </c>
      <c r="G65" s="35">
        <v>203.24252306021</v>
      </c>
      <c r="H65" s="35">
        <v>194.565804597701</v>
      </c>
      <c r="I65" s="35">
        <v>187.306993874563</v>
      </c>
      <c r="J65" s="35">
        <v>415.06771982113</v>
      </c>
      <c r="K65" s="42">
        <v>406.0</v>
      </c>
      <c r="L65" s="42">
        <v>467.308999361313</v>
      </c>
      <c r="M65" s="42">
        <v>1251.5</v>
      </c>
      <c r="N65" s="42">
        <v>72.0</v>
      </c>
      <c r="O65" s="35">
        <v>392.012797310435</v>
      </c>
      <c r="P65" s="35">
        <v>251.068505703521</v>
      </c>
      <c r="Q65" s="35">
        <v>53.975708784577</v>
      </c>
      <c r="R65" s="35">
        <v>435.36</v>
      </c>
      <c r="S65" s="35">
        <v>345.472983055913</v>
      </c>
      <c r="T65" s="35">
        <v>128.435364483012</v>
      </c>
      <c r="U65" s="35">
        <v>432.87</v>
      </c>
      <c r="V65" s="35">
        <v>227.26530518465</v>
      </c>
      <c r="W65" s="24">
        <v>290.847852383989</v>
      </c>
      <c r="X65" s="24">
        <v>315.137099951564</v>
      </c>
      <c r="Y65" s="24">
        <v>618.272702198638</v>
      </c>
      <c r="Z65" s="24">
        <v>333.038504472814</v>
      </c>
      <c r="AA65" s="24"/>
    </row>
    <row r="66">
      <c r="A66" s="8">
        <v>42125.0</v>
      </c>
      <c r="B66" s="9">
        <f>IFERROR(__xludf.DUMMYFUNCTION("""COMPUTED_VALUE"""),160.0)</f>
        <v>160</v>
      </c>
      <c r="C66" s="35">
        <v>224.376669664568</v>
      </c>
      <c r="D66" s="35">
        <v>224.376669664568</v>
      </c>
      <c r="E66" s="35">
        <v>358.5</v>
      </c>
      <c r="F66" s="35">
        <v>142.373846340681</v>
      </c>
      <c r="G66" s="35">
        <v>237.840744455712</v>
      </c>
      <c r="H66" s="35">
        <v>231.691666666667</v>
      </c>
      <c r="I66" s="35">
        <v>261.50168239159</v>
      </c>
      <c r="J66" s="35">
        <v>304.354453661111</v>
      </c>
      <c r="K66" s="42">
        <v>358.5</v>
      </c>
      <c r="L66" s="42">
        <v>364.892207407095</v>
      </c>
      <c r="M66" s="42">
        <v>125.668686026015</v>
      </c>
      <c r="N66" s="42">
        <v>95.0</v>
      </c>
      <c r="O66" s="35">
        <v>346.480879978326</v>
      </c>
      <c r="P66" s="35">
        <v>537.21507096481</v>
      </c>
      <c r="Q66" s="35">
        <v>0.0</v>
      </c>
      <c r="R66" s="35">
        <v>460.211856682786</v>
      </c>
      <c r="S66" s="35">
        <v>323.045480092719</v>
      </c>
      <c r="T66" s="35">
        <v>273.394000617159</v>
      </c>
      <c r="U66" s="35">
        <v>696.2</v>
      </c>
      <c r="V66" s="35">
        <v>264.599033606434</v>
      </c>
      <c r="W66" s="24">
        <v>564.307892222889</v>
      </c>
      <c r="X66" s="24">
        <v>498.710392566834</v>
      </c>
      <c r="Y66" s="24">
        <v>152.028904778737</v>
      </c>
      <c r="Z66" s="24">
        <v>309.702908409723</v>
      </c>
      <c r="AA66" s="24"/>
    </row>
    <row r="67">
      <c r="A67" s="8">
        <v>42156.0</v>
      </c>
      <c r="B67" s="9">
        <f>IFERROR(__xludf.DUMMYFUNCTION("""COMPUTED_VALUE"""),149.0)</f>
        <v>149</v>
      </c>
      <c r="C67" s="35">
        <v>235.412578310908</v>
      </c>
      <c r="D67" s="35">
        <v>235.412578310908</v>
      </c>
      <c r="E67" s="35">
        <v>397.5</v>
      </c>
      <c r="F67" s="35">
        <v>89.2442932603134</v>
      </c>
      <c r="G67" s="35">
        <v>320.530993343289</v>
      </c>
      <c r="H67" s="35">
        <v>296.818832731649</v>
      </c>
      <c r="I67" s="35">
        <v>224.861747729464</v>
      </c>
      <c r="J67" s="35">
        <v>445.344128082153</v>
      </c>
      <c r="K67" s="42">
        <v>397.5</v>
      </c>
      <c r="L67" s="42">
        <v>296.190491783786</v>
      </c>
      <c r="M67" s="42">
        <v>45.3098979821321</v>
      </c>
      <c r="N67" s="42">
        <v>92.5</v>
      </c>
      <c r="O67" s="35">
        <v>218.960618782122</v>
      </c>
      <c r="P67" s="35">
        <v>351.387591017883</v>
      </c>
      <c r="Q67" s="35">
        <v>235.459251364604</v>
      </c>
      <c r="R67" s="35">
        <v>10415.1604162058</v>
      </c>
      <c r="S67" s="35">
        <v>310.29408771755</v>
      </c>
      <c r="T67" s="35">
        <v>235.459251364604</v>
      </c>
      <c r="U67" s="35">
        <v>301.427109094928</v>
      </c>
      <c r="V67" s="35">
        <v>737.467080710338</v>
      </c>
      <c r="W67" s="24">
        <v>322.532105408063</v>
      </c>
      <c r="X67" s="24">
        <v>336.107698437868</v>
      </c>
      <c r="Y67" s="24">
        <v>330.862479717229</v>
      </c>
      <c r="Z67" s="24">
        <v>325.066249355812</v>
      </c>
      <c r="AA67" s="24"/>
    </row>
    <row r="68">
      <c r="A68" s="8">
        <v>42186.0</v>
      </c>
      <c r="B68" s="9">
        <f>IFERROR(__xludf.DUMMYFUNCTION("""COMPUTED_VALUE"""),211.0)</f>
        <v>211</v>
      </c>
      <c r="C68" s="35">
        <v>199.998709843891</v>
      </c>
      <c r="D68" s="35">
        <v>199.998709843891</v>
      </c>
      <c r="E68" s="35">
        <v>344.5</v>
      </c>
      <c r="F68" s="35">
        <v>415.950694261649</v>
      </c>
      <c r="G68" s="35">
        <v>340.987482865094</v>
      </c>
      <c r="H68" s="35">
        <v>1092.67200268206</v>
      </c>
      <c r="I68" s="35">
        <v>257.375224405843</v>
      </c>
      <c r="J68" s="35">
        <v>470.911182961404</v>
      </c>
      <c r="K68" s="42">
        <v>344.5</v>
      </c>
      <c r="L68" s="42">
        <v>535.0</v>
      </c>
      <c r="M68" s="42">
        <v>336.5</v>
      </c>
      <c r="N68" s="42">
        <v>236.46436029259</v>
      </c>
      <c r="O68" s="35">
        <v>272.669660612575</v>
      </c>
      <c r="P68" s="35">
        <v>672.005982179862</v>
      </c>
      <c r="Q68" s="35">
        <v>118.511882331354</v>
      </c>
      <c r="R68" s="35">
        <v>252.062847436999</v>
      </c>
      <c r="S68" s="35">
        <v>652.259612508793</v>
      </c>
      <c r="T68" s="35">
        <v>118.511882331354</v>
      </c>
      <c r="U68" s="35">
        <v>1552.1300233865</v>
      </c>
      <c r="V68" s="35">
        <v>1000.8581619188</v>
      </c>
      <c r="W68" s="24">
        <v>323.986643927805</v>
      </c>
      <c r="X68" s="24">
        <v>376.126685978517</v>
      </c>
      <c r="Y68" s="24">
        <v>561.247004718701</v>
      </c>
      <c r="Z68" s="24">
        <v>282.353360993478</v>
      </c>
      <c r="AA68" s="24"/>
    </row>
    <row r="69">
      <c r="A69" s="8">
        <v>42217.0</v>
      </c>
      <c r="B69" s="9">
        <f>IFERROR(__xludf.DUMMYFUNCTION("""COMPUTED_VALUE"""),4583.0)</f>
        <v>4583</v>
      </c>
      <c r="C69" s="35">
        <v>4666.17696797905</v>
      </c>
      <c r="D69" s="35">
        <v>4666.17696797905</v>
      </c>
      <c r="E69" s="35">
        <v>4329.50437299439</v>
      </c>
      <c r="F69" s="35">
        <v>337.846225180643</v>
      </c>
      <c r="G69" s="35">
        <v>696.706841512546</v>
      </c>
      <c r="H69" s="35">
        <v>4804.33089595669</v>
      </c>
      <c r="I69" s="35">
        <v>526.228290697377</v>
      </c>
      <c r="J69" s="35">
        <v>4439.48806985299</v>
      </c>
      <c r="K69" s="42">
        <v>4375.66666666667</v>
      </c>
      <c r="L69" s="42">
        <v>945.0</v>
      </c>
      <c r="M69" s="42">
        <v>4692.0</v>
      </c>
      <c r="N69" s="42">
        <v>4384.5773933821</v>
      </c>
      <c r="O69" s="35">
        <v>4384.96728629162</v>
      </c>
      <c r="P69" s="35">
        <v>3008.47124844452</v>
      </c>
      <c r="Q69" s="35">
        <v>657.0</v>
      </c>
      <c r="R69" s="35">
        <v>181.51520502508</v>
      </c>
      <c r="S69" s="35">
        <v>3895.38988393851</v>
      </c>
      <c r="T69" s="35">
        <v>657.0</v>
      </c>
      <c r="U69" s="35">
        <v>3487.72515952267</v>
      </c>
      <c r="V69" s="35">
        <v>2279.3255079959</v>
      </c>
      <c r="W69" s="24">
        <v>2280.36008338106</v>
      </c>
      <c r="X69" s="24">
        <v>685.681875489395</v>
      </c>
      <c r="Y69" s="24">
        <v>880.391189731582</v>
      </c>
      <c r="Z69" s="24">
        <v>1733.89190875274</v>
      </c>
      <c r="AA69" s="24"/>
    </row>
    <row r="70">
      <c r="A70" s="8">
        <v>42248.0</v>
      </c>
      <c r="B70" s="9">
        <f>IFERROR(__xludf.DUMMYFUNCTION("""COMPUTED_VALUE"""),366.0)</f>
        <v>366</v>
      </c>
      <c r="C70" s="35">
        <v>572.428953151708</v>
      </c>
      <c r="D70" s="35">
        <v>572.428953151708</v>
      </c>
      <c r="E70" s="35">
        <v>425.5</v>
      </c>
      <c r="F70" s="35">
        <v>642.68225655939</v>
      </c>
      <c r="G70" s="35">
        <v>319.566472701706</v>
      </c>
      <c r="H70" s="35">
        <v>2372.15807540069</v>
      </c>
      <c r="I70" s="35">
        <v>905.767389340414</v>
      </c>
      <c r="J70" s="35">
        <v>378.045805046337</v>
      </c>
      <c r="K70" s="42">
        <v>425.5</v>
      </c>
      <c r="L70" s="42">
        <v>470.183892790969</v>
      </c>
      <c r="M70" s="42">
        <v>459.830705612369</v>
      </c>
      <c r="N70" s="42">
        <v>179.0</v>
      </c>
      <c r="O70" s="35">
        <v>340.293734025569</v>
      </c>
      <c r="P70" s="35">
        <v>448.520575434701</v>
      </c>
      <c r="Q70" s="35">
        <v>59.2950539981295</v>
      </c>
      <c r="R70" s="35">
        <v>464.667255275884</v>
      </c>
      <c r="S70" s="35">
        <v>463.129897734024</v>
      </c>
      <c r="T70" s="35">
        <v>103.0</v>
      </c>
      <c r="U70" s="35">
        <v>219.279650728889</v>
      </c>
      <c r="V70" s="35">
        <v>415.33823128863</v>
      </c>
      <c r="W70" s="24">
        <v>644.936781278704</v>
      </c>
      <c r="X70" s="24">
        <v>403.567218157274</v>
      </c>
      <c r="Y70" s="24">
        <v>511.964626161049</v>
      </c>
      <c r="Z70" s="24">
        <v>1409.93606461933</v>
      </c>
      <c r="AA70" s="24"/>
    </row>
    <row r="71">
      <c r="A71" s="8">
        <v>42278.0</v>
      </c>
      <c r="B71" s="9">
        <f>IFERROR(__xludf.DUMMYFUNCTION("""COMPUTED_VALUE"""),959.0)</f>
        <v>959</v>
      </c>
      <c r="C71" s="35">
        <v>245.42347865104</v>
      </c>
      <c r="D71" s="35">
        <v>245.42347865104</v>
      </c>
      <c r="E71" s="35">
        <v>504.0</v>
      </c>
      <c r="F71" s="35">
        <v>733.1001732668</v>
      </c>
      <c r="G71" s="35">
        <v>402.019106099688</v>
      </c>
      <c r="H71" s="35">
        <v>880.344002660435</v>
      </c>
      <c r="I71" s="35">
        <v>946.039930014221</v>
      </c>
      <c r="J71" s="35">
        <v>385.725049304073</v>
      </c>
      <c r="K71" s="42">
        <v>504.0</v>
      </c>
      <c r="L71" s="42">
        <v>672.911852826244</v>
      </c>
      <c r="M71" s="42">
        <v>380.330705612369</v>
      </c>
      <c r="N71" s="42">
        <v>264.241904520804</v>
      </c>
      <c r="O71" s="35">
        <v>333.698662437844</v>
      </c>
      <c r="P71" s="35">
        <v>519.662793905349</v>
      </c>
      <c r="Q71" s="35">
        <v>245.472136472468</v>
      </c>
      <c r="R71" s="35">
        <v>333.081093467095</v>
      </c>
      <c r="S71" s="35">
        <v>416.551874462488</v>
      </c>
      <c r="T71" s="35">
        <v>248.633648406537</v>
      </c>
      <c r="U71" s="35">
        <v>312.268527687669</v>
      </c>
      <c r="V71" s="35">
        <v>707.345578221575</v>
      </c>
      <c r="W71" s="24">
        <v>674.993748022468</v>
      </c>
      <c r="X71" s="24">
        <v>506.793746235312</v>
      </c>
      <c r="Y71" s="24">
        <v>311.291079438582</v>
      </c>
      <c r="Z71" s="24">
        <v>1310.51639844869</v>
      </c>
      <c r="AA71" s="24"/>
    </row>
    <row r="72">
      <c r="A72" s="8">
        <v>42309.0</v>
      </c>
      <c r="B72" s="9">
        <f>IFERROR(__xludf.DUMMYFUNCTION("""COMPUTED_VALUE"""),633.0)</f>
        <v>633</v>
      </c>
      <c r="C72" s="35">
        <v>216.798560490976</v>
      </c>
      <c r="D72" s="35">
        <v>216.798560490976</v>
      </c>
      <c r="E72" s="35">
        <v>504.0</v>
      </c>
      <c r="F72" s="35">
        <v>540.233372147833</v>
      </c>
      <c r="G72" s="35">
        <v>325.383213035513</v>
      </c>
      <c r="H72" s="35">
        <v>762.087346966343</v>
      </c>
      <c r="I72" s="35">
        <v>775.526167482584</v>
      </c>
      <c r="J72" s="35">
        <v>0.0</v>
      </c>
      <c r="K72" s="42">
        <v>504.0</v>
      </c>
      <c r="L72" s="42">
        <v>526.890268822966</v>
      </c>
      <c r="M72" s="42">
        <v>339.830705612369</v>
      </c>
      <c r="N72" s="42">
        <v>277.590177389692</v>
      </c>
      <c r="O72" s="35">
        <v>296.654469460991</v>
      </c>
      <c r="P72" s="35">
        <v>816.711037755924</v>
      </c>
      <c r="Q72" s="35">
        <v>216.84154311717</v>
      </c>
      <c r="R72" s="35">
        <v>328.578052462079</v>
      </c>
      <c r="S72" s="35">
        <v>420.837355994081</v>
      </c>
      <c r="T72" s="35">
        <v>271.5</v>
      </c>
      <c r="U72" s="35">
        <v>254.12822139905</v>
      </c>
      <c r="V72" s="35">
        <v>414.33823128863</v>
      </c>
      <c r="W72" s="24">
        <v>677.413845332913</v>
      </c>
      <c r="X72" s="24">
        <v>644.193746235312</v>
      </c>
      <c r="Y72" s="24">
        <v>185.0</v>
      </c>
      <c r="Z72" s="24">
        <v>762.749178639097</v>
      </c>
      <c r="AA72" s="24"/>
    </row>
    <row r="73">
      <c r="A73" s="8">
        <v>42339.0</v>
      </c>
      <c r="B73" s="9">
        <f>IFERROR(__xludf.DUMMYFUNCTION("""COMPUTED_VALUE"""),423.0)</f>
        <v>423</v>
      </c>
      <c r="C73" s="35">
        <v>523.426747879228</v>
      </c>
      <c r="D73" s="35">
        <v>523.426747879228</v>
      </c>
      <c r="E73" s="35">
        <v>638.0</v>
      </c>
      <c r="F73" s="35">
        <v>165.094321894515</v>
      </c>
      <c r="G73" s="35">
        <v>408.548767123949</v>
      </c>
      <c r="H73" s="35">
        <v>830.087346966343</v>
      </c>
      <c r="I73" s="35">
        <v>166.66619721222</v>
      </c>
      <c r="J73" s="35">
        <v>392.354118407696</v>
      </c>
      <c r="K73" s="42">
        <v>638.0</v>
      </c>
      <c r="L73" s="42">
        <v>445.778354673623</v>
      </c>
      <c r="M73" s="42">
        <v>866.5</v>
      </c>
      <c r="N73" s="42">
        <v>269.0</v>
      </c>
      <c r="O73" s="35">
        <v>498.008105043989</v>
      </c>
      <c r="P73" s="35">
        <v>596.153130365228</v>
      </c>
      <c r="Q73" s="35">
        <v>535.53290194089</v>
      </c>
      <c r="R73" s="35">
        <v>255.028382713483</v>
      </c>
      <c r="S73" s="35">
        <v>535.528373513728</v>
      </c>
      <c r="T73" s="35">
        <v>535.53290194089</v>
      </c>
      <c r="U73" s="35">
        <v>550.362122546139</v>
      </c>
      <c r="V73" s="35">
        <v>765.429562021933</v>
      </c>
      <c r="W73" s="24">
        <v>431.420618371341</v>
      </c>
      <c r="X73" s="24">
        <v>689.193746235312</v>
      </c>
      <c r="Y73" s="24">
        <v>238.268551622369</v>
      </c>
      <c r="Z73" s="24">
        <v>758.91697560726</v>
      </c>
      <c r="AA73" s="24"/>
    </row>
    <row r="74">
      <c r="A74" s="8">
        <v>42370.0</v>
      </c>
      <c r="B74" s="9">
        <f>IFERROR(__xludf.DUMMYFUNCTION("""COMPUTED_VALUE"""),8985.0)</f>
        <v>8985</v>
      </c>
      <c r="C74" s="35">
        <v>8976.71885209</v>
      </c>
      <c r="D74" s="35">
        <v>8976.71885209</v>
      </c>
      <c r="E74" s="35">
        <v>8798.16027079141</v>
      </c>
      <c r="F74" s="35">
        <v>234.35037784567</v>
      </c>
      <c r="G74" s="35">
        <v>2742.66463080263</v>
      </c>
      <c r="H74" s="35">
        <v>8985.00008382542</v>
      </c>
      <c r="I74" s="35">
        <v>9871.61784547806</v>
      </c>
      <c r="J74" s="35">
        <v>8988.21005250423</v>
      </c>
      <c r="K74" s="42">
        <v>8937.84387944219</v>
      </c>
      <c r="L74" s="42">
        <v>8973.73832621663</v>
      </c>
      <c r="M74" s="42">
        <v>9005.48656779751</v>
      </c>
      <c r="N74" s="42">
        <v>260.772851417863</v>
      </c>
      <c r="O74" s="35">
        <v>8355.42082169919</v>
      </c>
      <c r="P74" s="35">
        <v>11261.2581088819</v>
      </c>
      <c r="Q74" s="35">
        <v>8984.99987100945</v>
      </c>
      <c r="R74" s="35">
        <v>984.673732694588</v>
      </c>
      <c r="S74" s="35">
        <v>8984.92389450582</v>
      </c>
      <c r="T74" s="35">
        <v>8984.99987100944</v>
      </c>
      <c r="U74" s="35">
        <v>8798.13546533005</v>
      </c>
      <c r="V74" s="35">
        <v>445.854787923045</v>
      </c>
      <c r="W74" s="24">
        <v>8607.04268140045</v>
      </c>
      <c r="X74" s="24">
        <v>9059.8</v>
      </c>
      <c r="Y74" s="24">
        <v>8599.575</v>
      </c>
      <c r="Z74" s="24">
        <v>8746.5508428121</v>
      </c>
      <c r="AA74" s="24"/>
    </row>
    <row r="75">
      <c r="A75" s="8">
        <v>42401.0</v>
      </c>
      <c r="B75" s="9">
        <f>IFERROR(__xludf.DUMMYFUNCTION("""COMPUTED_VALUE"""),593.0)</f>
        <v>593</v>
      </c>
      <c r="C75" s="35">
        <v>1158.66993298202</v>
      </c>
      <c r="D75" s="35">
        <v>1158.66993298202</v>
      </c>
      <c r="E75" s="35">
        <v>731.0</v>
      </c>
      <c r="F75" s="35">
        <v>388.542402835368</v>
      </c>
      <c r="G75" s="35">
        <v>1567.88028307889</v>
      </c>
      <c r="H75" s="35">
        <v>1246.91712812273</v>
      </c>
      <c r="I75" s="35">
        <v>1086.39324792722</v>
      </c>
      <c r="J75" s="35">
        <v>1234.22590714969</v>
      </c>
      <c r="K75" s="42">
        <v>731.0</v>
      </c>
      <c r="L75" s="42">
        <v>489.153679011826</v>
      </c>
      <c r="M75" s="42">
        <v>1190.21135199976</v>
      </c>
      <c r="N75" s="42">
        <v>229.0</v>
      </c>
      <c r="O75" s="35">
        <v>1159.54560245416</v>
      </c>
      <c r="P75" s="35">
        <v>953.010093325938</v>
      </c>
      <c r="Q75" s="35">
        <v>1246.91709858863</v>
      </c>
      <c r="R75" s="35">
        <v>479.644954572433</v>
      </c>
      <c r="S75" s="35">
        <v>1246.90655474859</v>
      </c>
      <c r="T75" s="35">
        <v>1256.27708652655</v>
      </c>
      <c r="U75" s="35">
        <v>555.564159127294</v>
      </c>
      <c r="V75" s="35">
        <v>561.007346932945</v>
      </c>
      <c r="W75" s="24">
        <v>503.610516838403</v>
      </c>
      <c r="X75" s="24">
        <v>659.618091004701</v>
      </c>
      <c r="Y75" s="24">
        <v>264.0</v>
      </c>
      <c r="Z75" s="24">
        <v>340.003480557098</v>
      </c>
      <c r="AA75" s="24"/>
    </row>
    <row r="76">
      <c r="A76" s="8">
        <v>42430.0</v>
      </c>
      <c r="B76" s="9">
        <f>IFERROR(__xludf.DUMMYFUNCTION("""COMPUTED_VALUE"""),665.0)</f>
        <v>665</v>
      </c>
      <c r="C76" s="35">
        <v>576.814726878536</v>
      </c>
      <c r="D76" s="35">
        <v>576.814726878536</v>
      </c>
      <c r="E76" s="35">
        <v>705.0</v>
      </c>
      <c r="F76" s="35">
        <v>386.041250177396</v>
      </c>
      <c r="G76" s="35">
        <v>1767.79696654276</v>
      </c>
      <c r="H76" s="35">
        <v>762.101250639151</v>
      </c>
      <c r="I76" s="35">
        <v>219.480359115892</v>
      </c>
      <c r="J76" s="35">
        <v>670.081647784802</v>
      </c>
      <c r="K76" s="42">
        <v>705.0</v>
      </c>
      <c r="L76" s="42">
        <v>454.558524148699</v>
      </c>
      <c r="M76" s="42">
        <v>527.762869295248</v>
      </c>
      <c r="N76" s="42">
        <v>301.985705715835</v>
      </c>
      <c r="O76" s="35">
        <v>524.414319202764</v>
      </c>
      <c r="P76" s="35">
        <v>403.37466923793</v>
      </c>
      <c r="Q76" s="35">
        <v>563.928818301472</v>
      </c>
      <c r="R76" s="35">
        <v>381.113530853933</v>
      </c>
      <c r="S76" s="35">
        <v>563.924049760512</v>
      </c>
      <c r="T76" s="35">
        <v>563.928818301471</v>
      </c>
      <c r="U76" s="35">
        <v>651.271770586491</v>
      </c>
      <c r="V76" s="35">
        <v>1027.58196324814</v>
      </c>
      <c r="W76" s="24">
        <v>420.006419041158</v>
      </c>
      <c r="X76" s="24">
        <v>653.286553757345</v>
      </c>
      <c r="Y76" s="24">
        <v>431.118230599766</v>
      </c>
      <c r="Z76" s="24">
        <v>1154.20317449008</v>
      </c>
      <c r="AA76" s="24"/>
    </row>
    <row r="77">
      <c r="A77" s="8">
        <v>42461.0</v>
      </c>
      <c r="B77" s="9">
        <f>IFERROR(__xludf.DUMMYFUNCTION("""COMPUTED_VALUE"""),453.0)</f>
        <v>453</v>
      </c>
      <c r="C77" s="35">
        <v>453.540711503307</v>
      </c>
      <c r="D77" s="35">
        <v>453.540711503307</v>
      </c>
      <c r="E77" s="35">
        <v>629.0</v>
      </c>
      <c r="F77" s="35">
        <v>235.046728315229</v>
      </c>
      <c r="G77" s="35">
        <v>408.147460201521</v>
      </c>
      <c r="H77" s="35">
        <v>990.087346966343</v>
      </c>
      <c r="I77" s="35">
        <v>42.2786378854408</v>
      </c>
      <c r="J77" s="35">
        <v>483.673476887726</v>
      </c>
      <c r="K77" s="42">
        <v>629.0</v>
      </c>
      <c r="L77" s="42">
        <v>723.288107285495</v>
      </c>
      <c r="M77" s="42">
        <v>385.807473048373</v>
      </c>
      <c r="N77" s="42">
        <v>237.0</v>
      </c>
      <c r="O77" s="35">
        <v>421.844727015789</v>
      </c>
      <c r="P77" s="35">
        <v>102.484916594294</v>
      </c>
      <c r="Q77" s="35">
        <v>453.630630785163</v>
      </c>
      <c r="R77" s="35">
        <v>346.066902110354</v>
      </c>
      <c r="S77" s="35">
        <v>453.626794917632</v>
      </c>
      <c r="T77" s="35">
        <v>453.630630785162</v>
      </c>
      <c r="U77" s="35">
        <v>437.862393900827</v>
      </c>
      <c r="V77" s="35">
        <v>905.270269563344</v>
      </c>
      <c r="W77" s="24">
        <v>341.862796733724</v>
      </c>
      <c r="X77" s="24">
        <v>432.85590641892</v>
      </c>
      <c r="Y77" s="24">
        <v>427.652512211954</v>
      </c>
      <c r="Z77" s="24">
        <v>595.20284414679</v>
      </c>
      <c r="AA77" s="24"/>
    </row>
    <row r="78">
      <c r="A78" s="8">
        <v>42491.0</v>
      </c>
      <c r="B78" s="9">
        <f>IFERROR(__xludf.DUMMYFUNCTION("""COMPUTED_VALUE"""),1302.0)</f>
        <v>1302</v>
      </c>
      <c r="C78" s="35">
        <v>247.66</v>
      </c>
      <c r="D78" s="35">
        <v>247.66</v>
      </c>
      <c r="E78" s="35">
        <v>722.0</v>
      </c>
      <c r="F78" s="35">
        <v>776.77597932533</v>
      </c>
      <c r="G78" s="35">
        <v>607.319854414871</v>
      </c>
      <c r="H78" s="35">
        <v>1125.97200268206</v>
      </c>
      <c r="I78" s="35">
        <v>282.431511021444</v>
      </c>
      <c r="J78" s="35">
        <v>762.349362391253</v>
      </c>
      <c r="K78" s="42">
        <v>722.0</v>
      </c>
      <c r="L78" s="42">
        <v>669.349189209584</v>
      </c>
      <c r="M78" s="42">
        <v>537.807473048373</v>
      </c>
      <c r="N78" s="42">
        <v>387.561325239951</v>
      </c>
      <c r="O78" s="35">
        <v>408.771486770935</v>
      </c>
      <c r="P78" s="35">
        <v>455.231499323814</v>
      </c>
      <c r="Q78" s="35">
        <v>392.0</v>
      </c>
      <c r="R78" s="35">
        <v>906.241567221703</v>
      </c>
      <c r="S78" s="35">
        <v>721.417008544467</v>
      </c>
      <c r="T78" s="35">
        <v>611.947696643088</v>
      </c>
      <c r="U78" s="35">
        <v>367.0</v>
      </c>
      <c r="V78" s="35">
        <v>1365.99805294393</v>
      </c>
      <c r="W78" s="24">
        <v>536.626835056057</v>
      </c>
      <c r="X78" s="24">
        <v>601.880251188309</v>
      </c>
      <c r="Y78" s="24">
        <v>564.300616025545</v>
      </c>
      <c r="Z78" s="24">
        <v>621.383349949785</v>
      </c>
      <c r="AA78" s="24"/>
    </row>
    <row r="79">
      <c r="A79" s="8">
        <v>42522.0</v>
      </c>
      <c r="B79" s="9">
        <f>IFERROR(__xludf.DUMMYFUNCTION("""COMPUTED_VALUE"""),258.0)</f>
        <v>258</v>
      </c>
      <c r="C79" s="35">
        <v>213.696</v>
      </c>
      <c r="D79" s="35">
        <v>213.696</v>
      </c>
      <c r="E79" s="35">
        <v>844.5</v>
      </c>
      <c r="F79" s="35">
        <v>281.174615846393</v>
      </c>
      <c r="G79" s="35">
        <v>741.949231682678</v>
      </c>
      <c r="H79" s="35">
        <v>829.891602061837</v>
      </c>
      <c r="I79" s="35">
        <v>47.9723873445508</v>
      </c>
      <c r="J79" s="35">
        <v>763.286943572957</v>
      </c>
      <c r="K79" s="42">
        <v>844.5</v>
      </c>
      <c r="L79" s="42">
        <v>805.700282792746</v>
      </c>
      <c r="M79" s="42">
        <v>567.038382015461</v>
      </c>
      <c r="N79" s="42">
        <v>230.0</v>
      </c>
      <c r="O79" s="35">
        <v>428.263973584832</v>
      </c>
      <c r="P79" s="35">
        <v>440.469541652949</v>
      </c>
      <c r="Q79" s="35">
        <v>393.0</v>
      </c>
      <c r="R79" s="35">
        <v>567.113530853933</v>
      </c>
      <c r="S79" s="35">
        <v>609.840071458831</v>
      </c>
      <c r="T79" s="35">
        <v>488.911922570237</v>
      </c>
      <c r="U79" s="35">
        <v>415.0</v>
      </c>
      <c r="V79" s="35">
        <v>1157.1390732483</v>
      </c>
      <c r="W79" s="24">
        <v>426.54186837016</v>
      </c>
      <c r="X79" s="24">
        <v>572.991507687778</v>
      </c>
      <c r="Y79" s="24">
        <v>296.165230206422</v>
      </c>
      <c r="Z79" s="24">
        <v>597.960358969589</v>
      </c>
      <c r="AA79" s="24"/>
    </row>
    <row r="80">
      <c r="A80" s="8">
        <v>42552.0</v>
      </c>
      <c r="B80" s="9">
        <f>IFERROR(__xludf.DUMMYFUNCTION("""COMPUTED_VALUE"""),1383.0)</f>
        <v>1383</v>
      </c>
      <c r="C80" s="35">
        <v>318.56928699284</v>
      </c>
      <c r="D80" s="35">
        <v>318.56928699284</v>
      </c>
      <c r="E80" s="35">
        <v>692.5</v>
      </c>
      <c r="F80" s="35">
        <v>1203.04389536062</v>
      </c>
      <c r="G80" s="35">
        <v>597.276453198367</v>
      </c>
      <c r="H80" s="35">
        <v>768.058231310896</v>
      </c>
      <c r="I80" s="35">
        <v>524.898994113948</v>
      </c>
      <c r="J80" s="35">
        <v>618.491386797372</v>
      </c>
      <c r="K80" s="42">
        <v>811.5</v>
      </c>
      <c r="L80" s="42">
        <v>689.884696847009</v>
      </c>
      <c r="M80" s="42">
        <v>674.038382015461</v>
      </c>
      <c r="N80" s="42">
        <v>270.240890144394</v>
      </c>
      <c r="O80" s="35">
        <v>396.43041831986</v>
      </c>
      <c r="P80" s="35">
        <v>264.272950934038</v>
      </c>
      <c r="Q80" s="35">
        <v>1427.06366852391</v>
      </c>
      <c r="R80" s="35">
        <v>622.210843014448</v>
      </c>
      <c r="S80" s="35">
        <v>760.704662447859</v>
      </c>
      <c r="T80" s="35">
        <v>1333.43618895781</v>
      </c>
      <c r="U80" s="35">
        <v>-57.0</v>
      </c>
      <c r="V80" s="35">
        <v>1529.6985033761</v>
      </c>
      <c r="W80" s="24">
        <v>1151.84815508846</v>
      </c>
      <c r="X80" s="24">
        <v>838.423070911429</v>
      </c>
      <c r="Y80" s="24">
        <v>593.196186265143</v>
      </c>
      <c r="Z80" s="24">
        <v>321.363308145034</v>
      </c>
      <c r="AA80" s="24"/>
    </row>
    <row r="81">
      <c r="A81" s="8">
        <v>42583.0</v>
      </c>
      <c r="B81" s="9">
        <f>IFERROR(__xludf.DUMMYFUNCTION("""COMPUTED_VALUE"""),1077.0)</f>
        <v>1077</v>
      </c>
      <c r="C81" s="35">
        <v>715.406314168378</v>
      </c>
      <c r="D81" s="35">
        <v>715.406314168378</v>
      </c>
      <c r="E81" s="35">
        <v>715.5</v>
      </c>
      <c r="F81" s="35">
        <v>811.893134297452</v>
      </c>
      <c r="G81" s="35">
        <v>929.573686118018</v>
      </c>
      <c r="H81" s="35">
        <v>472.569275795991</v>
      </c>
      <c r="I81" s="35">
        <v>737.116865996574</v>
      </c>
      <c r="J81" s="35">
        <v>803.828977947131</v>
      </c>
      <c r="K81" s="42">
        <v>737.5</v>
      </c>
      <c r="L81" s="42">
        <v>949.46068326398</v>
      </c>
      <c r="M81" s="42">
        <v>741.857371371013</v>
      </c>
      <c r="N81" s="42">
        <v>361.0</v>
      </c>
      <c r="O81" s="35">
        <v>760.17435022622</v>
      </c>
      <c r="P81" s="35">
        <v>441.921206578887</v>
      </c>
      <c r="Q81" s="35">
        <v>1158.34357236842</v>
      </c>
      <c r="R81" s="35">
        <v>624.665227939206</v>
      </c>
      <c r="S81" s="35">
        <v>689.986885421752</v>
      </c>
      <c r="T81" s="35">
        <v>1257.50705148313</v>
      </c>
      <c r="U81" s="35">
        <v>382.0</v>
      </c>
      <c r="V81" s="35">
        <v>1330.61654285286</v>
      </c>
      <c r="W81" s="24">
        <v>1390.77518943927</v>
      </c>
      <c r="X81" s="24">
        <v>706.360000631764</v>
      </c>
      <c r="Y81" s="24">
        <v>555.553710324474</v>
      </c>
      <c r="Z81" s="24">
        <v>1113.97455226347</v>
      </c>
      <c r="AA81" s="24"/>
    </row>
    <row r="82">
      <c r="A82" s="8">
        <v>42614.0</v>
      </c>
      <c r="B82" s="9">
        <f>IFERROR(__xludf.DUMMYFUNCTION("""COMPUTED_VALUE"""),538.0)</f>
        <v>538</v>
      </c>
      <c r="C82" s="35">
        <v>374.364899580227</v>
      </c>
      <c r="D82" s="35">
        <v>374.364899580227</v>
      </c>
      <c r="E82" s="35">
        <v>542.5</v>
      </c>
      <c r="F82" s="35">
        <v>565.98066693535</v>
      </c>
      <c r="G82" s="35">
        <v>396.42994641701</v>
      </c>
      <c r="H82" s="35">
        <v>1671.76676536435</v>
      </c>
      <c r="I82" s="35">
        <v>445.756606122633</v>
      </c>
      <c r="J82" s="35">
        <v>558.516184277523</v>
      </c>
      <c r="K82" s="42">
        <v>542.5</v>
      </c>
      <c r="L82" s="42">
        <v>617.470418355633</v>
      </c>
      <c r="M82" s="42">
        <v>439.807473048373</v>
      </c>
      <c r="N82" s="42">
        <v>456.0</v>
      </c>
      <c r="O82" s="35">
        <v>445.937349392333</v>
      </c>
      <c r="P82" s="35">
        <v>653.822717652842</v>
      </c>
      <c r="Q82" s="35">
        <v>700.262286922268</v>
      </c>
      <c r="R82" s="35">
        <v>663.26</v>
      </c>
      <c r="S82" s="35">
        <v>398.980368306352</v>
      </c>
      <c r="T82" s="35">
        <v>833.575305355884</v>
      </c>
      <c r="U82" s="35">
        <v>253.0</v>
      </c>
      <c r="V82" s="35">
        <v>828.203230595569</v>
      </c>
      <c r="W82" s="24">
        <v>463.986426608333</v>
      </c>
      <c r="X82" s="24">
        <v>556.125740638221</v>
      </c>
      <c r="Y82" s="24">
        <v>412.806067967949</v>
      </c>
      <c r="Z82" s="24">
        <v>311.597545315446</v>
      </c>
      <c r="AA82" s="24"/>
    </row>
    <row r="83">
      <c r="A83" s="8">
        <v>42644.0</v>
      </c>
      <c r="B83" s="9">
        <f>IFERROR(__xludf.DUMMYFUNCTION("""COMPUTED_VALUE"""),483.0)</f>
        <v>483</v>
      </c>
      <c r="C83" s="35">
        <v>634.36528827316</v>
      </c>
      <c r="D83" s="35">
        <v>634.36528827316</v>
      </c>
      <c r="E83" s="35">
        <v>495.5</v>
      </c>
      <c r="F83" s="35">
        <v>568.749241020721</v>
      </c>
      <c r="G83" s="35">
        <v>370.971727201362</v>
      </c>
      <c r="H83" s="35">
        <v>419.333289533449</v>
      </c>
      <c r="I83" s="35">
        <v>407.555340609843</v>
      </c>
      <c r="J83" s="35">
        <v>758.889936673044</v>
      </c>
      <c r="K83" s="42">
        <v>495.5</v>
      </c>
      <c r="L83" s="42">
        <v>429.202473497572</v>
      </c>
      <c r="M83" s="42">
        <v>438.292523546544</v>
      </c>
      <c r="N83" s="42">
        <v>232.0</v>
      </c>
      <c r="O83" s="35">
        <v>474.848982070659</v>
      </c>
      <c r="P83" s="35">
        <v>287.589646889026</v>
      </c>
      <c r="Q83" s="35">
        <v>94.6927480777554</v>
      </c>
      <c r="R83" s="35">
        <v>474.576025125402</v>
      </c>
      <c r="S83" s="35">
        <v>392.69434368181</v>
      </c>
      <c r="T83" s="35">
        <v>0.0</v>
      </c>
      <c r="U83" s="35">
        <v>249.0</v>
      </c>
      <c r="V83" s="35">
        <v>775.679685339539</v>
      </c>
      <c r="W83" s="24">
        <v>442.714549296954</v>
      </c>
      <c r="X83" s="24">
        <v>490.390594950794</v>
      </c>
      <c r="Y83" s="24">
        <v>281.0</v>
      </c>
      <c r="Z83" s="24">
        <v>644.869399428808</v>
      </c>
      <c r="AA83" s="24"/>
    </row>
    <row r="84">
      <c r="A84" s="8">
        <v>42675.0</v>
      </c>
      <c r="B84" s="9">
        <f>IFERROR(__xludf.DUMMYFUNCTION("""COMPUTED_VALUE"""),1116.0)</f>
        <v>1116</v>
      </c>
      <c r="C84" s="35">
        <v>830.96097459026</v>
      </c>
      <c r="D84" s="35">
        <v>830.96097459026</v>
      </c>
      <c r="E84" s="35">
        <v>544.0</v>
      </c>
      <c r="F84" s="35">
        <v>13.0871271074034</v>
      </c>
      <c r="G84" s="35">
        <v>856.751654176623</v>
      </c>
      <c r="H84" s="35">
        <v>571.998608623052</v>
      </c>
      <c r="I84" s="35">
        <v>65.0982103403414</v>
      </c>
      <c r="J84" s="35">
        <v>713.001426512732</v>
      </c>
      <c r="K84" s="42">
        <v>544.0</v>
      </c>
      <c r="L84" s="42">
        <v>446.765346194366</v>
      </c>
      <c r="M84" s="42">
        <v>611.857371371013</v>
      </c>
      <c r="N84" s="42">
        <v>351.0</v>
      </c>
      <c r="O84" s="35">
        <v>457.557733785336</v>
      </c>
      <c r="P84" s="35">
        <v>805.877706015305</v>
      </c>
      <c r="Q84" s="35">
        <v>370.0</v>
      </c>
      <c r="R84" s="35">
        <v>725.36158870314</v>
      </c>
      <c r="S84" s="35">
        <v>501.978739027502</v>
      </c>
      <c r="T84" s="35">
        <v>525.0</v>
      </c>
      <c r="U84" s="35">
        <v>378.0</v>
      </c>
      <c r="V84" s="35">
        <v>837.345477878741</v>
      </c>
      <c r="W84" s="24">
        <v>489.37562509018</v>
      </c>
      <c r="X84" s="24">
        <v>548.066731739131</v>
      </c>
      <c r="Y84" s="24">
        <v>480.470436175307</v>
      </c>
      <c r="Z84" s="24">
        <v>475.627196704036</v>
      </c>
      <c r="AA84" s="24"/>
    </row>
    <row r="85">
      <c r="A85" s="8">
        <v>42705.0</v>
      </c>
      <c r="B85" s="9">
        <f>IFERROR(__xludf.DUMMYFUNCTION("""COMPUTED_VALUE"""),784.0)</f>
        <v>784</v>
      </c>
      <c r="C85" s="35">
        <v>575.848421052632</v>
      </c>
      <c r="D85" s="35">
        <v>575.848421052632</v>
      </c>
      <c r="E85" s="35">
        <v>495.5</v>
      </c>
      <c r="F85" s="35">
        <v>814.319596031184</v>
      </c>
      <c r="G85" s="35">
        <v>370.971727201362</v>
      </c>
      <c r="H85" s="35">
        <v>705.471536162379</v>
      </c>
      <c r="I85" s="35">
        <v>734.149497375427</v>
      </c>
      <c r="J85" s="35">
        <v>715.225444556211</v>
      </c>
      <c r="K85" s="42">
        <v>495.5</v>
      </c>
      <c r="L85" s="42">
        <v>435.724952433709</v>
      </c>
      <c r="M85" s="42">
        <v>993.857371371013</v>
      </c>
      <c r="N85" s="42">
        <v>-853.0</v>
      </c>
      <c r="O85" s="35">
        <v>2218.16839867101</v>
      </c>
      <c r="P85" s="35">
        <v>9456.0435713805</v>
      </c>
      <c r="Q85" s="35">
        <v>383.559543182206</v>
      </c>
      <c r="R85" s="35">
        <v>989.470342109152</v>
      </c>
      <c r="S85" s="35">
        <v>1140.0102384186</v>
      </c>
      <c r="T85" s="35">
        <v>435.075609925161</v>
      </c>
      <c r="U85" s="35">
        <v>1051.8</v>
      </c>
      <c r="V85" s="35">
        <v>2774.45454609442</v>
      </c>
      <c r="W85" s="24">
        <v>1218.98694492786</v>
      </c>
      <c r="X85" s="24">
        <v>578.590594950794</v>
      </c>
      <c r="Y85" s="24">
        <v>500.999789852267</v>
      </c>
      <c r="Z85" s="24">
        <v>404.819509063089</v>
      </c>
      <c r="AA85" s="24"/>
    </row>
    <row r="86">
      <c r="A86" s="8">
        <v>42736.0</v>
      </c>
      <c r="B86" s="9">
        <f>IFERROR(__xludf.DUMMYFUNCTION("""COMPUTED_VALUE"""),5463.0)</f>
        <v>5463</v>
      </c>
      <c r="C86" s="35">
        <v>6110.3104514956</v>
      </c>
      <c r="D86" s="35">
        <v>6110.3104514956</v>
      </c>
      <c r="E86" s="35">
        <v>5025.89692412686</v>
      </c>
      <c r="F86" s="35">
        <v>679.595566544592</v>
      </c>
      <c r="G86" s="35">
        <v>9603.91001930434</v>
      </c>
      <c r="H86" s="35">
        <v>6111.3802154698</v>
      </c>
      <c r="I86" s="35">
        <v>5972.40742576824</v>
      </c>
      <c r="J86" s="35">
        <v>5264.72544707927</v>
      </c>
      <c r="K86" s="42">
        <v>3553.95367290571</v>
      </c>
      <c r="L86" s="42">
        <v>6179.0</v>
      </c>
      <c r="M86" s="42">
        <v>5984.18597082692</v>
      </c>
      <c r="N86" s="42">
        <v>393.0</v>
      </c>
      <c r="O86" s="35">
        <v>5683.15559546621</v>
      </c>
      <c r="P86" s="35">
        <v>2751.12542410737</v>
      </c>
      <c r="Q86" s="35">
        <v>6111.38007071751</v>
      </c>
      <c r="R86" s="35">
        <v>842.900398993783</v>
      </c>
      <c r="S86" s="35">
        <v>6111.32839333334</v>
      </c>
      <c r="T86" s="35">
        <v>6111.3800707175</v>
      </c>
      <c r="U86" s="35">
        <v>6036.7252152961</v>
      </c>
      <c r="V86" s="35">
        <v>2357.85112162896</v>
      </c>
      <c r="W86" s="24">
        <v>5391.49618965767</v>
      </c>
      <c r="X86" s="24">
        <v>5164.06673173913</v>
      </c>
      <c r="Y86" s="24">
        <v>5436.13976806876</v>
      </c>
      <c r="Z86" s="24">
        <v>1576.95540868295</v>
      </c>
      <c r="AA86" s="24"/>
    </row>
    <row r="87">
      <c r="A87" s="8">
        <v>42767.0</v>
      </c>
      <c r="B87" s="9">
        <f>IFERROR(__xludf.DUMMYFUNCTION("""COMPUTED_VALUE"""),8801.0)</f>
        <v>8801</v>
      </c>
      <c r="C87" s="35">
        <v>8979.81358349576</v>
      </c>
      <c r="D87" s="35">
        <v>8979.81358349576</v>
      </c>
      <c r="E87" s="35">
        <v>640.0</v>
      </c>
      <c r="F87" s="35">
        <v>-207.220183144303</v>
      </c>
      <c r="G87" s="35">
        <v>558.987573792541</v>
      </c>
      <c r="H87" s="35">
        <v>8948.0</v>
      </c>
      <c r="I87" s="35">
        <v>5032.34276026055</v>
      </c>
      <c r="J87" s="35">
        <v>8742.94535717198</v>
      </c>
      <c r="K87" s="42">
        <v>640.0</v>
      </c>
      <c r="L87" s="42">
        <v>2793.28416797299</v>
      </c>
      <c r="M87" s="42">
        <v>9001.98397581735</v>
      </c>
      <c r="N87" s="42">
        <v>48.0</v>
      </c>
      <c r="O87" s="35">
        <v>17066.704060379</v>
      </c>
      <c r="P87" s="35">
        <v>8584.43901992284</v>
      </c>
      <c r="Q87" s="35">
        <v>8664.12460159587</v>
      </c>
      <c r="R87" s="35">
        <v>8653.56301184273</v>
      </c>
      <c r="S87" s="35">
        <v>9070.25716684443</v>
      </c>
      <c r="T87" s="35">
        <v>8742.90182483136</v>
      </c>
      <c r="U87" s="35">
        <v>7590.04</v>
      </c>
      <c r="V87" s="35">
        <v>15803.5762373882</v>
      </c>
      <c r="W87" s="24">
        <v>8832.19508785825</v>
      </c>
      <c r="X87" s="24">
        <v>8883.50900317782</v>
      </c>
      <c r="Y87" s="24">
        <v>8558.11511697928</v>
      </c>
      <c r="Z87" s="24">
        <v>8574.24650082841</v>
      </c>
      <c r="AA87" s="24"/>
    </row>
    <row r="88">
      <c r="A88" s="8">
        <v>42795.0</v>
      </c>
      <c r="B88" s="9">
        <f>IFERROR(__xludf.DUMMYFUNCTION("""COMPUTED_VALUE"""),2611.0)</f>
        <v>2611</v>
      </c>
      <c r="C88" s="35">
        <v>935.623858022009</v>
      </c>
      <c r="D88" s="35">
        <v>935.623858022009</v>
      </c>
      <c r="E88" s="35">
        <v>544.0</v>
      </c>
      <c r="F88" s="35">
        <v>1368.85115206028</v>
      </c>
      <c r="G88" s="35">
        <v>880.811797019199</v>
      </c>
      <c r="H88" s="35">
        <v>2762.19358524717</v>
      </c>
      <c r="I88" s="35">
        <v>2854.2581086293</v>
      </c>
      <c r="J88" s="35">
        <v>2324.62221815983</v>
      </c>
      <c r="K88" s="42">
        <v>544.0</v>
      </c>
      <c r="L88" s="42">
        <v>422.971483435007</v>
      </c>
      <c r="M88" s="42">
        <v>2048.00527498465</v>
      </c>
      <c r="N88" s="42">
        <v>3322.30583168228</v>
      </c>
      <c r="O88" s="35">
        <v>4266.97856323777</v>
      </c>
      <c r="P88" s="35">
        <v>2251.52285649525</v>
      </c>
      <c r="Q88" s="35">
        <v>1936.25</v>
      </c>
      <c r="R88" s="35">
        <v>2337.40291698075</v>
      </c>
      <c r="S88" s="35">
        <v>2724.79590206346</v>
      </c>
      <c r="T88" s="35">
        <v>1998.0</v>
      </c>
      <c r="U88" s="35">
        <v>476.0</v>
      </c>
      <c r="V88" s="35">
        <v>1987.9928178601</v>
      </c>
      <c r="W88" s="24">
        <v>2468.23914325689</v>
      </c>
      <c r="X88" s="24">
        <v>2232.65628108111</v>
      </c>
      <c r="Y88" s="24">
        <v>2301.20901834131</v>
      </c>
      <c r="Z88" s="24">
        <v>451.348708451053</v>
      </c>
      <c r="AA88" s="24"/>
    </row>
    <row r="89">
      <c r="A89" s="8">
        <v>42826.0</v>
      </c>
      <c r="B89" s="9">
        <f>IFERROR(__xludf.DUMMYFUNCTION("""COMPUTED_VALUE"""),463.0)</f>
        <v>463</v>
      </c>
      <c r="C89" s="35">
        <v>1142.8710451313</v>
      </c>
      <c r="D89" s="35">
        <v>1142.8710451313</v>
      </c>
      <c r="E89" s="35">
        <v>544.0</v>
      </c>
      <c r="F89" s="35">
        <v>1051.06941394386</v>
      </c>
      <c r="G89" s="35">
        <v>716.173123721609</v>
      </c>
      <c r="H89" s="35">
        <v>1418.03894255352</v>
      </c>
      <c r="I89" s="35">
        <v>2098.69090915605</v>
      </c>
      <c r="J89" s="35">
        <v>1391.18369911327</v>
      </c>
      <c r="K89" s="42">
        <v>544.0</v>
      </c>
      <c r="L89" s="42">
        <v>429.995327493912</v>
      </c>
      <c r="M89" s="42">
        <v>1113.29252354654</v>
      </c>
      <c r="N89" s="42">
        <v>269.0</v>
      </c>
      <c r="O89" s="35">
        <v>1827.70251820335</v>
      </c>
      <c r="P89" s="35">
        <v>1546.66147960518</v>
      </c>
      <c r="Q89" s="35">
        <v>1144.59792889265</v>
      </c>
      <c r="R89" s="35">
        <v>1933.12719919262</v>
      </c>
      <c r="S89" s="35">
        <v>2328.34622759454</v>
      </c>
      <c r="T89" s="35">
        <v>1144.59792889265</v>
      </c>
      <c r="U89" s="35">
        <v>-6015.0</v>
      </c>
      <c r="V89" s="35">
        <v>939.966497536106</v>
      </c>
      <c r="W89" s="24">
        <v>738.106013436618</v>
      </c>
      <c r="X89" s="24">
        <v>-7749.99858756528</v>
      </c>
      <c r="Y89" s="24">
        <v>432.685936519158</v>
      </c>
      <c r="Z89" s="24">
        <v>1648.93513411085</v>
      </c>
      <c r="AA89" s="24"/>
    </row>
    <row r="90">
      <c r="A90" s="8">
        <v>42856.0</v>
      </c>
      <c r="B90" s="9">
        <f>IFERROR(__xludf.DUMMYFUNCTION("""COMPUTED_VALUE"""),2261.0)</f>
        <v>2261</v>
      </c>
      <c r="C90" s="35">
        <v>1626.54545454545</v>
      </c>
      <c r="D90" s="35">
        <v>1626.54545454545</v>
      </c>
      <c r="E90" s="35">
        <v>2391.2665107142</v>
      </c>
      <c r="F90" s="35">
        <v>842.160558904449</v>
      </c>
      <c r="G90" s="35">
        <v>751.285415829641</v>
      </c>
      <c r="H90" s="35">
        <v>2175.03894255352</v>
      </c>
      <c r="I90" s="35">
        <v>1894.29849776202</v>
      </c>
      <c r="J90" s="35">
        <v>1328.04668109811</v>
      </c>
      <c r="K90" s="42">
        <v>2382.5</v>
      </c>
      <c r="L90" s="42">
        <v>1501.14870776777</v>
      </c>
      <c r="M90" s="42">
        <v>2140.5</v>
      </c>
      <c r="N90" s="42">
        <v>195.0</v>
      </c>
      <c r="O90" s="35">
        <v>3298.5891215595</v>
      </c>
      <c r="P90" s="35">
        <v>2307.70968672362</v>
      </c>
      <c r="Q90" s="35">
        <v>1404.84222818173</v>
      </c>
      <c r="R90" s="35">
        <v>2984.29926130117</v>
      </c>
      <c r="S90" s="35">
        <v>3497.25480911252</v>
      </c>
      <c r="T90" s="35">
        <v>1523.32343608684</v>
      </c>
      <c r="U90" s="35">
        <v>-8072.5</v>
      </c>
      <c r="V90" s="35">
        <v>1101.46996911394</v>
      </c>
      <c r="W90" s="24">
        <v>1886.82881975143</v>
      </c>
      <c r="X90" s="24">
        <v>2436.41482723352</v>
      </c>
      <c r="Y90" s="24">
        <v>569.380071504317</v>
      </c>
      <c r="Z90" s="24">
        <v>1589.63077840221</v>
      </c>
      <c r="AA90" s="24"/>
    </row>
    <row r="91">
      <c r="A91" s="8">
        <v>42887.0</v>
      </c>
      <c r="B91" s="9">
        <f>IFERROR(__xludf.DUMMYFUNCTION("""COMPUTED_VALUE"""),11522.0)</f>
        <v>11522</v>
      </c>
      <c r="C91" s="35">
        <v>11443.7960280707</v>
      </c>
      <c r="D91" s="35">
        <v>11443.7960280707</v>
      </c>
      <c r="E91" s="35">
        <v>11502.5991271572</v>
      </c>
      <c r="F91" s="35">
        <v>-741.959040444001</v>
      </c>
      <c r="G91" s="35">
        <v>11204.9163773274</v>
      </c>
      <c r="H91" s="35">
        <v>14122.0</v>
      </c>
      <c r="I91" s="35">
        <v>11763.5451333394</v>
      </c>
      <c r="J91" s="35">
        <v>11527.7550238922</v>
      </c>
      <c r="K91" s="42">
        <v>8036.77615526597</v>
      </c>
      <c r="L91" s="42">
        <v>9365.63377913032</v>
      </c>
      <c r="M91" s="42">
        <v>11481.5419580241</v>
      </c>
      <c r="N91" s="42">
        <v>2229.7426810138</v>
      </c>
      <c r="O91" s="35">
        <v>6580.98710319216</v>
      </c>
      <c r="P91" s="35">
        <v>2000.12016883963</v>
      </c>
      <c r="Q91" s="35">
        <v>5872.38552392279</v>
      </c>
      <c r="R91" s="35">
        <v>8997.64513603806</v>
      </c>
      <c r="S91" s="35">
        <v>3958.10318114145</v>
      </c>
      <c r="T91" s="35">
        <v>5670.15534109417</v>
      </c>
      <c r="U91" s="35">
        <v>5416.71862932365</v>
      </c>
      <c r="V91" s="35">
        <v>8232.81326431759</v>
      </c>
      <c r="W91" s="24">
        <v>11761.4872041146</v>
      </c>
      <c r="X91" s="24">
        <v>11537.3328834915</v>
      </c>
      <c r="Y91" s="24">
        <v>11326.9082569806</v>
      </c>
      <c r="Z91" s="24">
        <v>9377.69828710489</v>
      </c>
      <c r="AA91" s="24"/>
    </row>
    <row r="92">
      <c r="A92" s="8">
        <v>42917.0</v>
      </c>
      <c r="B92" s="9">
        <f>IFERROR(__xludf.DUMMYFUNCTION("""COMPUTED_VALUE"""),1077.0)</f>
        <v>1077</v>
      </c>
      <c r="C92" s="35">
        <v>1153.61556504406</v>
      </c>
      <c r="D92" s="35">
        <v>1153.61556504406</v>
      </c>
      <c r="E92" s="35">
        <v>692.0</v>
      </c>
      <c r="F92" s="35">
        <v>-508.181416889363</v>
      </c>
      <c r="G92" s="35">
        <v>418.394907415888</v>
      </c>
      <c r="H92" s="35">
        <v>1051.0</v>
      </c>
      <c r="I92" s="35">
        <v>1808.24742636729</v>
      </c>
      <c r="J92" s="35">
        <v>1752.84752438361</v>
      </c>
      <c r="K92" s="42">
        <v>785.166666666667</v>
      </c>
      <c r="L92" s="42">
        <v>664.157618035312</v>
      </c>
      <c r="M92" s="42">
        <v>1445.39904690267</v>
      </c>
      <c r="N92" s="42">
        <v>2867.15641025641</v>
      </c>
      <c r="O92" s="35">
        <v>7014.61803634823</v>
      </c>
      <c r="P92" s="35">
        <v>921.147423689165</v>
      </c>
      <c r="Q92" s="35">
        <v>3290.43233940346</v>
      </c>
      <c r="R92" s="35">
        <v>3709.72</v>
      </c>
      <c r="S92" s="35">
        <v>4009.89212521677</v>
      </c>
      <c r="T92" s="35">
        <v>3347.87735889264</v>
      </c>
      <c r="U92" s="35">
        <v>3981.27</v>
      </c>
      <c r="V92" s="35">
        <v>1305.73720006736</v>
      </c>
      <c r="W92" s="24">
        <v>-35.7313307915451</v>
      </c>
      <c r="X92" s="24">
        <v>2095.34396928609</v>
      </c>
      <c r="Y92" s="24">
        <v>653.768551622369</v>
      </c>
      <c r="Z92" s="24">
        <v>33225.9640231156</v>
      </c>
      <c r="AA92" s="24"/>
    </row>
    <row r="93">
      <c r="A93" s="8">
        <v>42948.0</v>
      </c>
      <c r="B93" s="9">
        <f>IFERROR(__xludf.DUMMYFUNCTION("""COMPUTED_VALUE"""),1199.0)</f>
        <v>1199</v>
      </c>
      <c r="C93" s="35">
        <v>1374.34583390517</v>
      </c>
      <c r="D93" s="35">
        <v>1374.34583390517</v>
      </c>
      <c r="E93" s="35">
        <v>1108.0</v>
      </c>
      <c r="F93" s="35">
        <v>1721.26142594143</v>
      </c>
      <c r="G93" s="35">
        <v>621.143538795359</v>
      </c>
      <c r="H93" s="35">
        <v>2402.84909560498</v>
      </c>
      <c r="I93" s="35">
        <v>340.566868716433</v>
      </c>
      <c r="J93" s="35">
        <v>990.913783825834</v>
      </c>
      <c r="K93" s="42">
        <v>1108.0</v>
      </c>
      <c r="L93" s="42">
        <v>645.26364369837</v>
      </c>
      <c r="M93" s="42">
        <v>858.857371371013</v>
      </c>
      <c r="N93" s="42">
        <v>2524.8162157254</v>
      </c>
      <c r="O93" s="35">
        <v>7014.61803634823</v>
      </c>
      <c r="P93" s="35">
        <v>2166.64669012329</v>
      </c>
      <c r="Q93" s="35">
        <v>4839.06817907142</v>
      </c>
      <c r="R93" s="35">
        <v>4010.71891999339</v>
      </c>
      <c r="S93" s="35">
        <v>7566.92414005246</v>
      </c>
      <c r="T93" s="35">
        <v>4868.57591929978</v>
      </c>
      <c r="U93" s="35">
        <v>6767.7062685239</v>
      </c>
      <c r="V93" s="35">
        <v>13096.8252984194</v>
      </c>
      <c r="W93" s="24">
        <v>47519.62557762</v>
      </c>
      <c r="X93" s="24">
        <v>31996.0</v>
      </c>
      <c r="Y93" s="24">
        <v>1075.64368330275</v>
      </c>
      <c r="Z93" s="24">
        <v>11783.2164571198</v>
      </c>
      <c r="AA93" s="24"/>
    </row>
    <row r="94">
      <c r="A94" s="14">
        <v>42979.0</v>
      </c>
      <c r="B94" s="9">
        <f>IFERROR(__xludf.DUMMYFUNCTION("""COMPUTED_VALUE"""),1125.0)</f>
        <v>1125</v>
      </c>
      <c r="C94" s="35">
        <v>1175.36848866705</v>
      </c>
      <c r="D94" s="35">
        <v>1175.36848866705</v>
      </c>
      <c r="E94" s="35">
        <v>1108.0</v>
      </c>
      <c r="F94" s="35">
        <v>972.208288199631</v>
      </c>
      <c r="G94" s="35">
        <v>1373.35808053121</v>
      </c>
      <c r="H94" s="35">
        <v>1629.14518893538</v>
      </c>
      <c r="I94" s="35">
        <v>1482.30017948021</v>
      </c>
      <c r="J94" s="35">
        <v>1196.69491077566</v>
      </c>
      <c r="K94" s="42">
        <v>1108.0</v>
      </c>
      <c r="L94" s="42">
        <v>419.405506515553</v>
      </c>
      <c r="M94" s="42">
        <v>806.857371371013</v>
      </c>
      <c r="N94" s="42">
        <v>17414.0666666667</v>
      </c>
      <c r="O94" s="35">
        <v>12546.8622462372</v>
      </c>
      <c r="P94" s="35">
        <v>22514.0395393129</v>
      </c>
      <c r="Q94" s="35">
        <v>21220.5221218845</v>
      </c>
      <c r="R94" s="35">
        <v>5040.72237231399</v>
      </c>
      <c r="S94" s="35">
        <v>15555.269427547</v>
      </c>
      <c r="T94" s="35">
        <v>21601.793114145</v>
      </c>
      <c r="U94" s="35">
        <v>17938.6870915575</v>
      </c>
      <c r="V94" s="35">
        <v>8284.59188599802</v>
      </c>
      <c r="W94" s="24">
        <v>11628.9913138155</v>
      </c>
      <c r="X94" s="24">
        <v>7954.0</v>
      </c>
      <c r="Y94" s="24">
        <v>2409.5</v>
      </c>
      <c r="Z94" s="24">
        <v>8370.38017789929</v>
      </c>
      <c r="AA94" s="24"/>
    </row>
    <row r="95">
      <c r="A95" s="14">
        <v>43009.0</v>
      </c>
      <c r="B95" s="9">
        <f>IFERROR(__xludf.DUMMYFUNCTION("""COMPUTED_VALUE"""),763.0)</f>
        <v>763</v>
      </c>
      <c r="C95" s="35">
        <v>796.600062850395</v>
      </c>
      <c r="D95" s="35">
        <v>796.600062850395</v>
      </c>
      <c r="E95" s="35">
        <v>1377.0</v>
      </c>
      <c r="F95" s="35">
        <v>612.929549247343</v>
      </c>
      <c r="G95" s="35">
        <v>1232.36547024553</v>
      </c>
      <c r="H95" s="35">
        <v>838.266244978872</v>
      </c>
      <c r="I95" s="35">
        <v>1575.29850119801</v>
      </c>
      <c r="J95" s="35">
        <v>1269.83797305444</v>
      </c>
      <c r="K95" s="42">
        <v>1377.0</v>
      </c>
      <c r="L95" s="42">
        <v>675.883242588388</v>
      </c>
      <c r="M95" s="42">
        <v>688.357371371013</v>
      </c>
      <c r="N95" s="42">
        <v>217872.032074374</v>
      </c>
      <c r="O95" s="35">
        <v>13114.2328545191</v>
      </c>
      <c r="P95" s="35">
        <v>13.1390067118789</v>
      </c>
      <c r="Q95" s="35">
        <v>14716.931891105</v>
      </c>
      <c r="R95" s="35">
        <v>2951.04</v>
      </c>
      <c r="S95" s="35">
        <v>13535.240980601</v>
      </c>
      <c r="T95" s="35">
        <v>14725.4613977957</v>
      </c>
      <c r="U95" s="35">
        <v>9857.98</v>
      </c>
      <c r="V95" s="35">
        <v>-73531.8754399137</v>
      </c>
      <c r="W95" s="24">
        <v>37504.6476372003</v>
      </c>
      <c r="X95" s="24">
        <v>17061.0</v>
      </c>
      <c r="Y95" s="24">
        <v>3404.00029264249</v>
      </c>
      <c r="Z95" s="24">
        <v>11161.8578241591</v>
      </c>
      <c r="AA95" s="24"/>
    </row>
    <row r="96">
      <c r="A96" s="14">
        <v>43040.0</v>
      </c>
      <c r="B96" s="9">
        <f>IFERROR(__xludf.DUMMYFUNCTION("""COMPUTED_VALUE"""),1217.0)</f>
        <v>1217</v>
      </c>
      <c r="C96" s="35">
        <v>363.453245746088</v>
      </c>
      <c r="D96" s="35">
        <v>363.453245746088</v>
      </c>
      <c r="E96" s="35">
        <v>1598.0</v>
      </c>
      <c r="F96" s="35">
        <v>629.339442354212</v>
      </c>
      <c r="G96" s="35">
        <v>1277.42671235298</v>
      </c>
      <c r="H96" s="35">
        <v>674.650015785272</v>
      </c>
      <c r="I96" s="35">
        <v>1160.39691257556</v>
      </c>
      <c r="J96" s="35">
        <v>-1260.39040709877</v>
      </c>
      <c r="K96" s="42">
        <v>2415.29352519617</v>
      </c>
      <c r="L96" s="42">
        <v>1318.08906324945</v>
      </c>
      <c r="M96" s="42">
        <v>680.357371371013</v>
      </c>
      <c r="N96" s="42">
        <v>54007.982267317</v>
      </c>
      <c r="O96" s="35">
        <v>12546.8622462372</v>
      </c>
      <c r="P96" s="35">
        <v>755.048885295534</v>
      </c>
      <c r="Q96" s="35">
        <v>14892.1203052833</v>
      </c>
      <c r="R96" s="35">
        <v>2061.09399363464</v>
      </c>
      <c r="S96" s="35">
        <v>13592.2452365751</v>
      </c>
      <c r="T96" s="35">
        <v>14957.826345179</v>
      </c>
      <c r="U96" s="35">
        <v>13832.2</v>
      </c>
      <c r="V96" s="35">
        <v>830.161486992143</v>
      </c>
      <c r="W96" s="24">
        <v>22258.3395864697</v>
      </c>
      <c r="X96" s="24">
        <v>246544.369547879</v>
      </c>
      <c r="Y96" s="24">
        <v>3272.52890477874</v>
      </c>
      <c r="Z96" s="24">
        <v>6499.21815886581</v>
      </c>
      <c r="AA96" s="24"/>
    </row>
    <row r="97">
      <c r="A97" s="14">
        <v>43070.0</v>
      </c>
      <c r="B97" s="9">
        <f>IFERROR(__xludf.DUMMYFUNCTION("""COMPUTED_VALUE"""),848.0)</f>
        <v>848</v>
      </c>
      <c r="C97" s="35">
        <v>1472.71830811478</v>
      </c>
      <c r="D97" s="35">
        <v>1472.71830811478</v>
      </c>
      <c r="E97" s="35">
        <v>7164.61199543997</v>
      </c>
      <c r="F97" s="35">
        <v>5498.17928743708</v>
      </c>
      <c r="G97" s="35">
        <v>1476.5726951631</v>
      </c>
      <c r="H97" s="35">
        <v>1480.81187172919</v>
      </c>
      <c r="I97" s="35">
        <v>4856.48031212929</v>
      </c>
      <c r="J97" s="35">
        <v>-2522.75282999602</v>
      </c>
      <c r="K97" s="35">
        <v>1670.0</v>
      </c>
      <c r="L97" s="35">
        <v>1403.45603270223</v>
      </c>
      <c r="M97" s="35">
        <v>1141.31843747525</v>
      </c>
      <c r="N97" s="35">
        <v>25067.1338677153</v>
      </c>
      <c r="O97" s="35">
        <v>90696.3908089659</v>
      </c>
      <c r="P97" s="35">
        <v>-1773.33571751675</v>
      </c>
      <c r="Q97" s="35">
        <v>15761.4385224654</v>
      </c>
      <c r="R97" s="35">
        <v>8826.67</v>
      </c>
      <c r="S97" s="35">
        <v>14125.1786811476</v>
      </c>
      <c r="T97" s="35">
        <v>15812.2757131184</v>
      </c>
      <c r="U97" s="35">
        <v>13420.28</v>
      </c>
      <c r="V97" s="35">
        <v>2254.49363467559</v>
      </c>
      <c r="W97" s="24">
        <v>12451.9495549308</v>
      </c>
      <c r="X97" s="24">
        <v>3388.81312234405</v>
      </c>
      <c r="Y97" s="24">
        <v>8367.72692884916</v>
      </c>
      <c r="Z97" s="24">
        <v>7020.82336836881</v>
      </c>
      <c r="AA97" s="24"/>
    </row>
    <row r="98">
      <c r="A98" s="19">
        <v>43101.0</v>
      </c>
      <c r="B98" s="9">
        <f>IFERROR(__xludf.DUMMYFUNCTION("""COMPUTED_VALUE"""),702.0)</f>
        <v>702</v>
      </c>
      <c r="C98" s="35">
        <v>396.878265291969</v>
      </c>
      <c r="D98" s="35">
        <v>396.878265291969</v>
      </c>
      <c r="E98" s="35">
        <v>1821.0</v>
      </c>
      <c r="F98" s="35">
        <v>1536.49424554437</v>
      </c>
      <c r="G98" s="35">
        <v>1312.54103863012</v>
      </c>
      <c r="H98" s="35">
        <v>1358.48247604943</v>
      </c>
      <c r="I98" s="35">
        <v>953.038733101213</v>
      </c>
      <c r="J98" s="35">
        <v>539.555800374554</v>
      </c>
      <c r="K98" s="35">
        <v>6900.20046570032</v>
      </c>
      <c r="L98" s="35">
        <v>1554.67988036175</v>
      </c>
      <c r="M98" s="35">
        <v>1517.32605569449</v>
      </c>
      <c r="N98" s="35">
        <v>11617.0892713828</v>
      </c>
      <c r="O98" s="35">
        <v>11091.2452175089</v>
      </c>
      <c r="P98" s="35">
        <v>504.932713357124</v>
      </c>
      <c r="Q98" s="35">
        <v>12004.2498004519</v>
      </c>
      <c r="R98" s="35">
        <v>5759.84</v>
      </c>
      <c r="S98" s="35">
        <v>11864.524622441</v>
      </c>
      <c r="T98" s="35">
        <v>12034.9705627218</v>
      </c>
      <c r="U98" s="35">
        <v>11369.1376925136</v>
      </c>
      <c r="V98" s="35">
        <v>3453.0773466911</v>
      </c>
      <c r="W98" s="24">
        <v>17542.4298767818</v>
      </c>
      <c r="X98" s="24">
        <v>1472.5098276289</v>
      </c>
      <c r="Y98" s="24">
        <v>11981.34375</v>
      </c>
      <c r="Z98" s="24">
        <v>24780.6545505299</v>
      </c>
      <c r="AA98" s="24"/>
    </row>
    <row r="99">
      <c r="A99" s="19">
        <v>43132.0</v>
      </c>
      <c r="B99" s="43">
        <f>IFERROR(__xludf.DUMMYFUNCTION("""COMPUTED_VALUE"""),526.0)</f>
        <v>526</v>
      </c>
      <c r="C99" s="35">
        <v>1075.33048148096</v>
      </c>
      <c r="D99" s="35">
        <v>1075.33048148096</v>
      </c>
      <c r="E99" s="35">
        <v>1584.0</v>
      </c>
      <c r="F99" s="35">
        <v>1406.90918372952</v>
      </c>
      <c r="G99" s="35">
        <v>2517.2451405593</v>
      </c>
      <c r="H99" s="35">
        <v>593.621500859099</v>
      </c>
      <c r="I99" s="35">
        <v>1686.01148497601</v>
      </c>
      <c r="J99" s="35">
        <v>691.787128421986</v>
      </c>
      <c r="K99" s="35">
        <v>1584.0</v>
      </c>
      <c r="L99" s="35">
        <v>1327.41053472942</v>
      </c>
      <c r="M99" s="35">
        <v>1512.32605569449</v>
      </c>
      <c r="N99" s="35">
        <v>12311.2660765406</v>
      </c>
      <c r="O99" s="35">
        <v>14837.8953725123</v>
      </c>
      <c r="P99" s="35">
        <v>979.754489166534</v>
      </c>
      <c r="Q99" s="35">
        <v>14295.6900139568</v>
      </c>
      <c r="R99" s="35">
        <v>212851.971245327</v>
      </c>
      <c r="S99" s="35">
        <v>12281.606712112</v>
      </c>
      <c r="T99" s="35">
        <v>14442.3981653543</v>
      </c>
      <c r="U99" s="35">
        <v>12425.4224235634</v>
      </c>
      <c r="V99" s="35">
        <v>2506.4004562139</v>
      </c>
      <c r="W99" s="24">
        <v>21831.9818845616</v>
      </c>
      <c r="X99" s="24">
        <v>7384.0</v>
      </c>
      <c r="Y99" s="24">
        <v>10926.7062898208</v>
      </c>
      <c r="Z99" s="24">
        <v>12462.3035770226</v>
      </c>
      <c r="AA99" s="24"/>
    </row>
    <row r="100">
      <c r="A100" s="15">
        <v>43160.0</v>
      </c>
      <c r="B100" s="9">
        <f>IFERROR(__xludf.DUMMYFUNCTION("""COMPUTED_VALUE"""),685.0)</f>
        <v>685</v>
      </c>
      <c r="C100" s="35">
        <v>1835.3</v>
      </c>
      <c r="D100" s="35">
        <v>1835.3</v>
      </c>
      <c r="E100" s="35">
        <v>12311.2443729944</v>
      </c>
      <c r="F100" s="35">
        <v>3307.40544032347</v>
      </c>
      <c r="G100" s="35">
        <v>1525.35123508037</v>
      </c>
      <c r="H100" s="35">
        <v>2037.0718346231</v>
      </c>
      <c r="I100" s="35">
        <v>3106.88193085268</v>
      </c>
      <c r="J100" s="35">
        <v>1442.13966464634</v>
      </c>
      <c r="K100" s="35">
        <v>1536.0</v>
      </c>
      <c r="L100" s="35">
        <v>2379.38496578126</v>
      </c>
      <c r="M100" s="35">
        <v>1436.32605569449</v>
      </c>
      <c r="N100" s="35">
        <v>35998.6941115741</v>
      </c>
      <c r="O100" s="35">
        <v>14946.6485960745</v>
      </c>
      <c r="P100" s="35">
        <v>3393.07949582549</v>
      </c>
      <c r="Q100" s="35">
        <v>12591.0699571966</v>
      </c>
      <c r="R100" s="35">
        <v>3530.85095838645</v>
      </c>
      <c r="S100" s="35">
        <v>15165.1101405743</v>
      </c>
      <c r="T100" s="35">
        <v>12745.1910113506</v>
      </c>
      <c r="U100" s="35">
        <v>15396.4371485918</v>
      </c>
      <c r="V100" s="35">
        <v>519.187332411084</v>
      </c>
      <c r="W100" s="24">
        <v>15307.9004689778</v>
      </c>
      <c r="X100" s="24">
        <v>2648.0</v>
      </c>
      <c r="Y100" s="24">
        <v>15718.4637405822</v>
      </c>
      <c r="Z100" s="24">
        <v>11261.0666615987</v>
      </c>
      <c r="AA100" s="24"/>
    </row>
    <row r="101">
      <c r="A101" s="15">
        <v>43191.0</v>
      </c>
      <c r="B101" s="9">
        <f>IFERROR(__xludf.DUMMYFUNCTION("""COMPUTED_VALUE"""),99511.0)</f>
        <v>99511</v>
      </c>
      <c r="C101" s="35">
        <v>2071.00235294118</v>
      </c>
      <c r="D101" s="35">
        <v>2071.00235294118</v>
      </c>
      <c r="E101" s="35">
        <v>3772.5</v>
      </c>
      <c r="F101" s="35">
        <v>2505.76625114919</v>
      </c>
      <c r="G101" s="35">
        <v>1312.58653404383</v>
      </c>
      <c r="H101" s="35">
        <v>1872.72824387315</v>
      </c>
      <c r="I101" s="35">
        <v>1719.96217939477</v>
      </c>
      <c r="J101" s="35">
        <v>1357.23724157559</v>
      </c>
      <c r="K101" s="35">
        <v>1596.0</v>
      </c>
      <c r="L101" s="35">
        <v>13425.0</v>
      </c>
      <c r="M101" s="35">
        <v>1560.24969156284</v>
      </c>
      <c r="N101" s="35">
        <v>27118.9230178369</v>
      </c>
      <c r="O101" s="35">
        <v>15011.3038783352</v>
      </c>
      <c r="P101" s="35">
        <v>2851.24571553472</v>
      </c>
      <c r="Q101" s="35">
        <v>11302.0</v>
      </c>
      <c r="R101" s="35">
        <v>33160.0893268928</v>
      </c>
      <c r="S101" s="35">
        <v>13963.5321442499</v>
      </c>
      <c r="T101" s="35">
        <v>11901.9038008397</v>
      </c>
      <c r="U101" s="35">
        <v>15987.96</v>
      </c>
      <c r="V101" s="35">
        <v>17837.4066551182</v>
      </c>
      <c r="W101" s="24">
        <v>28249.952311723</v>
      </c>
      <c r="X101" s="24">
        <v>1667.0</v>
      </c>
      <c r="Y101" s="24">
        <v>25319.9332627875</v>
      </c>
      <c r="Z101" s="24">
        <v>17297.5613752851</v>
      </c>
      <c r="AA101" s="24"/>
    </row>
    <row r="102">
      <c r="A102" s="15">
        <v>43221.0</v>
      </c>
      <c r="B102" s="9">
        <f>IFERROR(__xludf.DUMMYFUNCTION("""COMPUTED_VALUE"""),506.0)</f>
        <v>506</v>
      </c>
      <c r="C102" s="35">
        <v>1334.0</v>
      </c>
      <c r="D102" s="35">
        <v>1334.0</v>
      </c>
      <c r="E102" s="35">
        <v>5874.75</v>
      </c>
      <c r="F102" s="35">
        <v>496.35004942728</v>
      </c>
      <c r="G102" s="35">
        <v>1332.41738836053</v>
      </c>
      <c r="H102" s="35">
        <v>599.130381699625</v>
      </c>
      <c r="I102" s="35">
        <v>1708.95228247021</v>
      </c>
      <c r="J102" s="35">
        <v>1318.85280679708</v>
      </c>
      <c r="K102" s="35">
        <v>3512.71436819818</v>
      </c>
      <c r="L102" s="35">
        <v>4956.0</v>
      </c>
      <c r="M102" s="35">
        <v>1674.53211547507</v>
      </c>
      <c r="N102" s="35">
        <v>20988.4813413058</v>
      </c>
      <c r="O102" s="35">
        <v>15841.3176396341</v>
      </c>
      <c r="P102" s="35">
        <v>851.671122399567</v>
      </c>
      <c r="Q102" s="35">
        <v>11303.0</v>
      </c>
      <c r="R102" s="35">
        <v>30615.9604462334</v>
      </c>
      <c r="S102" s="35">
        <v>11371.2547785977</v>
      </c>
      <c r="T102" s="35">
        <v>14331.8399510347</v>
      </c>
      <c r="U102" s="35">
        <v>11544.42</v>
      </c>
      <c r="V102" s="35">
        <v>4441.46318038121</v>
      </c>
      <c r="W102" s="24">
        <v>14719.4209016062</v>
      </c>
      <c r="X102" s="24">
        <v>0.0</v>
      </c>
      <c r="Y102" s="24">
        <v>19454.4376736185</v>
      </c>
      <c r="Z102" s="24">
        <v>32428.409171973</v>
      </c>
      <c r="AA102" s="24"/>
    </row>
    <row r="103">
      <c r="A103" s="15">
        <v>43252.0</v>
      </c>
      <c r="B103" s="9">
        <f>IFERROR(__xludf.DUMMYFUNCTION("""COMPUTED_VALUE"""),514.0)</f>
        <v>514</v>
      </c>
      <c r="C103" s="24">
        <v>96947.0622237367</v>
      </c>
      <c r="D103" s="24">
        <v>96947.0622237367</v>
      </c>
      <c r="E103" s="24">
        <v>3567.5</v>
      </c>
      <c r="F103" s="24">
        <v>4696.32534247019</v>
      </c>
      <c r="G103" s="24">
        <v>93829.6480062858</v>
      </c>
      <c r="H103" s="24">
        <v>3551.90889107012</v>
      </c>
      <c r="I103" s="24">
        <v>4995.25666798342</v>
      </c>
      <c r="J103" s="24">
        <v>1549.83533796226</v>
      </c>
      <c r="K103" s="24">
        <v>1644.0</v>
      </c>
      <c r="L103" s="24" t="s">
        <v>131</v>
      </c>
      <c r="M103" s="24">
        <v>1540.24969156284</v>
      </c>
      <c r="N103" s="24">
        <v>13048.1937734466</v>
      </c>
      <c r="O103" s="24">
        <v>32406.8555938687</v>
      </c>
      <c r="P103" s="24">
        <v>8284.47029237824</v>
      </c>
      <c r="Q103" s="24">
        <v>11303.0</v>
      </c>
      <c r="R103" s="24">
        <v>28215.6597055855</v>
      </c>
      <c r="S103" s="24">
        <v>11353.1619217631</v>
      </c>
      <c r="T103" s="24">
        <v>14842.6225463264</v>
      </c>
      <c r="U103" s="24">
        <v>15244.52</v>
      </c>
      <c r="V103" s="24">
        <v>47540.251930518</v>
      </c>
      <c r="W103" s="24">
        <v>20017.9816003933</v>
      </c>
      <c r="X103" s="24">
        <v>4816.4</v>
      </c>
      <c r="Y103" s="24">
        <v>64923.5089063805</v>
      </c>
      <c r="Z103" s="24">
        <v>22744.9869166703</v>
      </c>
      <c r="AA103" s="24"/>
    </row>
    <row r="104">
      <c r="A104" s="15">
        <v>43282.0</v>
      </c>
      <c r="B104" s="43">
        <f>IFERROR(__xludf.DUMMYFUNCTION("""COMPUTED_VALUE"""),615.0)</f>
        <v>615</v>
      </c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4"/>
      <c r="Y104" s="24"/>
      <c r="Z104" s="24"/>
      <c r="AA104" s="24"/>
    </row>
    <row r="105">
      <c r="A105" s="17">
        <v>43313.0</v>
      </c>
      <c r="B105" s="9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4"/>
      <c r="Y105" s="24"/>
      <c r="Z105" s="24"/>
      <c r="AA105" s="24"/>
    </row>
    <row r="106">
      <c r="A106" s="15">
        <v>43344.0</v>
      </c>
      <c r="B106" s="9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>
      <c r="A107" s="15">
        <v>43374.0</v>
      </c>
      <c r="B107" s="9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>
      <c r="A108" s="15">
        <v>43405.0</v>
      </c>
      <c r="B108" s="9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>
      <c r="B109" s="9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>
      <c r="B110" s="9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>
      <c r="B111" s="9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>
      <c r="B112" s="9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>
      <c r="B113" s="9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>
      <c r="B114" s="9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>
      <c r="B115" s="9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>
      <c r="B116" s="9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>
      <c r="B117" s="9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>
      <c r="B118" s="9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>
      <c r="B119" s="9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>
      <c r="B120" s="9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>
      <c r="B121" s="9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>
      <c r="B122" s="9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>
      <c r="B123" s="9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>
      <c r="B124" s="9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>
      <c r="B125" s="9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>
      <c r="B126" s="9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>
      <c r="B127" s="9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>
      <c r="B128" s="9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>
      <c r="B129" s="9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>
      <c r="B130" s="9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>
      <c r="B131" s="9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>
      <c r="B132" s="9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>
      <c r="B133" s="9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>
      <c r="B134" s="9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>
      <c r="B135" s="9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>
      <c r="B136" s="9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>
      <c r="B137" s="9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>
      <c r="B138" s="9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>
      <c r="B139" s="9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>
      <c r="B140" s="9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>
      <c r="B141" s="9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>
      <c r="B142" s="9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>
      <c r="B143" s="9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>
      <c r="B144" s="9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>
      <c r="B145" s="9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>
      <c r="B146" s="9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>
      <c r="B147" s="9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>
      <c r="B148" s="9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>
      <c r="B149" s="9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>
      <c r="B150" s="9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>
      <c r="B151" s="9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>
      <c r="B152" s="9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>
      <c r="B153" s="9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>
      <c r="B154" s="9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>
      <c r="B155" s="9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>
      <c r="B156" s="9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>
      <c r="B157" s="9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>
      <c r="B158" s="9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>
      <c r="B159" s="9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>
      <c r="B160" s="9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>
      <c r="B161" s="9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>
      <c r="B162" s="9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>
      <c r="B163" s="9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>
      <c r="B164" s="9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>
      <c r="B165" s="9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>
      <c r="B166" s="9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>
      <c r="B167" s="9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>
      <c r="B168" s="9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>
      <c r="B169" s="9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>
      <c r="B170" s="9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>
      <c r="B171" s="9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>
      <c r="B172" s="9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>
      <c r="B173" s="9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>
      <c r="B174" s="9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>
      <c r="B175" s="9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>
      <c r="B176" s="9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0</v>
      </c>
      <c r="B1" s="3" t="s">
        <v>1</v>
      </c>
      <c r="C1" s="3" t="s">
        <v>132</v>
      </c>
      <c r="D1" s="3" t="s">
        <v>133</v>
      </c>
      <c r="E1" s="3" t="s">
        <v>134</v>
      </c>
      <c r="F1" s="44" t="s">
        <v>135</v>
      </c>
      <c r="G1" s="45" t="s">
        <v>136</v>
      </c>
      <c r="H1" s="44" t="s">
        <v>137</v>
      </c>
      <c r="I1" s="3" t="s">
        <v>138</v>
      </c>
      <c r="J1" s="3" t="s">
        <v>139</v>
      </c>
      <c r="K1" s="37" t="s">
        <v>140</v>
      </c>
      <c r="L1" s="37" t="s">
        <v>141</v>
      </c>
      <c r="M1" s="37" t="s">
        <v>142</v>
      </c>
      <c r="N1" s="37" t="s">
        <v>143</v>
      </c>
      <c r="O1" s="37" t="s">
        <v>144</v>
      </c>
      <c r="P1" s="37" t="s">
        <v>145</v>
      </c>
      <c r="Q1" s="6" t="s">
        <v>146</v>
      </c>
      <c r="R1" s="37" t="s">
        <v>147</v>
      </c>
      <c r="S1" s="37" t="s">
        <v>148</v>
      </c>
      <c r="T1" s="37" t="s">
        <v>149</v>
      </c>
      <c r="U1" s="7" t="s">
        <v>150</v>
      </c>
      <c r="V1" s="7" t="s">
        <v>151</v>
      </c>
      <c r="W1" s="7" t="s">
        <v>152</v>
      </c>
    </row>
    <row r="2">
      <c r="A2" s="8">
        <v>40179.0</v>
      </c>
      <c r="B2" s="9">
        <f>IFERROR(__xludf.DUMMYFUNCTION("IMPORTRANGE(""https://docs.google.com/spreadsheets/d/1oPTPmoJ9phtMOkp-nMB7WHnPESomLzqUj9t0gcE9bYA"",""Current Region!I2:I150"")"),12597.0)</f>
        <v>12597</v>
      </c>
      <c r="C2" s="10" t="s">
        <v>26</v>
      </c>
      <c r="D2" s="10" t="s">
        <v>26</v>
      </c>
      <c r="E2" s="10" t="s">
        <v>26</v>
      </c>
      <c r="F2" s="46" t="s">
        <v>26</v>
      </c>
      <c r="G2" s="10" t="s">
        <v>26</v>
      </c>
      <c r="H2" s="46" t="s">
        <v>26</v>
      </c>
      <c r="I2" s="10" t="s">
        <v>26</v>
      </c>
      <c r="J2" s="11" t="s">
        <v>26</v>
      </c>
      <c r="K2" s="11" t="s">
        <v>26</v>
      </c>
      <c r="L2" s="11" t="s">
        <v>26</v>
      </c>
      <c r="M2" s="10" t="s">
        <v>26</v>
      </c>
      <c r="N2" s="10" t="s">
        <v>26</v>
      </c>
      <c r="O2" s="10" t="s">
        <v>26</v>
      </c>
      <c r="P2" s="10" t="s">
        <v>26</v>
      </c>
      <c r="Q2" s="10" t="s">
        <v>26</v>
      </c>
      <c r="R2" s="10" t="s">
        <v>26</v>
      </c>
      <c r="S2" s="10" t="s">
        <v>26</v>
      </c>
      <c r="T2" s="10" t="s">
        <v>26</v>
      </c>
      <c r="U2" s="7" t="s">
        <v>26</v>
      </c>
      <c r="V2" s="7" t="s">
        <v>26</v>
      </c>
      <c r="W2" s="7" t="s">
        <v>26</v>
      </c>
    </row>
    <row r="3">
      <c r="A3" s="8">
        <v>40210.0</v>
      </c>
      <c r="B3" s="9">
        <f>IFERROR(__xludf.DUMMYFUNCTION("""COMPUTED_VALUE"""),2184.0)</f>
        <v>2184</v>
      </c>
      <c r="C3" s="10" t="s">
        <v>26</v>
      </c>
      <c r="D3" s="10" t="s">
        <v>26</v>
      </c>
      <c r="E3" s="10" t="s">
        <v>26</v>
      </c>
      <c r="F3" s="46" t="s">
        <v>26</v>
      </c>
      <c r="G3" s="10" t="s">
        <v>26</v>
      </c>
      <c r="H3" s="46" t="s">
        <v>26</v>
      </c>
      <c r="I3" s="10" t="s">
        <v>26</v>
      </c>
      <c r="J3" s="11" t="s">
        <v>26</v>
      </c>
      <c r="K3" s="11" t="s">
        <v>26</v>
      </c>
      <c r="L3" s="11" t="s">
        <v>26</v>
      </c>
      <c r="M3" s="10" t="s">
        <v>26</v>
      </c>
      <c r="N3" s="10" t="s">
        <v>26</v>
      </c>
      <c r="O3" s="10" t="s">
        <v>26</v>
      </c>
      <c r="P3" s="10" t="s">
        <v>26</v>
      </c>
      <c r="Q3" s="10" t="s">
        <v>26</v>
      </c>
      <c r="R3" s="10" t="s">
        <v>26</v>
      </c>
      <c r="S3" s="10" t="s">
        <v>26</v>
      </c>
      <c r="T3" s="10" t="s">
        <v>26</v>
      </c>
      <c r="U3" s="7" t="s">
        <v>26</v>
      </c>
      <c r="V3" s="7" t="s">
        <v>26</v>
      </c>
      <c r="W3" s="7" t="s">
        <v>26</v>
      </c>
    </row>
    <row r="4">
      <c r="A4" s="8">
        <v>40238.0</v>
      </c>
      <c r="B4" s="9"/>
      <c r="C4" s="10" t="s">
        <v>26</v>
      </c>
      <c r="D4" s="10" t="s">
        <v>26</v>
      </c>
      <c r="E4" s="10" t="s">
        <v>26</v>
      </c>
      <c r="F4" s="46" t="s">
        <v>26</v>
      </c>
      <c r="G4" s="10" t="s">
        <v>26</v>
      </c>
      <c r="H4" s="46" t="s">
        <v>26</v>
      </c>
      <c r="I4" s="10" t="s">
        <v>26</v>
      </c>
      <c r="J4" s="11" t="s">
        <v>26</v>
      </c>
      <c r="K4" s="11" t="s">
        <v>26</v>
      </c>
      <c r="L4" s="11" t="s">
        <v>26</v>
      </c>
      <c r="M4" s="10" t="s">
        <v>26</v>
      </c>
      <c r="N4" s="10" t="s">
        <v>26</v>
      </c>
      <c r="O4" s="10" t="s">
        <v>26</v>
      </c>
      <c r="P4" s="10" t="s">
        <v>26</v>
      </c>
      <c r="Q4" s="10" t="s">
        <v>26</v>
      </c>
      <c r="R4" s="10" t="s">
        <v>26</v>
      </c>
      <c r="S4" s="10" t="s">
        <v>26</v>
      </c>
      <c r="T4" s="10" t="s">
        <v>26</v>
      </c>
      <c r="U4" s="7" t="s">
        <v>26</v>
      </c>
      <c r="V4" s="7" t="s">
        <v>26</v>
      </c>
      <c r="W4" s="7" t="s">
        <v>26</v>
      </c>
    </row>
    <row r="5">
      <c r="A5" s="8">
        <v>40269.0</v>
      </c>
      <c r="B5" s="9"/>
      <c r="C5" s="10" t="s">
        <v>26</v>
      </c>
      <c r="D5" s="10" t="s">
        <v>26</v>
      </c>
      <c r="E5" s="10" t="s">
        <v>26</v>
      </c>
      <c r="F5" s="46" t="s">
        <v>26</v>
      </c>
      <c r="G5" s="10" t="s">
        <v>26</v>
      </c>
      <c r="H5" s="46" t="s">
        <v>26</v>
      </c>
      <c r="I5" s="10" t="s">
        <v>26</v>
      </c>
      <c r="J5" s="11" t="s">
        <v>26</v>
      </c>
      <c r="K5" s="11" t="s">
        <v>26</v>
      </c>
      <c r="L5" s="11" t="s">
        <v>26</v>
      </c>
      <c r="M5" s="10" t="s">
        <v>26</v>
      </c>
      <c r="N5" s="10" t="s">
        <v>26</v>
      </c>
      <c r="O5" s="10" t="s">
        <v>26</v>
      </c>
      <c r="P5" s="10" t="s">
        <v>26</v>
      </c>
      <c r="Q5" s="10" t="s">
        <v>26</v>
      </c>
      <c r="R5" s="10" t="s">
        <v>26</v>
      </c>
      <c r="S5" s="10" t="s">
        <v>26</v>
      </c>
      <c r="T5" s="10" t="s">
        <v>26</v>
      </c>
      <c r="U5" s="7" t="s">
        <v>26</v>
      </c>
      <c r="V5" s="7" t="s">
        <v>26</v>
      </c>
      <c r="W5" s="7" t="s">
        <v>26</v>
      </c>
    </row>
    <row r="6">
      <c r="A6" s="8">
        <v>40299.0</v>
      </c>
      <c r="B6" s="9">
        <f>IFERROR(__xludf.DUMMYFUNCTION("""COMPUTED_VALUE"""),3859.0)</f>
        <v>3859</v>
      </c>
      <c r="C6" s="10" t="s">
        <v>26</v>
      </c>
      <c r="D6" s="10" t="s">
        <v>26</v>
      </c>
      <c r="E6" s="10" t="s">
        <v>26</v>
      </c>
      <c r="F6" s="46" t="s">
        <v>26</v>
      </c>
      <c r="G6" s="10" t="s">
        <v>26</v>
      </c>
      <c r="H6" s="46" t="s">
        <v>26</v>
      </c>
      <c r="I6" s="10" t="s">
        <v>26</v>
      </c>
      <c r="J6" s="11" t="s">
        <v>26</v>
      </c>
      <c r="K6" s="11" t="s">
        <v>26</v>
      </c>
      <c r="L6" s="11" t="s">
        <v>26</v>
      </c>
      <c r="M6" s="10" t="s">
        <v>26</v>
      </c>
      <c r="N6" s="10" t="s">
        <v>26</v>
      </c>
      <c r="O6" s="10" t="s">
        <v>26</v>
      </c>
      <c r="P6" s="10" t="s">
        <v>26</v>
      </c>
      <c r="Q6" s="10" t="s">
        <v>26</v>
      </c>
      <c r="R6" s="10" t="s">
        <v>26</v>
      </c>
      <c r="S6" s="10" t="s">
        <v>26</v>
      </c>
      <c r="T6" s="10" t="s">
        <v>26</v>
      </c>
      <c r="U6" s="7" t="s">
        <v>26</v>
      </c>
      <c r="V6" s="7" t="s">
        <v>26</v>
      </c>
      <c r="W6" s="7" t="s">
        <v>26</v>
      </c>
    </row>
    <row r="7">
      <c r="A7" s="8">
        <v>40330.0</v>
      </c>
      <c r="B7" s="9">
        <f>IFERROR(__xludf.DUMMYFUNCTION("""COMPUTED_VALUE"""),2800.0)</f>
        <v>2800</v>
      </c>
      <c r="C7" s="10" t="s">
        <v>26</v>
      </c>
      <c r="D7" s="10" t="s">
        <v>26</v>
      </c>
      <c r="E7" s="10" t="s">
        <v>26</v>
      </c>
      <c r="F7" s="46" t="s">
        <v>26</v>
      </c>
      <c r="G7" s="10" t="s">
        <v>26</v>
      </c>
      <c r="H7" s="46" t="s">
        <v>26</v>
      </c>
      <c r="I7" s="10" t="s">
        <v>26</v>
      </c>
      <c r="J7" s="11" t="s">
        <v>26</v>
      </c>
      <c r="K7" s="11" t="s">
        <v>26</v>
      </c>
      <c r="L7" s="11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  <c r="R7" s="10" t="s">
        <v>26</v>
      </c>
      <c r="S7" s="10" t="s">
        <v>26</v>
      </c>
      <c r="T7" s="10" t="s">
        <v>26</v>
      </c>
      <c r="U7" s="7" t="s">
        <v>26</v>
      </c>
      <c r="V7" s="7" t="s">
        <v>26</v>
      </c>
      <c r="W7" s="7" t="s">
        <v>26</v>
      </c>
    </row>
    <row r="8">
      <c r="A8" s="8">
        <v>40360.0</v>
      </c>
      <c r="B8" s="9">
        <f>IFERROR(__xludf.DUMMYFUNCTION("""COMPUTED_VALUE"""),47.0)</f>
        <v>47</v>
      </c>
      <c r="C8" s="10" t="s">
        <v>26</v>
      </c>
      <c r="D8" s="10" t="s">
        <v>26</v>
      </c>
      <c r="E8" s="10" t="s">
        <v>26</v>
      </c>
      <c r="F8" s="46" t="s">
        <v>26</v>
      </c>
      <c r="G8" s="10" t="s">
        <v>26</v>
      </c>
      <c r="H8" s="46" t="s">
        <v>26</v>
      </c>
      <c r="I8" s="10" t="s">
        <v>26</v>
      </c>
      <c r="J8" s="11" t="s">
        <v>26</v>
      </c>
      <c r="K8" s="11" t="s">
        <v>26</v>
      </c>
      <c r="L8" s="11" t="s">
        <v>26</v>
      </c>
      <c r="M8" s="10" t="s">
        <v>26</v>
      </c>
      <c r="N8" s="10" t="s">
        <v>26</v>
      </c>
      <c r="O8" s="10" t="s">
        <v>26</v>
      </c>
      <c r="P8" s="10" t="s">
        <v>26</v>
      </c>
      <c r="Q8" s="10" t="s">
        <v>26</v>
      </c>
      <c r="R8" s="10" t="s">
        <v>26</v>
      </c>
      <c r="S8" s="10" t="s">
        <v>26</v>
      </c>
      <c r="T8" s="10" t="s">
        <v>26</v>
      </c>
      <c r="U8" s="7" t="s">
        <v>26</v>
      </c>
      <c r="V8" s="7" t="s">
        <v>26</v>
      </c>
      <c r="W8" s="7" t="s">
        <v>26</v>
      </c>
    </row>
    <row r="9">
      <c r="A9" s="8">
        <v>40391.0</v>
      </c>
      <c r="B9" s="9">
        <f>IFERROR(__xludf.DUMMYFUNCTION("""COMPUTED_VALUE"""),140.0)</f>
        <v>140</v>
      </c>
      <c r="C9" s="10" t="s">
        <v>26</v>
      </c>
      <c r="D9" s="10" t="s">
        <v>26</v>
      </c>
      <c r="E9" s="10" t="s">
        <v>26</v>
      </c>
      <c r="F9" s="46" t="s">
        <v>26</v>
      </c>
      <c r="G9" s="10" t="s">
        <v>26</v>
      </c>
      <c r="H9" s="46" t="s">
        <v>26</v>
      </c>
      <c r="I9" s="10" t="s">
        <v>26</v>
      </c>
      <c r="J9" s="11" t="s">
        <v>26</v>
      </c>
      <c r="K9" s="11" t="s">
        <v>26</v>
      </c>
      <c r="L9" s="11" t="s">
        <v>26</v>
      </c>
      <c r="M9" s="10" t="s">
        <v>26</v>
      </c>
      <c r="N9" s="10" t="s">
        <v>26</v>
      </c>
      <c r="O9" s="10" t="s">
        <v>26</v>
      </c>
      <c r="P9" s="10" t="s">
        <v>26</v>
      </c>
      <c r="Q9" s="10" t="s">
        <v>26</v>
      </c>
      <c r="R9" s="10" t="s">
        <v>26</v>
      </c>
      <c r="S9" s="10" t="s">
        <v>26</v>
      </c>
      <c r="T9" s="10" t="s">
        <v>26</v>
      </c>
      <c r="U9" s="7" t="s">
        <v>26</v>
      </c>
      <c r="V9" s="7" t="s">
        <v>26</v>
      </c>
      <c r="W9" s="7" t="s">
        <v>26</v>
      </c>
    </row>
    <row r="10">
      <c r="A10" s="8">
        <v>40422.0</v>
      </c>
      <c r="B10" s="9"/>
      <c r="C10" s="10" t="s">
        <v>26</v>
      </c>
      <c r="D10" s="10" t="s">
        <v>26</v>
      </c>
      <c r="E10" s="10" t="s">
        <v>26</v>
      </c>
      <c r="F10" s="46" t="s">
        <v>26</v>
      </c>
      <c r="G10" s="10" t="s">
        <v>26</v>
      </c>
      <c r="H10" s="46" t="s">
        <v>26</v>
      </c>
      <c r="I10" s="10" t="s">
        <v>26</v>
      </c>
      <c r="J10" s="11" t="s">
        <v>26</v>
      </c>
      <c r="K10" s="11" t="s">
        <v>26</v>
      </c>
      <c r="L10" s="11" t="s">
        <v>26</v>
      </c>
      <c r="M10" s="10" t="s">
        <v>26</v>
      </c>
      <c r="N10" s="10" t="s">
        <v>26</v>
      </c>
      <c r="O10" s="10" t="s">
        <v>26</v>
      </c>
      <c r="P10" s="10" t="s">
        <v>26</v>
      </c>
      <c r="Q10" s="10" t="s">
        <v>26</v>
      </c>
      <c r="R10" s="10" t="s">
        <v>26</v>
      </c>
      <c r="S10" s="10" t="s">
        <v>26</v>
      </c>
      <c r="T10" s="10" t="s">
        <v>26</v>
      </c>
      <c r="U10" s="7" t="s">
        <v>26</v>
      </c>
      <c r="V10" s="7" t="s">
        <v>26</v>
      </c>
      <c r="W10" s="7" t="s">
        <v>26</v>
      </c>
    </row>
    <row r="11">
      <c r="A11" s="8">
        <v>40452.0</v>
      </c>
      <c r="B11" s="9">
        <f>IFERROR(__xludf.DUMMYFUNCTION("""COMPUTED_VALUE"""),3046.0)</f>
        <v>3046</v>
      </c>
      <c r="C11" s="10" t="s">
        <v>26</v>
      </c>
      <c r="D11" s="10" t="s">
        <v>26</v>
      </c>
      <c r="E11" s="10" t="s">
        <v>26</v>
      </c>
      <c r="F11" s="46" t="s">
        <v>26</v>
      </c>
      <c r="G11" s="10" t="s">
        <v>26</v>
      </c>
      <c r="H11" s="46" t="s">
        <v>26</v>
      </c>
      <c r="I11" s="10" t="s">
        <v>26</v>
      </c>
      <c r="J11" s="11" t="s">
        <v>26</v>
      </c>
      <c r="K11" s="11" t="s">
        <v>26</v>
      </c>
      <c r="L11" s="11" t="s">
        <v>26</v>
      </c>
      <c r="M11" s="10" t="s">
        <v>26</v>
      </c>
      <c r="N11" s="10" t="s">
        <v>26</v>
      </c>
      <c r="O11" s="10" t="s">
        <v>26</v>
      </c>
      <c r="P11" s="10" t="s">
        <v>26</v>
      </c>
      <c r="Q11" s="10" t="s">
        <v>26</v>
      </c>
      <c r="R11" s="10" t="s">
        <v>26</v>
      </c>
      <c r="S11" s="10" t="s">
        <v>26</v>
      </c>
      <c r="T11" s="10" t="s">
        <v>26</v>
      </c>
      <c r="U11" s="7" t="s">
        <v>26</v>
      </c>
      <c r="V11" s="7" t="s">
        <v>26</v>
      </c>
      <c r="W11" s="7" t="s">
        <v>26</v>
      </c>
    </row>
    <row r="12">
      <c r="A12" s="8">
        <v>40483.0</v>
      </c>
      <c r="B12" s="9">
        <f>IFERROR(__xludf.DUMMYFUNCTION("""COMPUTED_VALUE"""),191.0)</f>
        <v>191</v>
      </c>
      <c r="C12" s="10" t="s">
        <v>26</v>
      </c>
      <c r="D12" s="10" t="s">
        <v>26</v>
      </c>
      <c r="E12" s="10" t="s">
        <v>26</v>
      </c>
      <c r="F12" s="46" t="s">
        <v>26</v>
      </c>
      <c r="G12" s="10" t="s">
        <v>26</v>
      </c>
      <c r="H12" s="46" t="s">
        <v>26</v>
      </c>
      <c r="I12" s="10" t="s">
        <v>26</v>
      </c>
      <c r="J12" s="11" t="s">
        <v>26</v>
      </c>
      <c r="K12" s="11" t="s">
        <v>26</v>
      </c>
      <c r="L12" s="11" t="s">
        <v>26</v>
      </c>
      <c r="M12" s="10" t="s">
        <v>26</v>
      </c>
      <c r="N12" s="10" t="s">
        <v>26</v>
      </c>
      <c r="O12" s="10" t="s">
        <v>26</v>
      </c>
      <c r="P12" s="10" t="s">
        <v>26</v>
      </c>
      <c r="Q12" s="10" t="s">
        <v>26</v>
      </c>
      <c r="R12" s="10" t="s">
        <v>26</v>
      </c>
      <c r="S12" s="10" t="s">
        <v>26</v>
      </c>
      <c r="T12" s="10" t="s">
        <v>26</v>
      </c>
      <c r="U12" s="7" t="s">
        <v>26</v>
      </c>
      <c r="V12" s="7" t="s">
        <v>26</v>
      </c>
      <c r="W12" s="7" t="s">
        <v>26</v>
      </c>
    </row>
    <row r="13">
      <c r="A13" s="8">
        <v>40513.0</v>
      </c>
      <c r="B13" s="9">
        <f>IFERROR(__xludf.DUMMYFUNCTION("""COMPUTED_VALUE"""),2950.0)</f>
        <v>2950</v>
      </c>
      <c r="C13" s="10" t="s">
        <v>26</v>
      </c>
      <c r="D13" s="10" t="s">
        <v>26</v>
      </c>
      <c r="E13" s="10" t="s">
        <v>26</v>
      </c>
      <c r="F13" s="46" t="s">
        <v>26</v>
      </c>
      <c r="G13" s="10" t="s">
        <v>26</v>
      </c>
      <c r="H13" s="46" t="s">
        <v>26</v>
      </c>
      <c r="I13" s="10" t="s">
        <v>26</v>
      </c>
      <c r="J13" s="11" t="s">
        <v>26</v>
      </c>
      <c r="K13" s="11" t="s">
        <v>26</v>
      </c>
      <c r="L13" s="11" t="s">
        <v>26</v>
      </c>
      <c r="M13" s="10" t="s">
        <v>26</v>
      </c>
      <c r="N13" s="10" t="s">
        <v>26</v>
      </c>
      <c r="O13" s="10" t="s">
        <v>26</v>
      </c>
      <c r="P13" s="10" t="s">
        <v>26</v>
      </c>
      <c r="Q13" s="10" t="s">
        <v>26</v>
      </c>
      <c r="R13" s="10" t="s">
        <v>26</v>
      </c>
      <c r="S13" s="10" t="s">
        <v>26</v>
      </c>
      <c r="T13" s="10" t="s">
        <v>26</v>
      </c>
      <c r="U13" s="7" t="s">
        <v>26</v>
      </c>
      <c r="V13" s="7" t="s">
        <v>26</v>
      </c>
      <c r="W13" s="7" t="s">
        <v>26</v>
      </c>
    </row>
    <row r="14">
      <c r="A14" s="8">
        <v>40544.0</v>
      </c>
      <c r="B14" s="9">
        <f>IFERROR(__xludf.DUMMYFUNCTION("""COMPUTED_VALUE"""),142.0)</f>
        <v>142</v>
      </c>
      <c r="C14" s="10" t="s">
        <v>26</v>
      </c>
      <c r="D14" s="10" t="s">
        <v>26</v>
      </c>
      <c r="E14" s="10" t="s">
        <v>26</v>
      </c>
      <c r="F14" s="46" t="s">
        <v>26</v>
      </c>
      <c r="G14" s="10" t="s">
        <v>26</v>
      </c>
      <c r="H14" s="46" t="s">
        <v>26</v>
      </c>
      <c r="I14" s="10" t="s">
        <v>26</v>
      </c>
      <c r="J14" s="11" t="s">
        <v>26</v>
      </c>
      <c r="K14" s="11" t="s">
        <v>26</v>
      </c>
      <c r="L14" s="11" t="s">
        <v>26</v>
      </c>
      <c r="M14" s="10" t="s">
        <v>26</v>
      </c>
      <c r="N14" s="10" t="s">
        <v>26</v>
      </c>
      <c r="O14" s="10" t="s">
        <v>26</v>
      </c>
      <c r="P14" s="10" t="s">
        <v>26</v>
      </c>
      <c r="Q14" s="10" t="s">
        <v>26</v>
      </c>
      <c r="R14" s="10" t="s">
        <v>26</v>
      </c>
      <c r="S14" s="10" t="s">
        <v>26</v>
      </c>
      <c r="T14" s="10" t="s">
        <v>26</v>
      </c>
      <c r="U14" s="7" t="s">
        <v>26</v>
      </c>
      <c r="V14" s="7" t="s">
        <v>26</v>
      </c>
      <c r="W14" s="7" t="s">
        <v>26</v>
      </c>
    </row>
    <row r="15">
      <c r="A15" s="8">
        <v>40575.0</v>
      </c>
      <c r="B15" s="9">
        <f>IFERROR(__xludf.DUMMYFUNCTION("""COMPUTED_VALUE"""),3638.0)</f>
        <v>3638</v>
      </c>
      <c r="C15" s="10" t="s">
        <v>26</v>
      </c>
      <c r="D15" s="10" t="s">
        <v>26</v>
      </c>
      <c r="E15" s="10" t="s">
        <v>26</v>
      </c>
      <c r="F15" s="46" t="s">
        <v>26</v>
      </c>
      <c r="G15" s="10" t="s">
        <v>26</v>
      </c>
      <c r="H15" s="46" t="s">
        <v>26</v>
      </c>
      <c r="I15" s="10" t="s">
        <v>26</v>
      </c>
      <c r="J15" s="11" t="s">
        <v>26</v>
      </c>
      <c r="K15" s="11" t="s">
        <v>26</v>
      </c>
      <c r="L15" s="11" t="s">
        <v>26</v>
      </c>
      <c r="M15" s="10" t="s">
        <v>26</v>
      </c>
      <c r="N15" s="10" t="s">
        <v>26</v>
      </c>
      <c r="O15" s="10" t="s">
        <v>26</v>
      </c>
      <c r="P15" s="10" t="s">
        <v>26</v>
      </c>
      <c r="Q15" s="10" t="s">
        <v>26</v>
      </c>
      <c r="R15" s="10" t="s">
        <v>26</v>
      </c>
      <c r="S15" s="10" t="s">
        <v>26</v>
      </c>
      <c r="T15" s="10" t="s">
        <v>26</v>
      </c>
      <c r="U15" s="7" t="s">
        <v>26</v>
      </c>
      <c r="V15" s="7" t="s">
        <v>26</v>
      </c>
      <c r="W15" s="7" t="s">
        <v>26</v>
      </c>
    </row>
    <row r="16">
      <c r="A16" s="8">
        <v>40603.0</v>
      </c>
      <c r="B16" s="9">
        <f>IFERROR(__xludf.DUMMYFUNCTION("""COMPUTED_VALUE"""),1470.0)</f>
        <v>1470</v>
      </c>
      <c r="C16" s="10" t="s">
        <v>26</v>
      </c>
      <c r="D16" s="10" t="s">
        <v>26</v>
      </c>
      <c r="E16" s="10" t="s">
        <v>26</v>
      </c>
      <c r="F16" s="46" t="s">
        <v>26</v>
      </c>
      <c r="G16" s="10" t="s">
        <v>26</v>
      </c>
      <c r="H16" s="46" t="s">
        <v>26</v>
      </c>
      <c r="I16" s="10" t="s">
        <v>26</v>
      </c>
      <c r="J16" s="11" t="s">
        <v>26</v>
      </c>
      <c r="K16" s="11" t="s">
        <v>26</v>
      </c>
      <c r="L16" s="11" t="s">
        <v>26</v>
      </c>
      <c r="M16" s="10" t="s">
        <v>26</v>
      </c>
      <c r="N16" s="10" t="s">
        <v>26</v>
      </c>
      <c r="O16" s="10" t="s">
        <v>26</v>
      </c>
      <c r="P16" s="10" t="s">
        <v>26</v>
      </c>
      <c r="Q16" s="10" t="s">
        <v>26</v>
      </c>
      <c r="R16" s="10" t="s">
        <v>26</v>
      </c>
      <c r="S16" s="10" t="s">
        <v>26</v>
      </c>
      <c r="T16" s="10" t="s">
        <v>26</v>
      </c>
      <c r="U16" s="7" t="s">
        <v>26</v>
      </c>
      <c r="V16" s="7" t="s">
        <v>26</v>
      </c>
      <c r="W16" s="7" t="s">
        <v>26</v>
      </c>
    </row>
    <row r="17">
      <c r="A17" s="8">
        <v>40634.0</v>
      </c>
      <c r="B17" s="9"/>
      <c r="C17" s="10" t="s">
        <v>26</v>
      </c>
      <c r="D17" s="10" t="s">
        <v>26</v>
      </c>
      <c r="E17" s="10" t="s">
        <v>26</v>
      </c>
      <c r="F17" s="46" t="s">
        <v>26</v>
      </c>
      <c r="G17" s="10" t="s">
        <v>26</v>
      </c>
      <c r="H17" s="46" t="s">
        <v>26</v>
      </c>
      <c r="I17" s="10" t="s">
        <v>26</v>
      </c>
      <c r="J17" s="11" t="s">
        <v>26</v>
      </c>
      <c r="K17" s="11" t="s">
        <v>26</v>
      </c>
      <c r="L17" s="11" t="s">
        <v>26</v>
      </c>
      <c r="M17" s="10" t="s">
        <v>26</v>
      </c>
      <c r="N17" s="10" t="s">
        <v>26</v>
      </c>
      <c r="O17" s="10" t="s">
        <v>26</v>
      </c>
      <c r="P17" s="10" t="s">
        <v>26</v>
      </c>
      <c r="Q17" s="10" t="s">
        <v>26</v>
      </c>
      <c r="R17" s="10" t="s">
        <v>26</v>
      </c>
      <c r="S17" s="10" t="s">
        <v>26</v>
      </c>
      <c r="T17" s="10" t="s">
        <v>26</v>
      </c>
      <c r="U17" s="7" t="s">
        <v>26</v>
      </c>
      <c r="V17" s="7" t="s">
        <v>26</v>
      </c>
      <c r="W17" s="7" t="s">
        <v>26</v>
      </c>
    </row>
    <row r="18">
      <c r="A18" s="8">
        <v>40664.0</v>
      </c>
      <c r="B18" s="9">
        <f>IFERROR(__xludf.DUMMYFUNCTION("""COMPUTED_VALUE"""),1315.0)</f>
        <v>1315</v>
      </c>
      <c r="C18" s="10" t="s">
        <v>26</v>
      </c>
      <c r="D18" s="10" t="s">
        <v>26</v>
      </c>
      <c r="E18" s="10" t="s">
        <v>26</v>
      </c>
      <c r="F18" s="46" t="s">
        <v>26</v>
      </c>
      <c r="G18" s="10" t="s">
        <v>26</v>
      </c>
      <c r="H18" s="46" t="s">
        <v>26</v>
      </c>
      <c r="I18" s="10" t="s">
        <v>26</v>
      </c>
      <c r="J18" s="11" t="s">
        <v>26</v>
      </c>
      <c r="K18" s="11" t="s">
        <v>26</v>
      </c>
      <c r="L18" s="11" t="s">
        <v>26</v>
      </c>
      <c r="M18" s="10" t="s">
        <v>26</v>
      </c>
      <c r="N18" s="10" t="s">
        <v>26</v>
      </c>
      <c r="O18" s="10" t="s">
        <v>26</v>
      </c>
      <c r="P18" s="10" t="s">
        <v>26</v>
      </c>
      <c r="Q18" s="10" t="s">
        <v>26</v>
      </c>
      <c r="R18" s="10" t="s">
        <v>26</v>
      </c>
      <c r="S18" s="10" t="s">
        <v>26</v>
      </c>
      <c r="T18" s="10" t="s">
        <v>26</v>
      </c>
      <c r="U18" s="7" t="s">
        <v>26</v>
      </c>
      <c r="V18" s="7" t="s">
        <v>26</v>
      </c>
      <c r="W18" s="7" t="s">
        <v>26</v>
      </c>
    </row>
    <row r="19">
      <c r="A19" s="8">
        <v>40695.0</v>
      </c>
      <c r="B19" s="9">
        <f>IFERROR(__xludf.DUMMYFUNCTION("""COMPUTED_VALUE"""),276.0)</f>
        <v>276</v>
      </c>
      <c r="C19" s="10" t="s">
        <v>26</v>
      </c>
      <c r="D19" s="10" t="s">
        <v>26</v>
      </c>
      <c r="E19" s="10" t="s">
        <v>26</v>
      </c>
      <c r="F19" s="46" t="s">
        <v>26</v>
      </c>
      <c r="G19" s="10" t="s">
        <v>26</v>
      </c>
      <c r="H19" s="46" t="s">
        <v>26</v>
      </c>
      <c r="I19" s="10" t="s">
        <v>26</v>
      </c>
      <c r="J19" s="11" t="s">
        <v>26</v>
      </c>
      <c r="K19" s="11" t="s">
        <v>26</v>
      </c>
      <c r="L19" s="11" t="s">
        <v>26</v>
      </c>
      <c r="M19" s="10" t="s">
        <v>26</v>
      </c>
      <c r="N19" s="10" t="s">
        <v>26</v>
      </c>
      <c r="O19" s="10" t="s">
        <v>26</v>
      </c>
      <c r="P19" s="10" t="s">
        <v>26</v>
      </c>
      <c r="Q19" s="10" t="s">
        <v>26</v>
      </c>
      <c r="R19" s="10" t="s">
        <v>26</v>
      </c>
      <c r="S19" s="10" t="s">
        <v>26</v>
      </c>
      <c r="T19" s="10" t="s">
        <v>26</v>
      </c>
      <c r="U19" s="7" t="s">
        <v>26</v>
      </c>
      <c r="V19" s="7" t="s">
        <v>26</v>
      </c>
      <c r="W19" s="7" t="s">
        <v>26</v>
      </c>
    </row>
    <row r="20">
      <c r="A20" s="8">
        <v>40725.0</v>
      </c>
      <c r="B20" s="9">
        <f>IFERROR(__xludf.DUMMYFUNCTION("""COMPUTED_VALUE"""),1385.0)</f>
        <v>1385</v>
      </c>
      <c r="C20" s="10" t="s">
        <v>26</v>
      </c>
      <c r="D20" s="10" t="s">
        <v>26</v>
      </c>
      <c r="E20" s="10" t="s">
        <v>26</v>
      </c>
      <c r="F20" s="46" t="s">
        <v>26</v>
      </c>
      <c r="G20" s="10" t="s">
        <v>26</v>
      </c>
      <c r="H20" s="46" t="s">
        <v>26</v>
      </c>
      <c r="I20" s="10" t="s">
        <v>26</v>
      </c>
      <c r="J20" s="11" t="s">
        <v>26</v>
      </c>
      <c r="K20" s="11" t="s">
        <v>26</v>
      </c>
      <c r="L20" s="11" t="s">
        <v>26</v>
      </c>
      <c r="M20" s="10" t="s">
        <v>26</v>
      </c>
      <c r="N20" s="10" t="s">
        <v>26</v>
      </c>
      <c r="O20" s="10" t="s">
        <v>26</v>
      </c>
      <c r="P20" s="10" t="s">
        <v>26</v>
      </c>
      <c r="Q20" s="10" t="s">
        <v>26</v>
      </c>
      <c r="R20" s="10" t="s">
        <v>26</v>
      </c>
      <c r="S20" s="10" t="s">
        <v>26</v>
      </c>
      <c r="T20" s="10" t="s">
        <v>26</v>
      </c>
      <c r="U20" s="7" t="s">
        <v>26</v>
      </c>
      <c r="V20" s="7" t="s">
        <v>26</v>
      </c>
      <c r="W20" s="7" t="s">
        <v>26</v>
      </c>
    </row>
    <row r="21">
      <c r="A21" s="8">
        <v>40756.0</v>
      </c>
      <c r="B21" s="9"/>
      <c r="C21" s="12">
        <v>611.642853920576</v>
      </c>
      <c r="D21" s="12">
        <v>595.642855849904</v>
      </c>
      <c r="E21" s="12">
        <v>606.0</v>
      </c>
      <c r="F21" s="47">
        <v>8.52823436687058</v>
      </c>
      <c r="G21" s="12">
        <v>595.64267907852</v>
      </c>
      <c r="H21" s="47">
        <v>595.642706291656</v>
      </c>
      <c r="I21" s="12">
        <v>603.138365132431</v>
      </c>
      <c r="J21" s="13">
        <v>595.642857503718</v>
      </c>
      <c r="K21" s="13">
        <v>9594.3890561065</v>
      </c>
      <c r="L21" s="13">
        <v>735.689474813106</v>
      </c>
      <c r="M21" s="12">
        <v>602.316666116073</v>
      </c>
      <c r="N21" s="12">
        <v>752.631981773663</v>
      </c>
      <c r="O21" s="12">
        <v>735.692308748692</v>
      </c>
      <c r="P21" s="12">
        <v>735.692306686748</v>
      </c>
      <c r="Q21" s="12">
        <v>735.0</v>
      </c>
      <c r="R21" s="12">
        <v>966.983149402503</v>
      </c>
      <c r="S21" s="12">
        <v>735.692308243154</v>
      </c>
      <c r="T21" s="12">
        <v>731.271262305294</v>
      </c>
      <c r="U21" s="7">
        <v>735.692302955058</v>
      </c>
      <c r="V21" s="7">
        <v>16307.1200829804</v>
      </c>
      <c r="W21" s="7">
        <v>595.642857142857</v>
      </c>
    </row>
    <row r="22">
      <c r="A22" s="8">
        <v>40787.0</v>
      </c>
      <c r="B22" s="9">
        <f>IFERROR(__xludf.DUMMYFUNCTION("""COMPUTED_VALUE"""),305.0)</f>
        <v>305</v>
      </c>
      <c r="C22" s="12">
        <v>595.642853920576</v>
      </c>
      <c r="D22" s="12">
        <v>595.642855849904</v>
      </c>
      <c r="E22" s="12">
        <v>568.0</v>
      </c>
      <c r="F22" s="47">
        <v>524.486413562541</v>
      </c>
      <c r="G22" s="12">
        <v>595.64267907852</v>
      </c>
      <c r="H22" s="47">
        <v>595.642706291656</v>
      </c>
      <c r="I22" s="12">
        <v>565.138365132431</v>
      </c>
      <c r="J22" s="13">
        <v>595.642857503718</v>
      </c>
      <c r="K22" s="13">
        <v>9594.3890561065</v>
      </c>
      <c r="L22" s="13">
        <v>735.689474813106</v>
      </c>
      <c r="M22" s="12">
        <v>566.553595882674</v>
      </c>
      <c r="N22" s="12">
        <v>752.631981773663</v>
      </c>
      <c r="O22" s="12">
        <v>735.692308748692</v>
      </c>
      <c r="P22" s="12">
        <v>735.692306686748</v>
      </c>
      <c r="Q22" s="12">
        <v>735.194066426648</v>
      </c>
      <c r="R22" s="12">
        <v>1608.35637273022</v>
      </c>
      <c r="S22" s="12">
        <v>735.692308243154</v>
      </c>
      <c r="T22" s="12">
        <v>731.271262305294</v>
      </c>
      <c r="U22" s="7">
        <v>735.692302955058</v>
      </c>
      <c r="V22" s="7">
        <v>14858.7928566918</v>
      </c>
      <c r="W22" s="7">
        <v>595.642857142857</v>
      </c>
    </row>
    <row r="23">
      <c r="A23" s="8">
        <v>40817.0</v>
      </c>
      <c r="B23" s="9"/>
      <c r="C23" s="12">
        <v>595.642853920576</v>
      </c>
      <c r="D23" s="12">
        <v>595.642855849904</v>
      </c>
      <c r="E23" s="12">
        <v>555.0</v>
      </c>
      <c r="F23" s="47">
        <v>4227.44216783922</v>
      </c>
      <c r="G23" s="12">
        <v>595.64267907852</v>
      </c>
      <c r="H23" s="47">
        <v>595.642706291656</v>
      </c>
      <c r="I23" s="12">
        <v>552.138365132431</v>
      </c>
      <c r="J23" s="13">
        <v>595.642857503718</v>
      </c>
      <c r="K23" s="13">
        <v>9594.3890561065</v>
      </c>
      <c r="L23" s="13">
        <v>735.689474813106</v>
      </c>
      <c r="M23" s="12">
        <v>158.436618139176</v>
      </c>
      <c r="N23" s="12">
        <v>752.631981773663</v>
      </c>
      <c r="O23" s="12">
        <v>735.692308748692</v>
      </c>
      <c r="P23" s="12">
        <v>735.692306686748</v>
      </c>
      <c r="Q23" s="12">
        <v>735.0</v>
      </c>
      <c r="R23" s="12">
        <v>1744.49998941363</v>
      </c>
      <c r="S23" s="12">
        <v>735.692308243154</v>
      </c>
      <c r="T23" s="12">
        <v>731.271262305294</v>
      </c>
      <c r="U23" s="7">
        <v>735.692302955058</v>
      </c>
      <c r="V23" s="7">
        <v>5451.32752259899</v>
      </c>
      <c r="W23" s="7">
        <v>595.642857142857</v>
      </c>
    </row>
    <row r="24">
      <c r="A24" s="8">
        <v>40848.0</v>
      </c>
      <c r="B24" s="9">
        <f>IFERROR(__xludf.DUMMYFUNCTION("""COMPUTED_VALUE"""),326.0)</f>
        <v>326</v>
      </c>
      <c r="C24" s="12">
        <v>595.642853920576</v>
      </c>
      <c r="D24" s="12">
        <v>595.642855849904</v>
      </c>
      <c r="E24" s="12">
        <v>578.0</v>
      </c>
      <c r="F24" s="47">
        <v>658.372140892994</v>
      </c>
      <c r="G24" s="12">
        <v>595.64267907852</v>
      </c>
      <c r="H24" s="47">
        <v>595.642706291656</v>
      </c>
      <c r="I24" s="12">
        <v>575.138365132431</v>
      </c>
      <c r="J24" s="13">
        <v>595.642857503718</v>
      </c>
      <c r="K24" s="13">
        <v>9594.3890561065</v>
      </c>
      <c r="L24" s="13">
        <v>735.689474813106</v>
      </c>
      <c r="M24" s="12">
        <v>683.638000614966</v>
      </c>
      <c r="N24" s="12">
        <v>752.631981773663</v>
      </c>
      <c r="O24" s="12">
        <v>1403.18090501781</v>
      </c>
      <c r="P24" s="12">
        <v>735.692306686748</v>
      </c>
      <c r="Q24" s="12">
        <v>735.0</v>
      </c>
      <c r="R24" s="12">
        <v>957.393611390229</v>
      </c>
      <c r="S24" s="12">
        <v>735.692308243154</v>
      </c>
      <c r="T24" s="12">
        <v>731.271262305294</v>
      </c>
      <c r="U24" s="7">
        <v>735.692302955058</v>
      </c>
      <c r="V24" s="7">
        <v>3341.02201659609</v>
      </c>
      <c r="W24" s="7">
        <v>595.642857142857</v>
      </c>
    </row>
    <row r="25">
      <c r="A25" s="8">
        <v>40878.0</v>
      </c>
      <c r="B25" s="9">
        <f>IFERROR(__xludf.DUMMYFUNCTION("""COMPUTED_VALUE"""),1247.0)</f>
        <v>1247</v>
      </c>
      <c r="C25" s="12">
        <v>671.642853920576</v>
      </c>
      <c r="D25" s="12">
        <v>595.642855849904</v>
      </c>
      <c r="E25" s="12">
        <v>561.0</v>
      </c>
      <c r="F25" s="47">
        <v>63593.5511354667</v>
      </c>
      <c r="G25" s="12">
        <v>595.64267907852</v>
      </c>
      <c r="H25" s="47">
        <v>595.642706291656</v>
      </c>
      <c r="I25" s="12">
        <v>558.138365132431</v>
      </c>
      <c r="J25" s="13">
        <v>595.642857503718</v>
      </c>
      <c r="K25" s="13">
        <v>9594.3890561065</v>
      </c>
      <c r="L25" s="13">
        <v>735.689474813106</v>
      </c>
      <c r="M25" s="12">
        <v>602.316666116073</v>
      </c>
      <c r="N25" s="12">
        <v>752.631981773663</v>
      </c>
      <c r="O25" s="12">
        <v>735.692308748692</v>
      </c>
      <c r="P25" s="12">
        <v>735.692306686748</v>
      </c>
      <c r="Q25" s="12">
        <v>735.0</v>
      </c>
      <c r="R25" s="12">
        <v>1281.25531149071</v>
      </c>
      <c r="S25" s="12">
        <v>735.692308243154</v>
      </c>
      <c r="T25" s="12">
        <v>731.271262305294</v>
      </c>
      <c r="U25" s="7">
        <v>735.692302955058</v>
      </c>
      <c r="V25" s="7">
        <v>2014.90710722698</v>
      </c>
      <c r="W25" s="7">
        <v>595.642857142857</v>
      </c>
    </row>
    <row r="26">
      <c r="A26" s="8">
        <v>40909.0</v>
      </c>
      <c r="B26" s="9">
        <f>IFERROR(__xludf.DUMMYFUNCTION("""COMPUTED_VALUE"""),8241.0)</f>
        <v>8241</v>
      </c>
      <c r="C26" s="12">
        <v>7936.64285392058</v>
      </c>
      <c r="D26" s="12">
        <v>3922.65343754995</v>
      </c>
      <c r="E26" s="12">
        <v>564.0</v>
      </c>
      <c r="F26" s="47">
        <v>1334.06986444107</v>
      </c>
      <c r="G26" s="12">
        <v>6326.05080274681</v>
      </c>
      <c r="H26" s="47">
        <v>595.642706291656</v>
      </c>
      <c r="I26" s="12">
        <v>561.138365132431</v>
      </c>
      <c r="J26" s="13">
        <v>595.642857503718</v>
      </c>
      <c r="K26" s="13">
        <v>9594.3890561065</v>
      </c>
      <c r="L26" s="13">
        <v>735.689474813106</v>
      </c>
      <c r="M26" s="12">
        <v>7989.67715823785</v>
      </c>
      <c r="N26" s="12">
        <v>743.631981773663</v>
      </c>
      <c r="O26" s="12">
        <v>2718.69319835207</v>
      </c>
      <c r="P26" s="12">
        <v>735.692306686748</v>
      </c>
      <c r="Q26" s="12">
        <v>735.0</v>
      </c>
      <c r="R26" s="12">
        <v>11467.2686887442</v>
      </c>
      <c r="S26" s="12">
        <v>735.692308243154</v>
      </c>
      <c r="T26" s="12">
        <v>731.271262305294</v>
      </c>
      <c r="U26" s="7">
        <v>735.692302955058</v>
      </c>
      <c r="V26" s="7">
        <v>8385.15212089335</v>
      </c>
      <c r="W26" s="7">
        <v>8284.0</v>
      </c>
    </row>
    <row r="27">
      <c r="A27" s="8">
        <v>40940.0</v>
      </c>
      <c r="B27" s="9"/>
      <c r="C27" s="12">
        <v>595.642853920576</v>
      </c>
      <c r="D27" s="12">
        <v>595.642855849904</v>
      </c>
      <c r="E27" s="12">
        <v>1096.99702004469</v>
      </c>
      <c r="F27" s="47">
        <v>2754.76764215753</v>
      </c>
      <c r="G27" s="12">
        <v>595.64267907852</v>
      </c>
      <c r="H27" s="47">
        <v>595.642706291656</v>
      </c>
      <c r="I27" s="12">
        <v>407.138365132431</v>
      </c>
      <c r="J27" s="13">
        <v>595.642857503718</v>
      </c>
      <c r="K27" s="13">
        <v>15364.7626666137</v>
      </c>
      <c r="L27" s="13">
        <v>735.689474813106</v>
      </c>
      <c r="M27" s="12">
        <v>602.316666116073</v>
      </c>
      <c r="N27" s="12">
        <v>740.631981773663</v>
      </c>
      <c r="O27" s="12">
        <v>801.994336265473</v>
      </c>
      <c r="P27" s="12">
        <v>735.692306686748</v>
      </c>
      <c r="Q27" s="12">
        <v>735.0</v>
      </c>
      <c r="R27" s="12">
        <v>3165.07380568543</v>
      </c>
      <c r="S27" s="12">
        <v>735.692308243154</v>
      </c>
      <c r="T27" s="12">
        <v>731.271262305294</v>
      </c>
      <c r="U27" s="7">
        <v>735.692302955058</v>
      </c>
      <c r="V27" s="7">
        <v>2466.14174446849</v>
      </c>
      <c r="W27" s="7">
        <v>595.642857142857</v>
      </c>
    </row>
    <row r="28">
      <c r="A28" s="8">
        <v>40969.0</v>
      </c>
      <c r="B28" s="9">
        <f>IFERROR(__xludf.DUMMYFUNCTION("""COMPUTED_VALUE"""),18.0)</f>
        <v>18</v>
      </c>
      <c r="C28" s="12">
        <v>595.642853920576</v>
      </c>
      <c r="D28" s="12">
        <v>1.90007806064601</v>
      </c>
      <c r="E28" s="12">
        <v>514.0</v>
      </c>
      <c r="F28" s="47">
        <v>21.3205859171765</v>
      </c>
      <c r="G28" s="12">
        <v>595.64267907852</v>
      </c>
      <c r="H28" s="47">
        <v>595.642706291656</v>
      </c>
      <c r="I28" s="12">
        <v>511.138365132431</v>
      </c>
      <c r="J28" s="13">
        <v>595.642857503718</v>
      </c>
      <c r="K28" s="13">
        <v>20948.3490995841</v>
      </c>
      <c r="L28" s="13">
        <v>735.689474813106</v>
      </c>
      <c r="M28" s="12">
        <v>603.645686933073</v>
      </c>
      <c r="N28" s="12">
        <v>747.631981773663</v>
      </c>
      <c r="O28" s="12">
        <v>881.38824907355</v>
      </c>
      <c r="P28" s="12">
        <v>735.692306686748</v>
      </c>
      <c r="Q28" s="12">
        <v>735.0320291222</v>
      </c>
      <c r="R28" s="12">
        <v>1823.91045140136</v>
      </c>
      <c r="S28" s="12">
        <v>735.692308243154</v>
      </c>
      <c r="T28" s="12">
        <v>731.271262305294</v>
      </c>
      <c r="U28" s="7">
        <v>735.692302955058</v>
      </c>
      <c r="V28" s="7">
        <v>1898.75284734011</v>
      </c>
      <c r="W28" s="7">
        <v>595.642857142857</v>
      </c>
    </row>
    <row r="29">
      <c r="A29" s="8">
        <v>41000.0</v>
      </c>
      <c r="B29" s="9">
        <f>IFERROR(__xludf.DUMMYFUNCTION("""COMPUTED_VALUE"""),175.0)</f>
        <v>175</v>
      </c>
      <c r="C29" s="12">
        <v>595.642853920576</v>
      </c>
      <c r="D29" s="12">
        <v>3.80015612129202</v>
      </c>
      <c r="E29" s="12">
        <v>339.0</v>
      </c>
      <c r="F29" s="47">
        <v>3.91595785868608</v>
      </c>
      <c r="G29" s="12">
        <v>595.64267907852</v>
      </c>
      <c r="H29" s="47">
        <v>595.642706291656</v>
      </c>
      <c r="I29" s="12">
        <v>336.138365132431</v>
      </c>
      <c r="J29" s="13">
        <v>595.642857503718</v>
      </c>
      <c r="K29" s="13">
        <v>12478.6584741643</v>
      </c>
      <c r="L29" s="13">
        <v>735.689474813106</v>
      </c>
      <c r="M29" s="12">
        <v>755.93316376316</v>
      </c>
      <c r="N29" s="12">
        <v>752.631981773663</v>
      </c>
      <c r="O29" s="12">
        <v>735.692308748692</v>
      </c>
      <c r="P29" s="12">
        <v>735.692306686748</v>
      </c>
      <c r="Q29" s="12">
        <v>735.0</v>
      </c>
      <c r="R29" s="12">
        <v>3205.85196347997</v>
      </c>
      <c r="S29" s="12">
        <v>735.692308243154</v>
      </c>
      <c r="T29" s="12">
        <v>731.271262305294</v>
      </c>
      <c r="U29" s="7">
        <v>735.692302955058</v>
      </c>
      <c r="V29" s="7">
        <v>3146.63644985936</v>
      </c>
      <c r="W29" s="7">
        <v>595.642857142857</v>
      </c>
    </row>
    <row r="30">
      <c r="A30" s="8">
        <v>41030.0</v>
      </c>
      <c r="B30" s="9"/>
      <c r="C30" s="12">
        <v>595.642853920576</v>
      </c>
      <c r="D30" s="12">
        <v>595.642855849904</v>
      </c>
      <c r="E30" s="12">
        <v>573.0</v>
      </c>
      <c r="F30" s="47">
        <v>386.613291298133</v>
      </c>
      <c r="G30" s="12">
        <v>595.64267907852</v>
      </c>
      <c r="H30" s="47">
        <v>595.642706291656</v>
      </c>
      <c r="I30" s="12">
        <v>570.138365132431</v>
      </c>
      <c r="J30" s="13">
        <v>595.642857503718</v>
      </c>
      <c r="K30" s="13">
        <v>9594.3890561065</v>
      </c>
      <c r="L30" s="13">
        <v>735.689474813106</v>
      </c>
      <c r="M30" s="12">
        <v>632.884144907086</v>
      </c>
      <c r="N30" s="12">
        <v>752.631981773663</v>
      </c>
      <c r="O30" s="12">
        <v>735.692308748692</v>
      </c>
      <c r="P30" s="12">
        <v>735.692306686748</v>
      </c>
      <c r="Q30" s="12">
        <v>735.0</v>
      </c>
      <c r="R30" s="12">
        <v>1297.10725709647</v>
      </c>
      <c r="S30" s="12">
        <v>735.692308243154</v>
      </c>
      <c r="T30" s="12">
        <v>731.271262305294</v>
      </c>
      <c r="U30" s="7">
        <v>735.692302955058</v>
      </c>
      <c r="V30" s="7">
        <v>2180.21535282891</v>
      </c>
      <c r="W30" s="7">
        <v>595.642857142857</v>
      </c>
    </row>
    <row r="31">
      <c r="A31" s="8">
        <v>41061.0</v>
      </c>
      <c r="B31" s="9">
        <f>IFERROR(__xludf.DUMMYFUNCTION("""COMPUTED_VALUE"""),53.0)</f>
        <v>53</v>
      </c>
      <c r="C31" s="12">
        <v>595.642853920576</v>
      </c>
      <c r="D31" s="12">
        <v>162.038858681423</v>
      </c>
      <c r="E31" s="12">
        <v>590.0</v>
      </c>
      <c r="F31" s="47">
        <v>0.0</v>
      </c>
      <c r="G31" s="12">
        <v>595.64267907852</v>
      </c>
      <c r="H31" s="47">
        <v>595.642706291656</v>
      </c>
      <c r="I31" s="12">
        <v>587.138365132431</v>
      </c>
      <c r="J31" s="13">
        <v>595.642857503718</v>
      </c>
      <c r="K31" s="13">
        <v>9594.3890561065</v>
      </c>
      <c r="L31" s="13">
        <v>735.689474813106</v>
      </c>
      <c r="M31" s="12">
        <v>602.316666116073</v>
      </c>
      <c r="N31" s="12">
        <v>752.631981773663</v>
      </c>
      <c r="O31" s="12">
        <v>735.692308748692</v>
      </c>
      <c r="P31" s="12">
        <v>735.692306686748</v>
      </c>
      <c r="Q31" s="12">
        <v>735.0</v>
      </c>
      <c r="R31" s="12">
        <v>2293.6953125</v>
      </c>
      <c r="S31" s="12">
        <v>735.692308243154</v>
      </c>
      <c r="T31" s="12">
        <v>731.271262305294</v>
      </c>
      <c r="U31" s="7">
        <v>735.692302955058</v>
      </c>
      <c r="V31" s="7">
        <v>2126.53786240611</v>
      </c>
      <c r="W31" s="7">
        <v>595.642857142857</v>
      </c>
    </row>
    <row r="32">
      <c r="A32" s="8">
        <v>41091.0</v>
      </c>
      <c r="B32" s="9">
        <f>IFERROR(__xludf.DUMMYFUNCTION("""COMPUTED_VALUE"""),29.0)</f>
        <v>29</v>
      </c>
      <c r="C32" s="12">
        <v>595.642853920576</v>
      </c>
      <c r="D32" s="12">
        <v>162.038858681423</v>
      </c>
      <c r="E32" s="12">
        <v>604.0</v>
      </c>
      <c r="F32" s="47">
        <v>0.0</v>
      </c>
      <c r="G32" s="12">
        <v>595.64267907852</v>
      </c>
      <c r="H32" s="47">
        <v>595.642706291656</v>
      </c>
      <c r="I32" s="12">
        <v>601.138365132431</v>
      </c>
      <c r="J32" s="13">
        <v>719.656950247363</v>
      </c>
      <c r="K32" s="13">
        <v>9594.3890561065</v>
      </c>
      <c r="L32" s="13">
        <v>735.689474813106</v>
      </c>
      <c r="M32" s="12">
        <v>967.189958295015</v>
      </c>
      <c r="N32" s="12">
        <v>752.631981773663</v>
      </c>
      <c r="O32" s="12">
        <v>735.692308748692</v>
      </c>
      <c r="P32" s="12">
        <v>735.692306686748</v>
      </c>
      <c r="Q32" s="12">
        <v>735.0</v>
      </c>
      <c r="R32" s="12">
        <v>2250.1328125</v>
      </c>
      <c r="S32" s="12">
        <v>735.692308243154</v>
      </c>
      <c r="T32" s="12">
        <v>731.271262305294</v>
      </c>
      <c r="U32" s="7">
        <v>735.692302955058</v>
      </c>
      <c r="V32" s="7">
        <v>2580.56706179407</v>
      </c>
      <c r="W32" s="7">
        <v>595.642857142857</v>
      </c>
    </row>
    <row r="33">
      <c r="A33" s="8">
        <v>41122.0</v>
      </c>
      <c r="B33" s="9"/>
      <c r="C33" s="12">
        <v>595.642853920576</v>
      </c>
      <c r="D33" s="12">
        <v>595.642855849904</v>
      </c>
      <c r="E33" s="12">
        <v>581.0</v>
      </c>
      <c r="F33" s="47">
        <v>0.0</v>
      </c>
      <c r="G33" s="12">
        <v>595.64267907852</v>
      </c>
      <c r="H33" s="47">
        <v>595.642706291656</v>
      </c>
      <c r="I33" s="12">
        <v>578.138365132431</v>
      </c>
      <c r="J33" s="13">
        <v>595.642857503718</v>
      </c>
      <c r="K33" s="13">
        <v>9594.3890561065</v>
      </c>
      <c r="L33" s="13">
        <v>735.689474813106</v>
      </c>
      <c r="M33" s="12">
        <v>556.632572471542</v>
      </c>
      <c r="N33" s="12">
        <v>752.631981773663</v>
      </c>
      <c r="O33" s="12">
        <v>735.692308748692</v>
      </c>
      <c r="P33" s="12">
        <v>735.692306686748</v>
      </c>
      <c r="Q33" s="12">
        <v>735.0</v>
      </c>
      <c r="R33" s="12">
        <v>1221.828125</v>
      </c>
      <c r="S33" s="12">
        <v>735.692308243154</v>
      </c>
      <c r="T33" s="12">
        <v>731.271262305294</v>
      </c>
      <c r="U33" s="7">
        <v>735.692302955058</v>
      </c>
      <c r="V33" s="7">
        <v>1934.50565590528</v>
      </c>
      <c r="W33" s="7">
        <v>595.642857142857</v>
      </c>
    </row>
    <row r="34">
      <c r="A34" s="8">
        <v>41153.0</v>
      </c>
      <c r="B34" s="9">
        <f>IFERROR(__xludf.DUMMYFUNCTION("""COMPUTED_VALUE"""),500.0)</f>
        <v>500</v>
      </c>
      <c r="C34" s="12">
        <v>595.642853920576</v>
      </c>
      <c r="D34" s="12">
        <v>595.642855849904</v>
      </c>
      <c r="E34" s="12">
        <v>606.0</v>
      </c>
      <c r="F34" s="47">
        <v>0.0</v>
      </c>
      <c r="G34" s="12">
        <v>595.64267907852</v>
      </c>
      <c r="H34" s="47">
        <v>595.642706291656</v>
      </c>
      <c r="I34" s="12">
        <v>603.138365132431</v>
      </c>
      <c r="J34" s="13">
        <v>595.642857503718</v>
      </c>
      <c r="K34" s="13">
        <v>9594.3890561065</v>
      </c>
      <c r="L34" s="13">
        <v>735.689474813106</v>
      </c>
      <c r="M34" s="12">
        <v>518.869502238144</v>
      </c>
      <c r="N34" s="12">
        <v>752.631981773663</v>
      </c>
      <c r="O34" s="12">
        <v>735.692308748692</v>
      </c>
      <c r="P34" s="12">
        <v>735.692306686748</v>
      </c>
      <c r="Q34" s="12">
        <v>735.0</v>
      </c>
      <c r="R34" s="12">
        <v>1322.57534580672</v>
      </c>
      <c r="S34" s="12">
        <v>735.692308243154</v>
      </c>
      <c r="T34" s="12">
        <v>731.271262305294</v>
      </c>
      <c r="U34" s="7">
        <v>735.692302955058</v>
      </c>
      <c r="V34" s="7">
        <v>2256.79897269327</v>
      </c>
      <c r="W34" s="7">
        <v>595.642857142857</v>
      </c>
    </row>
    <row r="35">
      <c r="A35" s="8">
        <v>41183.0</v>
      </c>
      <c r="B35" s="9"/>
      <c r="C35" s="12">
        <v>595.642853920576</v>
      </c>
      <c r="D35" s="12">
        <v>278.946925242818</v>
      </c>
      <c r="E35" s="12">
        <v>599.0</v>
      </c>
      <c r="F35" s="47">
        <v>0.0</v>
      </c>
      <c r="G35" s="12">
        <v>595.64267907852</v>
      </c>
      <c r="H35" s="47">
        <v>595.642706291656</v>
      </c>
      <c r="I35" s="12">
        <v>596.138365132431</v>
      </c>
      <c r="J35" s="13">
        <v>595.642857503718</v>
      </c>
      <c r="K35" s="13">
        <v>9594.3890561065</v>
      </c>
      <c r="L35" s="13">
        <v>735.689474813106</v>
      </c>
      <c r="M35" s="12">
        <v>760.470143339144</v>
      </c>
      <c r="N35" s="12">
        <v>752.631981773663</v>
      </c>
      <c r="O35" s="12">
        <v>10028.5000643716</v>
      </c>
      <c r="P35" s="12">
        <v>735.692306686748</v>
      </c>
      <c r="Q35" s="12">
        <v>735.0</v>
      </c>
      <c r="R35" s="12">
        <v>5109.76001108392</v>
      </c>
      <c r="S35" s="12">
        <v>735.692308243154</v>
      </c>
      <c r="T35" s="12">
        <v>731.271262305294</v>
      </c>
      <c r="U35" s="7">
        <v>735.692302955058</v>
      </c>
      <c r="V35" s="7">
        <v>1122.30723564032</v>
      </c>
      <c r="W35" s="7">
        <v>595.642857142857</v>
      </c>
    </row>
    <row r="36">
      <c r="A36" s="8">
        <v>41214.0</v>
      </c>
      <c r="B36" s="9">
        <f>IFERROR(__xludf.DUMMYFUNCTION("""COMPUTED_VALUE"""),150.0)</f>
        <v>150</v>
      </c>
      <c r="C36" s="12">
        <v>595.642853920576</v>
      </c>
      <c r="D36" s="12">
        <v>595.642855849904</v>
      </c>
      <c r="E36" s="12">
        <v>579.0</v>
      </c>
      <c r="F36" s="47">
        <v>1.95797892934304</v>
      </c>
      <c r="G36" s="12">
        <v>595.64267907852</v>
      </c>
      <c r="H36" s="47">
        <v>595.642706291656</v>
      </c>
      <c r="I36" s="12">
        <v>576.138365132431</v>
      </c>
      <c r="J36" s="13">
        <v>595.642857503718</v>
      </c>
      <c r="K36" s="13">
        <v>9594.3890561065</v>
      </c>
      <c r="L36" s="13">
        <v>735.689474813106</v>
      </c>
      <c r="M36" s="12">
        <v>603.645686933073</v>
      </c>
      <c r="N36" s="12">
        <v>752.631981773663</v>
      </c>
      <c r="O36" s="12">
        <v>775.747093023549</v>
      </c>
      <c r="P36" s="12">
        <v>735.692306686748</v>
      </c>
      <c r="Q36" s="12">
        <v>735.0</v>
      </c>
      <c r="R36" s="12">
        <v>824.684270222465</v>
      </c>
      <c r="S36" s="12">
        <v>735.692308243154</v>
      </c>
      <c r="T36" s="12">
        <v>731.271262305294</v>
      </c>
      <c r="U36" s="7">
        <v>735.692302955058</v>
      </c>
      <c r="V36" s="7">
        <v>1107.79263594634</v>
      </c>
      <c r="W36" s="7">
        <v>595.642857142857</v>
      </c>
    </row>
    <row r="37">
      <c r="A37" s="8">
        <v>41244.0</v>
      </c>
      <c r="B37" s="9"/>
      <c r="C37" s="12">
        <v>595.642853920576</v>
      </c>
      <c r="D37" s="12">
        <v>595.642855849904</v>
      </c>
      <c r="E37" s="12">
        <v>588.0</v>
      </c>
      <c r="F37" s="47">
        <v>3.91595785868608</v>
      </c>
      <c r="G37" s="12">
        <v>595.64267907852</v>
      </c>
      <c r="H37" s="47">
        <v>595.642706291656</v>
      </c>
      <c r="I37" s="12">
        <v>585.138365132431</v>
      </c>
      <c r="J37" s="13">
        <v>595.642857503718</v>
      </c>
      <c r="K37" s="13">
        <v>9594.3890561065</v>
      </c>
      <c r="L37" s="13">
        <v>735.689474813106</v>
      </c>
      <c r="M37" s="12">
        <v>578.474619293807</v>
      </c>
      <c r="N37" s="12">
        <v>752.631981773663</v>
      </c>
      <c r="O37" s="12">
        <v>1830.24863830094</v>
      </c>
      <c r="P37" s="12">
        <v>735.692306686748</v>
      </c>
      <c r="Q37" s="12">
        <v>735.0</v>
      </c>
      <c r="R37" s="12">
        <v>735.692307686805</v>
      </c>
      <c r="S37" s="12">
        <v>735.692308243154</v>
      </c>
      <c r="T37" s="12">
        <v>731.271262305294</v>
      </c>
      <c r="U37" s="7">
        <v>735.692302955058</v>
      </c>
      <c r="V37" s="7">
        <v>1577.87072878144</v>
      </c>
      <c r="W37" s="7">
        <v>595.642857142857</v>
      </c>
    </row>
    <row r="38">
      <c r="A38" s="8">
        <v>41275.0</v>
      </c>
      <c r="B38" s="9">
        <f>IFERROR(__xludf.DUMMYFUNCTION("""COMPUTED_VALUE"""),1200.0)</f>
        <v>1200</v>
      </c>
      <c r="C38" s="12">
        <v>595.642853920576</v>
      </c>
      <c r="D38" s="12">
        <v>595.642855849904</v>
      </c>
      <c r="E38" s="12">
        <v>410.0</v>
      </c>
      <c r="F38" s="47">
        <v>0.0</v>
      </c>
      <c r="G38" s="12">
        <v>980.919802746807</v>
      </c>
      <c r="H38" s="47">
        <v>595.642706291656</v>
      </c>
      <c r="I38" s="12">
        <v>407.138365132431</v>
      </c>
      <c r="J38" s="13">
        <v>595.642857503718</v>
      </c>
      <c r="K38" s="13">
        <v>9594.3890561065</v>
      </c>
      <c r="L38" s="13">
        <v>735.689474813106</v>
      </c>
      <c r="M38" s="12">
        <v>411.580291537949</v>
      </c>
      <c r="N38" s="12">
        <v>752.631981773663</v>
      </c>
      <c r="O38" s="12">
        <v>907.994729308022</v>
      </c>
      <c r="P38" s="12">
        <v>735.692306686748</v>
      </c>
      <c r="Q38" s="12">
        <v>735.82488893771</v>
      </c>
      <c r="R38" s="12">
        <v>909.597059440145</v>
      </c>
      <c r="S38" s="12">
        <v>735.692308243154</v>
      </c>
      <c r="T38" s="12">
        <v>731.271262305294</v>
      </c>
      <c r="U38" s="7">
        <v>735.692302955058</v>
      </c>
      <c r="V38" s="7">
        <v>792.836435028284</v>
      </c>
      <c r="W38" s="7">
        <v>1320.67818191695</v>
      </c>
    </row>
    <row r="39">
      <c r="A39" s="8">
        <v>41306.0</v>
      </c>
      <c r="B39" s="9"/>
      <c r="C39" s="12">
        <v>595.642853920576</v>
      </c>
      <c r="D39" s="12">
        <v>278.946925242818</v>
      </c>
      <c r="E39" s="12">
        <v>568.0</v>
      </c>
      <c r="F39" s="47">
        <v>43.0755364455469</v>
      </c>
      <c r="G39" s="12">
        <v>595.64267907852</v>
      </c>
      <c r="H39" s="47">
        <v>595.642706291656</v>
      </c>
      <c r="I39" s="12">
        <v>565.138365132431</v>
      </c>
      <c r="J39" s="13">
        <v>595.642857503718</v>
      </c>
      <c r="K39" s="13">
        <v>9594.3890561065</v>
      </c>
      <c r="L39" s="13">
        <v>735.689474813106</v>
      </c>
      <c r="M39" s="12">
        <v>565.326662117998</v>
      </c>
      <c r="N39" s="12">
        <v>752.631981773663</v>
      </c>
      <c r="O39" s="12">
        <v>735.692308748692</v>
      </c>
      <c r="P39" s="12">
        <v>735.692306686748</v>
      </c>
      <c r="Q39" s="12">
        <v>735.0</v>
      </c>
      <c r="R39" s="12">
        <v>735.692307686805</v>
      </c>
      <c r="S39" s="12">
        <v>735.692308243154</v>
      </c>
      <c r="T39" s="12">
        <v>775.120059065626</v>
      </c>
      <c r="U39" s="7">
        <v>735.692302955058</v>
      </c>
      <c r="V39" s="7">
        <v>824.504652542425</v>
      </c>
      <c r="W39" s="7">
        <v>595.642857142857</v>
      </c>
    </row>
    <row r="40">
      <c r="A40" s="8">
        <v>41334.0</v>
      </c>
      <c r="B40" s="9"/>
      <c r="C40" s="12">
        <v>595.642853920576</v>
      </c>
      <c r="D40" s="12">
        <v>278.946925242818</v>
      </c>
      <c r="E40" s="12">
        <v>572.0</v>
      </c>
      <c r="F40" s="47">
        <v>0.0</v>
      </c>
      <c r="G40" s="12">
        <v>595.64267907852</v>
      </c>
      <c r="H40" s="47">
        <v>595.642706291656</v>
      </c>
      <c r="I40" s="12">
        <v>569.138365132431</v>
      </c>
      <c r="J40" s="13">
        <v>595.642857503718</v>
      </c>
      <c r="K40" s="13">
        <v>9594.3890561065</v>
      </c>
      <c r="L40" s="13">
        <v>735.689474813106</v>
      </c>
      <c r="M40" s="12">
        <v>579.474619293807</v>
      </c>
      <c r="N40" s="12">
        <v>752.631981773663</v>
      </c>
      <c r="O40" s="12">
        <v>735.692308748692</v>
      </c>
      <c r="P40" s="12">
        <v>735.692306686748</v>
      </c>
      <c r="Q40" s="12">
        <v>735.000172457897</v>
      </c>
      <c r="R40" s="12">
        <v>902.917547504131</v>
      </c>
      <c r="S40" s="12">
        <v>735.692308243154</v>
      </c>
      <c r="T40" s="12">
        <v>651.050939240073</v>
      </c>
      <c r="U40" s="7">
        <v>735.692302955058</v>
      </c>
      <c r="V40" s="7">
        <v>1298.31293032055</v>
      </c>
      <c r="W40" s="7">
        <v>595.642857142857</v>
      </c>
    </row>
    <row r="41">
      <c r="A41" s="8">
        <v>41365.0</v>
      </c>
      <c r="B41" s="9"/>
      <c r="C41" s="12">
        <v>595.642853920576</v>
      </c>
      <c r="D41" s="12">
        <v>260.310694308503</v>
      </c>
      <c r="E41" s="12">
        <v>606.0</v>
      </c>
      <c r="F41" s="47">
        <v>268.243113319996</v>
      </c>
      <c r="G41" s="12">
        <v>595.64267907852</v>
      </c>
      <c r="H41" s="47">
        <v>595.642706291656</v>
      </c>
      <c r="I41" s="12">
        <v>603.138365132431</v>
      </c>
      <c r="J41" s="13">
        <v>595.642857503718</v>
      </c>
      <c r="K41" s="13">
        <v>9594.3890561065</v>
      </c>
      <c r="L41" s="13">
        <v>735.689474813106</v>
      </c>
      <c r="M41" s="12">
        <v>580.474619293807</v>
      </c>
      <c r="N41" s="12">
        <v>752.631981773663</v>
      </c>
      <c r="O41" s="12">
        <v>735.692308748692</v>
      </c>
      <c r="P41" s="12">
        <v>735.692306686748</v>
      </c>
      <c r="Q41" s="12">
        <v>736.395101099667</v>
      </c>
      <c r="R41" s="12">
        <v>735.692307686805</v>
      </c>
      <c r="S41" s="12">
        <v>735.692308243154</v>
      </c>
      <c r="T41" s="12">
        <v>750.391922942106</v>
      </c>
      <c r="U41" s="7">
        <v>735.692302955058</v>
      </c>
      <c r="V41" s="7">
        <v>671.260468220457</v>
      </c>
      <c r="W41" s="7">
        <v>595.642857142857</v>
      </c>
    </row>
    <row r="42">
      <c r="A42" s="8">
        <v>41395.0</v>
      </c>
      <c r="B42" s="9"/>
      <c r="C42" s="12">
        <v>595.642853920576</v>
      </c>
      <c r="D42" s="12">
        <v>595.642855849904</v>
      </c>
      <c r="E42" s="12">
        <v>583.0</v>
      </c>
      <c r="F42" s="47">
        <v>64.6133046683203</v>
      </c>
      <c r="G42" s="12">
        <v>595.64267907852</v>
      </c>
      <c r="H42" s="47">
        <v>595.642706291656</v>
      </c>
      <c r="I42" s="12">
        <v>580.138365132431</v>
      </c>
      <c r="J42" s="13">
        <v>595.642857503718</v>
      </c>
      <c r="K42" s="13">
        <v>595.642856937338</v>
      </c>
      <c r="L42" s="13">
        <v>735.689474813106</v>
      </c>
      <c r="M42" s="12">
        <v>542.711549060409</v>
      </c>
      <c r="N42" s="12">
        <v>752.631981773663</v>
      </c>
      <c r="O42" s="12">
        <v>2700.63573216626</v>
      </c>
      <c r="P42" s="12">
        <v>735.692306686748</v>
      </c>
      <c r="Q42" s="12">
        <v>735.0</v>
      </c>
      <c r="R42" s="12">
        <v>1372.0625</v>
      </c>
      <c r="S42" s="12">
        <v>735.692308243154</v>
      </c>
      <c r="T42" s="12">
        <v>731.271262305294</v>
      </c>
      <c r="U42" s="7">
        <v>735.692302955058</v>
      </c>
      <c r="V42" s="7">
        <v>544.131397245835</v>
      </c>
      <c r="W42" s="7">
        <v>595.642857142857</v>
      </c>
    </row>
    <row r="43">
      <c r="A43" s="8">
        <v>41426.0</v>
      </c>
      <c r="B43" s="9"/>
      <c r="C43" s="12">
        <v>595.642853920576</v>
      </c>
      <c r="D43" s="12">
        <v>595.642855849904</v>
      </c>
      <c r="E43" s="12">
        <v>588.0</v>
      </c>
      <c r="F43" s="47">
        <v>23.4957471521165</v>
      </c>
      <c r="G43" s="12">
        <v>595.64267907852</v>
      </c>
      <c r="H43" s="47">
        <v>595.642706291656</v>
      </c>
      <c r="I43" s="12">
        <v>585.138365132431</v>
      </c>
      <c r="J43" s="13">
        <v>595.642857503718</v>
      </c>
      <c r="K43" s="13">
        <v>595.642856937338</v>
      </c>
      <c r="L43" s="13">
        <v>735.689474813106</v>
      </c>
      <c r="M43" s="12">
        <v>564.711549060409</v>
      </c>
      <c r="N43" s="12">
        <v>752.631981773663</v>
      </c>
      <c r="O43" s="12">
        <v>70202.2535316109</v>
      </c>
      <c r="P43" s="12">
        <v>735.692306686748</v>
      </c>
      <c r="Q43" s="12">
        <v>735.0</v>
      </c>
      <c r="R43" s="12">
        <v>1698.94261336268</v>
      </c>
      <c r="S43" s="12">
        <v>735.692308243154</v>
      </c>
      <c r="T43" s="12">
        <v>731.271262305294</v>
      </c>
      <c r="U43" s="7">
        <v>735.692302955058</v>
      </c>
      <c r="V43" s="7">
        <v>498.168217514142</v>
      </c>
      <c r="W43" s="7">
        <v>595.642857142857</v>
      </c>
    </row>
    <row r="44">
      <c r="A44" s="8">
        <v>41456.0</v>
      </c>
      <c r="B44" s="9"/>
      <c r="C44" s="12">
        <v>595.642853920576</v>
      </c>
      <c r="D44" s="12">
        <v>595.642855849904</v>
      </c>
      <c r="E44" s="12">
        <v>592.0</v>
      </c>
      <c r="F44" s="47">
        <v>0.0</v>
      </c>
      <c r="G44" s="12">
        <v>595.64267907852</v>
      </c>
      <c r="H44" s="47">
        <v>595.642706291656</v>
      </c>
      <c r="I44" s="12">
        <v>589.138365132431</v>
      </c>
      <c r="J44" s="13">
        <v>595.642857503718</v>
      </c>
      <c r="K44" s="13">
        <v>595.642856937338</v>
      </c>
      <c r="L44" s="13">
        <v>735.689474813106</v>
      </c>
      <c r="M44" s="12">
        <v>244.685963782091</v>
      </c>
      <c r="N44" s="12">
        <v>752.631981773663</v>
      </c>
      <c r="O44" s="12">
        <v>20762.5975446778</v>
      </c>
      <c r="P44" s="12">
        <v>735.692306686748</v>
      </c>
      <c r="Q44" s="12">
        <v>735.0</v>
      </c>
      <c r="R44" s="12">
        <v>1504.50014238172</v>
      </c>
      <c r="S44" s="12">
        <v>735.692308243154</v>
      </c>
      <c r="T44" s="12">
        <v>731.271262305294</v>
      </c>
      <c r="U44" s="7">
        <v>735.692302955058</v>
      </c>
      <c r="V44" s="7">
        <v>486.292635946339</v>
      </c>
      <c r="W44" s="7">
        <v>595.642857142857</v>
      </c>
    </row>
    <row r="45">
      <c r="A45" s="8">
        <v>41487.0</v>
      </c>
      <c r="B45" s="9"/>
      <c r="C45" s="12">
        <v>595.642853920576</v>
      </c>
      <c r="D45" s="12">
        <v>138.900078060646</v>
      </c>
      <c r="E45" s="12">
        <v>449.0</v>
      </c>
      <c r="F45" s="47">
        <v>0.0</v>
      </c>
      <c r="G45" s="12">
        <v>595.64267907852</v>
      </c>
      <c r="H45" s="47">
        <v>595.642706291656</v>
      </c>
      <c r="I45" s="12">
        <v>446.138365132431</v>
      </c>
      <c r="J45" s="13">
        <v>595.642857503718</v>
      </c>
      <c r="K45" s="13">
        <v>595.642856937338</v>
      </c>
      <c r="L45" s="13">
        <v>735.689474813106</v>
      </c>
      <c r="M45" s="12">
        <v>667.790525649276</v>
      </c>
      <c r="N45" s="12">
        <v>715.631981773663</v>
      </c>
      <c r="O45" s="12">
        <v>4319.77196262083</v>
      </c>
      <c r="P45" s="12">
        <v>735.692306686748</v>
      </c>
      <c r="Q45" s="12">
        <v>736.967985293857</v>
      </c>
      <c r="R45" s="12">
        <v>1067.26879457135</v>
      </c>
      <c r="S45" s="12">
        <v>735.692308243154</v>
      </c>
      <c r="T45" s="12">
        <v>558.797567715068</v>
      </c>
      <c r="U45" s="7">
        <v>735.692302955058</v>
      </c>
      <c r="V45" s="7">
        <v>744.613829213935</v>
      </c>
      <c r="W45" s="7">
        <v>595.642857142857</v>
      </c>
    </row>
    <row r="46">
      <c r="A46" s="8">
        <v>41518.0</v>
      </c>
      <c r="B46" s="9"/>
      <c r="C46" s="12">
        <v>595.642853920576</v>
      </c>
      <c r="D46" s="12">
        <v>5440.0</v>
      </c>
      <c r="E46" s="12">
        <v>581.0</v>
      </c>
      <c r="F46" s="47">
        <v>88.1090518204368</v>
      </c>
      <c r="G46" s="12">
        <v>595.64267907852</v>
      </c>
      <c r="H46" s="47">
        <v>595.642706291656</v>
      </c>
      <c r="I46" s="12">
        <v>578.138365132431</v>
      </c>
      <c r="J46" s="13">
        <v>595.642857503718</v>
      </c>
      <c r="K46" s="13">
        <v>595.642856937338</v>
      </c>
      <c r="L46" s="13">
        <v>735.689474813106</v>
      </c>
      <c r="M46" s="12">
        <v>623.39564270494</v>
      </c>
      <c r="N46" s="12">
        <v>752.631981773663</v>
      </c>
      <c r="O46" s="12">
        <v>3826.08564616606</v>
      </c>
      <c r="P46" s="12">
        <v>735.692306686748</v>
      </c>
      <c r="Q46" s="12">
        <v>735.103864494463</v>
      </c>
      <c r="R46" s="12">
        <v>1961.00949848209</v>
      </c>
      <c r="S46" s="12">
        <v>735.692308243154</v>
      </c>
      <c r="T46" s="12">
        <v>514.931872849036</v>
      </c>
      <c r="U46" s="7">
        <v>735.692302955058</v>
      </c>
      <c r="V46" s="7">
        <v>533.17519632778</v>
      </c>
      <c r="W46" s="7">
        <v>595.642857142857</v>
      </c>
    </row>
    <row r="47">
      <c r="A47" s="8">
        <v>41548.0</v>
      </c>
      <c r="B47" s="9">
        <f>IFERROR(__xludf.DUMMYFUNCTION("""COMPUTED_VALUE"""),208.0)</f>
        <v>208</v>
      </c>
      <c r="C47" s="12">
        <v>595.642853920576</v>
      </c>
      <c r="D47" s="12">
        <v>595.642855849904</v>
      </c>
      <c r="E47" s="12">
        <v>599.0</v>
      </c>
      <c r="F47" s="47">
        <v>595.64285742912</v>
      </c>
      <c r="G47" s="12">
        <v>595.64267907852</v>
      </c>
      <c r="H47" s="47">
        <v>595.642706291656</v>
      </c>
      <c r="I47" s="12">
        <v>596.138365132431</v>
      </c>
      <c r="J47" s="13">
        <v>595.642857503718</v>
      </c>
      <c r="K47" s="13">
        <v>595.642856937338</v>
      </c>
      <c r="L47" s="13">
        <v>735.689474813106</v>
      </c>
      <c r="M47" s="12">
        <v>733.222126474343</v>
      </c>
      <c r="N47" s="12">
        <v>752.631981773663</v>
      </c>
      <c r="O47" s="12">
        <v>735.692308748692</v>
      </c>
      <c r="P47" s="12">
        <v>735.692306686748</v>
      </c>
      <c r="Q47" s="12">
        <v>735.0</v>
      </c>
      <c r="R47" s="12">
        <v>1717.26953125</v>
      </c>
      <c r="S47" s="12">
        <v>735.692308243154</v>
      </c>
      <c r="T47" s="12">
        <v>367.108064122554</v>
      </c>
      <c r="U47" s="7">
        <v>735.692302955058</v>
      </c>
      <c r="V47" s="7">
        <v>442.995383796712</v>
      </c>
      <c r="W47" s="7">
        <v>595.642857142857</v>
      </c>
    </row>
    <row r="48">
      <c r="A48" s="8">
        <v>41579.0</v>
      </c>
      <c r="B48" s="9">
        <f>IFERROR(__xludf.DUMMYFUNCTION("""COMPUTED_VALUE"""),148.0)</f>
        <v>148</v>
      </c>
      <c r="C48" s="12">
        <v>595.642853920576</v>
      </c>
      <c r="D48" s="12">
        <v>595.642855849904</v>
      </c>
      <c r="E48" s="12">
        <v>564.0</v>
      </c>
      <c r="F48" s="47">
        <v>595.64285742912</v>
      </c>
      <c r="G48" s="12">
        <v>595.64267907852</v>
      </c>
      <c r="H48" s="47">
        <v>595.642706291656</v>
      </c>
      <c r="I48" s="12">
        <v>561.138365132431</v>
      </c>
      <c r="J48" s="13">
        <v>595.642857503718</v>
      </c>
      <c r="K48" s="13">
        <v>595.642856937338</v>
      </c>
      <c r="L48" s="13">
        <v>2382.33351369738</v>
      </c>
      <c r="M48" s="12">
        <v>611.315850631188</v>
      </c>
      <c r="N48" s="12">
        <v>752.631981773663</v>
      </c>
      <c r="O48" s="12">
        <v>2341.49937042041</v>
      </c>
      <c r="P48" s="12">
        <v>735.692306686748</v>
      </c>
      <c r="Q48" s="12">
        <v>735.0</v>
      </c>
      <c r="R48" s="12">
        <v>1028.60292236895</v>
      </c>
      <c r="S48" s="12">
        <v>735.692308243154</v>
      </c>
      <c r="T48" s="12">
        <v>760.78168326308</v>
      </c>
      <c r="U48" s="7">
        <v>735.692302955058</v>
      </c>
      <c r="V48" s="7">
        <v>519.760468220457</v>
      </c>
      <c r="W48" s="7">
        <v>825.154354607085</v>
      </c>
    </row>
    <row r="49">
      <c r="A49" s="8">
        <v>41609.0</v>
      </c>
      <c r="B49" s="9"/>
      <c r="C49" s="12">
        <v>741.0</v>
      </c>
      <c r="D49" s="12">
        <v>595.642855849904</v>
      </c>
      <c r="E49" s="12">
        <v>564.0</v>
      </c>
      <c r="F49" s="47">
        <v>33.2856417988317</v>
      </c>
      <c r="G49" s="12">
        <v>595.64267907852</v>
      </c>
      <c r="H49" s="47">
        <v>595.642706291656</v>
      </c>
      <c r="I49" s="12">
        <v>561.138365132431</v>
      </c>
      <c r="J49" s="13">
        <v>595.642857503718</v>
      </c>
      <c r="K49" s="13">
        <v>595.642856937338</v>
      </c>
      <c r="L49" s="13">
        <v>735.689474813106</v>
      </c>
      <c r="M49" s="12">
        <v>-208.312925840952</v>
      </c>
      <c r="N49" s="12">
        <v>752.631981773663</v>
      </c>
      <c r="O49" s="12">
        <v>735.692308748692</v>
      </c>
      <c r="P49" s="12">
        <v>735.692306686748</v>
      </c>
      <c r="Q49" s="12">
        <v>735.0</v>
      </c>
      <c r="R49" s="12">
        <v>735.692307686805</v>
      </c>
      <c r="S49" s="12">
        <v>735.692308243154</v>
      </c>
      <c r="T49" s="12">
        <v>731.271262305294</v>
      </c>
      <c r="U49" s="7">
        <v>735.692302955058</v>
      </c>
      <c r="V49" s="7">
        <v>352.546125353158</v>
      </c>
      <c r="W49" s="7">
        <v>882.757118756561</v>
      </c>
    </row>
    <row r="50">
      <c r="A50" s="8">
        <v>41640.0</v>
      </c>
      <c r="B50" s="9"/>
      <c r="C50" s="12">
        <v>595.642853920576</v>
      </c>
      <c r="D50" s="12">
        <v>595.642855849904</v>
      </c>
      <c r="E50" s="12">
        <v>574.0</v>
      </c>
      <c r="F50" s="47">
        <v>3.91595785868608</v>
      </c>
      <c r="G50" s="12">
        <v>595.64267907852</v>
      </c>
      <c r="H50" s="47">
        <v>595.642706291656</v>
      </c>
      <c r="I50" s="12">
        <v>803.832819121337</v>
      </c>
      <c r="J50" s="13">
        <v>595.642857503718</v>
      </c>
      <c r="K50" s="13">
        <v>595.642856937338</v>
      </c>
      <c r="L50" s="13">
        <v>735.689474813106</v>
      </c>
      <c r="M50" s="12">
        <v>599.632572471542</v>
      </c>
      <c r="N50" s="12">
        <v>752.631981773663</v>
      </c>
      <c r="O50" s="12">
        <v>735.692308748692</v>
      </c>
      <c r="P50" s="12">
        <v>735.692306686748</v>
      </c>
      <c r="Q50" s="12">
        <v>962.855448215746</v>
      </c>
      <c r="R50" s="12">
        <v>1371.78125</v>
      </c>
      <c r="S50" s="12">
        <v>735.692308243154</v>
      </c>
      <c r="T50" s="12">
        <v>731.271262305294</v>
      </c>
      <c r="U50" s="7">
        <v>735.692302955058</v>
      </c>
      <c r="V50" s="7">
        <v>837.140525518222</v>
      </c>
      <c r="W50" s="7">
        <v>595.642857142857</v>
      </c>
    </row>
    <row r="51">
      <c r="A51" s="8">
        <v>41671.0</v>
      </c>
      <c r="B51" s="9">
        <f>IFERROR(__xludf.DUMMYFUNCTION("""COMPUTED_VALUE"""),34.0)</f>
        <v>34</v>
      </c>
      <c r="C51" s="12">
        <v>595.642853920576</v>
      </c>
      <c r="D51" s="12">
        <v>595.642855849904</v>
      </c>
      <c r="E51" s="12">
        <v>606.0</v>
      </c>
      <c r="F51" s="47">
        <v>0.0</v>
      </c>
      <c r="G51" s="12">
        <v>595.64267907852</v>
      </c>
      <c r="H51" s="47">
        <v>595.642706291656</v>
      </c>
      <c r="I51" s="12">
        <v>603.138365132431</v>
      </c>
      <c r="J51" s="13">
        <v>595.642857503718</v>
      </c>
      <c r="K51" s="13">
        <v>595.642856937338</v>
      </c>
      <c r="L51" s="13">
        <v>735.689474813106</v>
      </c>
      <c r="M51" s="12">
        <v>554.445123013016</v>
      </c>
      <c r="N51" s="12">
        <v>270.631981773663</v>
      </c>
      <c r="O51" s="12">
        <v>735.692308748692</v>
      </c>
      <c r="P51" s="12">
        <v>735.692306686748</v>
      </c>
      <c r="Q51" s="12">
        <v>735.0</v>
      </c>
      <c r="R51" s="12">
        <v>802.8984375</v>
      </c>
      <c r="S51" s="12">
        <v>735.692308243154</v>
      </c>
      <c r="T51" s="12">
        <v>1154.38599665829</v>
      </c>
      <c r="U51" s="7">
        <v>735.692302955058</v>
      </c>
      <c r="V51" s="7">
        <v>254.973126883249</v>
      </c>
      <c r="W51" s="7">
        <v>595.642857142857</v>
      </c>
    </row>
    <row r="52">
      <c r="A52" s="8">
        <v>41699.0</v>
      </c>
      <c r="B52" s="9">
        <f>IFERROR(__xludf.DUMMYFUNCTION("""COMPUTED_VALUE"""),54400.0)</f>
        <v>54400</v>
      </c>
      <c r="C52" s="12">
        <v>52066.7212914655</v>
      </c>
      <c r="D52" s="12">
        <v>54400.0</v>
      </c>
      <c r="E52" s="12">
        <v>54328.7088186061</v>
      </c>
      <c r="F52" s="47">
        <v>15.6638314347443</v>
      </c>
      <c r="G52" s="12">
        <v>595.64267907852</v>
      </c>
      <c r="H52" s="47">
        <v>54400.7939166077</v>
      </c>
      <c r="I52" s="12">
        <v>603.138365132431</v>
      </c>
      <c r="J52" s="13">
        <v>57986.650109901</v>
      </c>
      <c r="K52" s="13">
        <v>51086.6720465925</v>
      </c>
      <c r="L52" s="13">
        <v>54654.1828308027</v>
      </c>
      <c r="M52" s="12">
        <v>53972.5285653629</v>
      </c>
      <c r="N52" s="12">
        <v>54398.9819356308</v>
      </c>
      <c r="O52" s="12">
        <v>60953.7547210131</v>
      </c>
      <c r="P52" s="12">
        <v>735.692306686748</v>
      </c>
      <c r="Q52" s="12">
        <v>54394.8101251599</v>
      </c>
      <c r="R52" s="12">
        <v>735.692307686805</v>
      </c>
      <c r="S52" s="12">
        <v>54392.3332172239</v>
      </c>
      <c r="T52" s="12">
        <v>84791.7475734499</v>
      </c>
      <c r="U52" s="7">
        <v>46634.4273724203</v>
      </c>
      <c r="V52" s="7">
        <v>1916.09696309773</v>
      </c>
      <c r="W52" s="7">
        <v>595.642857142857</v>
      </c>
    </row>
    <row r="53">
      <c r="A53" s="8">
        <v>41730.0</v>
      </c>
      <c r="B53" s="9">
        <f>IFERROR(__xludf.DUMMYFUNCTION("""COMPUTED_VALUE"""),96.0)</f>
        <v>96</v>
      </c>
      <c r="C53" s="12">
        <v>595.642853920576</v>
      </c>
      <c r="D53" s="12">
        <v>1145.164368734</v>
      </c>
      <c r="E53" s="12">
        <v>606.0</v>
      </c>
      <c r="F53" s="47">
        <v>0.0</v>
      </c>
      <c r="G53" s="12">
        <v>595.64267907852</v>
      </c>
      <c r="H53" s="47">
        <v>595.642706291656</v>
      </c>
      <c r="I53" s="12">
        <v>603.138365132431</v>
      </c>
      <c r="J53" s="13">
        <v>595.642857503718</v>
      </c>
      <c r="K53" s="13">
        <v>595.642856937338</v>
      </c>
      <c r="L53" s="13">
        <v>735.689474813106</v>
      </c>
      <c r="M53" s="12">
        <v>549.119546466277</v>
      </c>
      <c r="N53" s="12">
        <v>487.631981773663</v>
      </c>
      <c r="O53" s="12">
        <v>883.629606582636</v>
      </c>
      <c r="P53" s="12">
        <v>735.692306686748</v>
      </c>
      <c r="Q53" s="12">
        <v>4273.60059483738</v>
      </c>
      <c r="R53" s="12">
        <v>3936.17578125</v>
      </c>
      <c r="S53" s="12">
        <v>735.692308243154</v>
      </c>
      <c r="T53" s="12">
        <v>630.957978408036</v>
      </c>
      <c r="U53" s="7">
        <v>735.692302955058</v>
      </c>
      <c r="V53" s="7">
        <v>1485.00130791444</v>
      </c>
      <c r="W53" s="7">
        <v>595.642857142857</v>
      </c>
    </row>
    <row r="54">
      <c r="A54" s="8">
        <v>41760.0</v>
      </c>
      <c r="B54" s="9">
        <f>IFERROR(__xludf.DUMMYFUNCTION("""COMPUTED_VALUE"""),431.0)</f>
        <v>431</v>
      </c>
      <c r="C54" s="12">
        <v>595.642853920576</v>
      </c>
      <c r="D54" s="12">
        <v>595.642855849904</v>
      </c>
      <c r="E54" s="12">
        <v>602.0</v>
      </c>
      <c r="F54" s="47">
        <v>238.873429379851</v>
      </c>
      <c r="G54" s="12">
        <v>595.64267907852</v>
      </c>
      <c r="H54" s="47">
        <v>595.642706291656</v>
      </c>
      <c r="I54" s="12">
        <v>599.138365132431</v>
      </c>
      <c r="J54" s="13">
        <v>595.642857503718</v>
      </c>
      <c r="K54" s="13">
        <v>595.642856937338</v>
      </c>
      <c r="L54" s="13">
        <v>735.689474813106</v>
      </c>
      <c r="M54" s="12">
        <v>389.738244715684</v>
      </c>
      <c r="N54" s="12">
        <v>427.631981773663</v>
      </c>
      <c r="O54" s="12">
        <v>7216.81783048064</v>
      </c>
      <c r="P54" s="12">
        <v>735.692306686748</v>
      </c>
      <c r="Q54" s="12">
        <v>735.0</v>
      </c>
      <c r="R54" s="12">
        <v>3679.4765625</v>
      </c>
      <c r="S54" s="12">
        <v>735.692308243154</v>
      </c>
      <c r="T54" s="12">
        <v>762.867234243095</v>
      </c>
      <c r="U54" s="7">
        <v>735.692302955058</v>
      </c>
      <c r="V54" s="7">
        <v>298.799614759977</v>
      </c>
      <c r="W54" s="7">
        <v>595.642857142857</v>
      </c>
    </row>
    <row r="55">
      <c r="A55" s="8">
        <v>41791.0</v>
      </c>
      <c r="B55" s="9"/>
      <c r="C55" s="12">
        <v>595.642853920576</v>
      </c>
      <c r="D55" s="12">
        <v>595.642855849904</v>
      </c>
      <c r="E55" s="12">
        <v>606.0</v>
      </c>
      <c r="F55" s="47">
        <v>0.0</v>
      </c>
      <c r="G55" s="12">
        <v>595.64267907852</v>
      </c>
      <c r="H55" s="47">
        <v>595.642706291656</v>
      </c>
      <c r="I55" s="12">
        <v>603.138365132431</v>
      </c>
      <c r="J55" s="13">
        <v>595.642857503718</v>
      </c>
      <c r="K55" s="13">
        <v>595.642856937338</v>
      </c>
      <c r="L55" s="13">
        <v>735.689474813106</v>
      </c>
      <c r="M55" s="12">
        <v>566.553595882674</v>
      </c>
      <c r="N55" s="12">
        <v>752.631981773663</v>
      </c>
      <c r="O55" s="12">
        <v>735.692308748692</v>
      </c>
      <c r="P55" s="12">
        <v>735.692306686748</v>
      </c>
      <c r="Q55" s="12">
        <v>735.0</v>
      </c>
      <c r="R55" s="12">
        <v>2101.91757324113</v>
      </c>
      <c r="S55" s="12">
        <v>735.692308243154</v>
      </c>
      <c r="T55" s="12">
        <v>731.271262305294</v>
      </c>
      <c r="U55" s="7">
        <v>735.692302955058</v>
      </c>
      <c r="V55" s="7">
        <v>161.014187735308</v>
      </c>
      <c r="W55" s="7">
        <v>595.642857142857</v>
      </c>
    </row>
    <row r="56">
      <c r="A56" s="8">
        <v>41821.0</v>
      </c>
      <c r="B56" s="9">
        <f>IFERROR(__xludf.DUMMYFUNCTION("""COMPUTED_VALUE"""),1620.0)</f>
        <v>1620</v>
      </c>
      <c r="C56" s="12">
        <v>695.6507292198</v>
      </c>
      <c r="D56" s="12">
        <v>595.642855849904</v>
      </c>
      <c r="E56" s="12">
        <v>606.0</v>
      </c>
      <c r="F56" s="47">
        <v>595.64285742912</v>
      </c>
      <c r="G56" s="12">
        <v>1081.64805274681</v>
      </c>
      <c r="H56" s="47">
        <v>595.642706291656</v>
      </c>
      <c r="I56" s="12">
        <v>603.138365132431</v>
      </c>
      <c r="J56" s="13">
        <v>595.642857503718</v>
      </c>
      <c r="K56" s="13">
        <v>1692.1637250344</v>
      </c>
      <c r="L56" s="13">
        <v>1623.00345386629</v>
      </c>
      <c r="M56" s="12">
        <v>1598.88308767803</v>
      </c>
      <c r="N56" s="12">
        <v>731.631981773663</v>
      </c>
      <c r="O56" s="12">
        <v>735.692308748692</v>
      </c>
      <c r="P56" s="12">
        <v>735.692306686748</v>
      </c>
      <c r="Q56" s="12">
        <v>735.0</v>
      </c>
      <c r="R56" s="12">
        <v>5034.4345684206</v>
      </c>
      <c r="S56" s="12">
        <v>735.692308243154</v>
      </c>
      <c r="T56" s="12">
        <v>731.271262305294</v>
      </c>
      <c r="U56" s="7">
        <v>735.692302955058</v>
      </c>
      <c r="V56" s="7">
        <v>440.41641231183</v>
      </c>
      <c r="W56" s="7">
        <v>595.642857142857</v>
      </c>
    </row>
    <row r="57">
      <c r="A57" s="8">
        <v>41852.0</v>
      </c>
      <c r="B57" s="9">
        <f>IFERROR(__xludf.DUMMYFUNCTION("""COMPUTED_VALUE"""),4200.0)</f>
        <v>4200</v>
      </c>
      <c r="C57" s="12">
        <v>1350.9795688585</v>
      </c>
      <c r="D57" s="12">
        <v>5440.0</v>
      </c>
      <c r="E57" s="12">
        <v>478.0</v>
      </c>
      <c r="F57" s="47">
        <v>5027.55653434817</v>
      </c>
      <c r="G57" s="12">
        <v>4067.46680274681</v>
      </c>
      <c r="H57" s="47">
        <v>595.642706291656</v>
      </c>
      <c r="I57" s="12">
        <v>3261.0</v>
      </c>
      <c r="J57" s="13">
        <v>595.642857503718</v>
      </c>
      <c r="K57" s="13">
        <v>595.642856937338</v>
      </c>
      <c r="L57" s="13">
        <v>4185.8828116068</v>
      </c>
      <c r="M57" s="12">
        <v>8232.00116501983</v>
      </c>
      <c r="N57" s="12">
        <v>752.631981773663</v>
      </c>
      <c r="O57" s="12">
        <v>735.692308748692</v>
      </c>
      <c r="P57" s="12">
        <v>735.692306686748</v>
      </c>
      <c r="Q57" s="12">
        <v>20471.6234840029</v>
      </c>
      <c r="R57" s="12">
        <v>6942.42202494932</v>
      </c>
      <c r="S57" s="12">
        <v>735.692308243154</v>
      </c>
      <c r="T57" s="12">
        <v>1430.83617042538</v>
      </c>
      <c r="U57" s="7">
        <v>735.692302955058</v>
      </c>
      <c r="V57" s="7">
        <v>165.529199387963</v>
      </c>
      <c r="W57" s="7">
        <v>1017.04970580684</v>
      </c>
    </row>
    <row r="58">
      <c r="A58" s="8">
        <v>41883.0</v>
      </c>
      <c r="B58" s="9">
        <f>IFERROR(__xludf.DUMMYFUNCTION("""COMPUTED_VALUE"""),104.0)</f>
        <v>104</v>
      </c>
      <c r="C58" s="12">
        <v>599.0</v>
      </c>
      <c r="D58" s="12">
        <v>123.900078060646</v>
      </c>
      <c r="E58" s="12">
        <v>606.0</v>
      </c>
      <c r="F58" s="47">
        <v>2194.90693301446</v>
      </c>
      <c r="G58" s="12">
        <v>595.64267907852</v>
      </c>
      <c r="H58" s="47">
        <v>595.642706291656</v>
      </c>
      <c r="I58" s="12">
        <v>603.138365132431</v>
      </c>
      <c r="J58" s="13">
        <v>595.642857503718</v>
      </c>
      <c r="K58" s="13">
        <v>595.642856937338</v>
      </c>
      <c r="L58" s="13">
        <v>804.847860080597</v>
      </c>
      <c r="M58" s="12">
        <v>1326.49327035267</v>
      </c>
      <c r="N58" s="12">
        <v>738.631981773663</v>
      </c>
      <c r="O58" s="12">
        <v>735.692308748692</v>
      </c>
      <c r="P58" s="12">
        <v>735.692306686748</v>
      </c>
      <c r="Q58" s="12">
        <v>1016.13499398198</v>
      </c>
      <c r="R58" s="12">
        <v>2727.75</v>
      </c>
      <c r="S58" s="12">
        <v>735.692308243154</v>
      </c>
      <c r="T58" s="12">
        <v>-621.244122667005</v>
      </c>
      <c r="U58" s="7">
        <v>2150.606709553</v>
      </c>
      <c r="V58" s="7">
        <v>100.597545315446</v>
      </c>
      <c r="W58" s="7">
        <v>595.642857142857</v>
      </c>
    </row>
    <row r="59">
      <c r="A59" s="8">
        <v>41913.0</v>
      </c>
      <c r="B59" s="9">
        <f>IFERROR(__xludf.DUMMYFUNCTION("""COMPUTED_VALUE"""),5116.0)</f>
        <v>5116</v>
      </c>
      <c r="C59" s="12">
        <v>4820.0</v>
      </c>
      <c r="D59" s="12">
        <v>5116.15402796572</v>
      </c>
      <c r="E59" s="12">
        <v>5126.04774531484</v>
      </c>
      <c r="F59" s="47">
        <v>8838.36446669733</v>
      </c>
      <c r="G59" s="12">
        <v>5304.47673221902</v>
      </c>
      <c r="H59" s="47">
        <v>5118.20402088689</v>
      </c>
      <c r="I59" s="12">
        <v>4883.99938328003</v>
      </c>
      <c r="J59" s="13">
        <v>4826.31057242827</v>
      </c>
      <c r="K59" s="13">
        <v>595.642856937338</v>
      </c>
      <c r="L59" s="13">
        <v>4814.51695719426</v>
      </c>
      <c r="M59" s="12">
        <v>8185.73679523749</v>
      </c>
      <c r="N59" s="12">
        <v>752.631981773663</v>
      </c>
      <c r="O59" s="12">
        <v>2952.41011549376</v>
      </c>
      <c r="P59" s="12">
        <v>735.692306686748</v>
      </c>
      <c r="Q59" s="12">
        <v>735.0</v>
      </c>
      <c r="R59" s="12">
        <v>5518.62109375</v>
      </c>
      <c r="S59" s="12">
        <v>5114.25902699673</v>
      </c>
      <c r="T59" s="12">
        <v>12442.4025204108</v>
      </c>
      <c r="U59" s="7">
        <v>735.692302955058</v>
      </c>
      <c r="V59" s="7">
        <v>125.668217514142</v>
      </c>
      <c r="W59" s="7">
        <v>595.642857142857</v>
      </c>
    </row>
    <row r="60">
      <c r="A60" s="8">
        <v>41944.0</v>
      </c>
      <c r="B60" s="9">
        <f>IFERROR(__xludf.DUMMYFUNCTION("""COMPUTED_VALUE"""),4106.0)</f>
        <v>4106</v>
      </c>
      <c r="C60" s="12">
        <v>3541.0</v>
      </c>
      <c r="D60" s="12">
        <v>4000.64578603808</v>
      </c>
      <c r="E60" s="12">
        <v>837.52774531484</v>
      </c>
      <c r="F60" s="47">
        <v>4794.24339483452</v>
      </c>
      <c r="G60" s="12">
        <v>3422.50254884677</v>
      </c>
      <c r="H60" s="47">
        <v>4105.99986629775</v>
      </c>
      <c r="I60" s="12">
        <v>4023.0</v>
      </c>
      <c r="J60" s="13">
        <v>3514.41514374729</v>
      </c>
      <c r="K60" s="13">
        <v>3856.96335028593</v>
      </c>
      <c r="L60" s="13">
        <v>4088.18394612464</v>
      </c>
      <c r="M60" s="12">
        <v>4092.43114569653</v>
      </c>
      <c r="N60" s="12">
        <v>752.631981773663</v>
      </c>
      <c r="O60" s="12">
        <v>3754.40352390886</v>
      </c>
      <c r="P60" s="12">
        <v>735.692306686748</v>
      </c>
      <c r="Q60" s="12">
        <v>4113.78832095519</v>
      </c>
      <c r="R60" s="12">
        <v>7738.6953125</v>
      </c>
      <c r="S60" s="12">
        <v>4106.07005484056</v>
      </c>
      <c r="T60" s="12">
        <v>7420.97328517314</v>
      </c>
      <c r="U60" s="7">
        <v>735.692302955058</v>
      </c>
      <c r="V60" s="7">
        <v>91.5145996939816</v>
      </c>
      <c r="W60" s="7">
        <v>595.642857142857</v>
      </c>
    </row>
    <row r="61">
      <c r="A61" s="8">
        <v>41974.0</v>
      </c>
      <c r="B61" s="9">
        <f>IFERROR(__xludf.DUMMYFUNCTION("""COMPUTED_VALUE"""),250.0)</f>
        <v>250</v>
      </c>
      <c r="C61" s="12">
        <v>649.0</v>
      </c>
      <c r="D61" s="12">
        <v>419.226165676912</v>
      </c>
      <c r="E61" s="12">
        <v>810.62774531484</v>
      </c>
      <c r="F61" s="47">
        <v>595.64285742912</v>
      </c>
      <c r="G61" s="12">
        <v>595.64267907852</v>
      </c>
      <c r="H61" s="47">
        <v>595.642706291656</v>
      </c>
      <c r="I61" s="12">
        <v>602.138365132431</v>
      </c>
      <c r="J61" s="13">
        <v>595.642857503718</v>
      </c>
      <c r="K61" s="13">
        <v>595.642856937338</v>
      </c>
      <c r="L61" s="13">
        <v>735.689474813106</v>
      </c>
      <c r="M61" s="12">
        <v>672.219278520248</v>
      </c>
      <c r="N61" s="12">
        <v>752.631981773663</v>
      </c>
      <c r="O61" s="12">
        <v>735.692308748692</v>
      </c>
      <c r="P61" s="12">
        <v>735.692306686748</v>
      </c>
      <c r="Q61" s="12">
        <v>735.0</v>
      </c>
      <c r="R61" s="12">
        <v>1986.95255890624</v>
      </c>
      <c r="S61" s="12">
        <v>735.692308243154</v>
      </c>
      <c r="T61" s="12">
        <v>731.271262305294</v>
      </c>
      <c r="U61" s="7">
        <v>735.692302955058</v>
      </c>
      <c r="V61" s="7">
        <v>236.660596633798</v>
      </c>
      <c r="W61" s="7">
        <v>595.642857142857</v>
      </c>
    </row>
    <row r="62">
      <c r="A62" s="8">
        <v>42005.0</v>
      </c>
      <c r="B62" s="9"/>
      <c r="C62" s="12">
        <v>595.642853920576</v>
      </c>
      <c r="D62" s="12">
        <v>595.642855849904</v>
      </c>
      <c r="E62" s="12">
        <v>5132.22774531484</v>
      </c>
      <c r="F62" s="47">
        <v>595.64285742912</v>
      </c>
      <c r="G62" s="12">
        <v>595.64267907852</v>
      </c>
      <c r="H62" s="47">
        <v>595.642706291656</v>
      </c>
      <c r="I62" s="12">
        <v>600.138365132431</v>
      </c>
      <c r="J62" s="13">
        <v>595.642857503718</v>
      </c>
      <c r="K62" s="13">
        <v>595.642856937338</v>
      </c>
      <c r="L62" s="13">
        <v>735.689474813106</v>
      </c>
      <c r="M62" s="12">
        <v>590.306822709927</v>
      </c>
      <c r="N62" s="12">
        <v>752.631981773663</v>
      </c>
      <c r="O62" s="12">
        <v>735.692308748692</v>
      </c>
      <c r="P62" s="12">
        <v>735.692306686748</v>
      </c>
      <c r="Q62" s="12">
        <v>735.000481741894</v>
      </c>
      <c r="R62" s="12">
        <v>1732.28515625</v>
      </c>
      <c r="S62" s="12">
        <v>735.692308243154</v>
      </c>
      <c r="T62" s="12">
        <v>731.271262305294</v>
      </c>
      <c r="U62" s="7">
        <v>735.692302955058</v>
      </c>
      <c r="V62" s="7">
        <v>231.382560381441</v>
      </c>
      <c r="W62" s="7">
        <v>595.642857142857</v>
      </c>
    </row>
    <row r="63">
      <c r="A63" s="8">
        <v>42036.0</v>
      </c>
      <c r="B63" s="9"/>
      <c r="C63" s="12">
        <v>595.642853920576</v>
      </c>
      <c r="D63" s="12">
        <v>595.642855849904</v>
      </c>
      <c r="E63" s="12">
        <v>602.0</v>
      </c>
      <c r="F63" s="47">
        <v>11.7478735760582</v>
      </c>
      <c r="G63" s="12">
        <v>595.64267907852</v>
      </c>
      <c r="H63" s="47">
        <v>595.642706291656</v>
      </c>
      <c r="I63" s="12">
        <v>599.138365132431</v>
      </c>
      <c r="J63" s="13">
        <v>595.642857503718</v>
      </c>
      <c r="K63" s="13">
        <v>595.642856937338</v>
      </c>
      <c r="L63" s="13">
        <v>735.689474813106</v>
      </c>
      <c r="M63" s="12">
        <v>533.336658119923</v>
      </c>
      <c r="N63" s="12">
        <v>752.631981773663</v>
      </c>
      <c r="O63" s="12">
        <v>735.692308748692</v>
      </c>
      <c r="P63" s="12">
        <v>735.692306686748</v>
      </c>
      <c r="Q63" s="12">
        <v>735.016118592311</v>
      </c>
      <c r="R63" s="12">
        <v>735.692307686805</v>
      </c>
      <c r="S63" s="12">
        <v>735.692308243154</v>
      </c>
      <c r="T63" s="12">
        <v>727.214856186326</v>
      </c>
      <c r="U63" s="7">
        <v>735.692302955058</v>
      </c>
      <c r="V63" s="7">
        <v>249.955962763232</v>
      </c>
      <c r="W63" s="7">
        <v>595.642857142857</v>
      </c>
    </row>
    <row r="64">
      <c r="A64" s="8">
        <v>42064.0</v>
      </c>
      <c r="B64" s="9">
        <f>IFERROR(__xludf.DUMMYFUNCTION("""COMPUTED_VALUE"""),673.0)</f>
        <v>673</v>
      </c>
      <c r="C64" s="12">
        <v>595.642853920576</v>
      </c>
      <c r="D64" s="12">
        <v>10880.0</v>
      </c>
      <c r="E64" s="12">
        <v>597.0</v>
      </c>
      <c r="F64" s="47">
        <v>595.64285742912</v>
      </c>
      <c r="G64" s="12">
        <v>595.64267907852</v>
      </c>
      <c r="H64" s="47">
        <v>616.381130645973</v>
      </c>
      <c r="I64" s="12">
        <v>594.138365132431</v>
      </c>
      <c r="J64" s="13">
        <v>595.642857503718</v>
      </c>
      <c r="K64" s="13">
        <v>595.642856937338</v>
      </c>
      <c r="L64" s="13">
        <v>735.689474813106</v>
      </c>
      <c r="M64" s="12">
        <v>620.749462286376</v>
      </c>
      <c r="N64" s="12">
        <v>752.631981773663</v>
      </c>
      <c r="O64" s="12">
        <v>735.692308748692</v>
      </c>
      <c r="P64" s="12">
        <v>735.692306686748</v>
      </c>
      <c r="Q64" s="12">
        <v>735.430605860153</v>
      </c>
      <c r="R64" s="12">
        <v>735.692307686805</v>
      </c>
      <c r="S64" s="12">
        <v>735.692308243154</v>
      </c>
      <c r="T64" s="12">
        <v>721.464430884588</v>
      </c>
      <c r="U64" s="7">
        <v>735.692302955058</v>
      </c>
      <c r="V64" s="7">
        <v>272.770178683082</v>
      </c>
      <c r="W64" s="7">
        <v>595.642857142857</v>
      </c>
    </row>
    <row r="65">
      <c r="A65" s="8">
        <v>42095.0</v>
      </c>
      <c r="B65" s="9">
        <f>IFERROR(__xludf.DUMMYFUNCTION("""COMPUTED_VALUE"""),241.0)</f>
        <v>241</v>
      </c>
      <c r="C65" s="12">
        <v>708.0</v>
      </c>
      <c r="D65" s="12">
        <v>22.900078060646</v>
      </c>
      <c r="E65" s="12">
        <v>385.0</v>
      </c>
      <c r="F65" s="47">
        <v>0.0</v>
      </c>
      <c r="G65" s="12">
        <v>595.64267907852</v>
      </c>
      <c r="H65" s="47">
        <v>595.642706291656</v>
      </c>
      <c r="I65" s="12">
        <v>382.138365132431</v>
      </c>
      <c r="J65" s="13">
        <v>595.642857503718</v>
      </c>
      <c r="K65" s="13">
        <v>595.642856937338</v>
      </c>
      <c r="L65" s="13">
        <v>735.689474813106</v>
      </c>
      <c r="M65" s="12">
        <v>512.346654121848</v>
      </c>
      <c r="N65" s="12">
        <v>750.631981773663</v>
      </c>
      <c r="O65" s="12">
        <v>735.692308748692</v>
      </c>
      <c r="P65" s="12">
        <v>735.692306686748</v>
      </c>
      <c r="Q65" s="12">
        <v>735.0</v>
      </c>
      <c r="R65" s="12">
        <v>735.692307686805</v>
      </c>
      <c r="S65" s="12">
        <v>735.692308243154</v>
      </c>
      <c r="T65" s="12">
        <v>722.911166748078</v>
      </c>
      <c r="U65" s="7">
        <v>735.692302955058</v>
      </c>
      <c r="V65" s="7">
        <v>333.038504472814</v>
      </c>
      <c r="W65" s="7">
        <v>595.642857142857</v>
      </c>
    </row>
    <row r="66">
      <c r="A66" s="8">
        <v>42125.0</v>
      </c>
      <c r="B66" s="9"/>
      <c r="C66" s="12">
        <v>595.642853920576</v>
      </c>
      <c r="D66" s="12">
        <v>14.900078060646</v>
      </c>
      <c r="E66" s="12">
        <v>520.0</v>
      </c>
      <c r="F66" s="47">
        <v>230.262327905506</v>
      </c>
      <c r="G66" s="12">
        <v>595.64267907852</v>
      </c>
      <c r="H66" s="47">
        <v>595.642706291656</v>
      </c>
      <c r="I66" s="12">
        <v>517.138365132431</v>
      </c>
      <c r="J66" s="13">
        <v>595.642857503718</v>
      </c>
      <c r="K66" s="13">
        <v>595.642856937338</v>
      </c>
      <c r="L66" s="13">
        <v>735.689474813106</v>
      </c>
      <c r="M66" s="12">
        <v>615.316666116073</v>
      </c>
      <c r="N66" s="12">
        <v>752.631981773663</v>
      </c>
      <c r="O66" s="12">
        <v>735.692308748692</v>
      </c>
      <c r="P66" s="12">
        <v>735.692306686748</v>
      </c>
      <c r="Q66" s="12">
        <v>735.0</v>
      </c>
      <c r="R66" s="12">
        <v>1082.10194031258</v>
      </c>
      <c r="S66" s="12">
        <v>735.692308243154</v>
      </c>
      <c r="T66" s="12">
        <v>731.271262305294</v>
      </c>
      <c r="U66" s="7">
        <v>735.692302955058</v>
      </c>
      <c r="V66" s="7">
        <v>309.702908409723</v>
      </c>
      <c r="W66" s="7">
        <v>595.642857142857</v>
      </c>
    </row>
    <row r="67">
      <c r="A67" s="8">
        <v>42156.0</v>
      </c>
      <c r="B67" s="9">
        <f>IFERROR(__xludf.DUMMYFUNCTION("""COMPUTED_VALUE"""),34.0)</f>
        <v>34</v>
      </c>
      <c r="C67" s="12">
        <v>595.642853920576</v>
      </c>
      <c r="D67" s="12">
        <v>41.6738062102886</v>
      </c>
      <c r="E67" s="12">
        <v>600.0</v>
      </c>
      <c r="F67" s="47">
        <v>0.0</v>
      </c>
      <c r="G67" s="12">
        <v>595.64267907852</v>
      </c>
      <c r="H67" s="47">
        <v>595.642706291656</v>
      </c>
      <c r="I67" s="12">
        <v>597.138365132431</v>
      </c>
      <c r="J67" s="13">
        <v>595.642857503718</v>
      </c>
      <c r="K67" s="13">
        <v>879.866412110445</v>
      </c>
      <c r="L67" s="13">
        <v>735.689474813106</v>
      </c>
      <c r="M67" s="12">
        <v>461.685670940774</v>
      </c>
      <c r="N67" s="12">
        <v>752.631981773663</v>
      </c>
      <c r="O67" s="12">
        <v>735.692308748692</v>
      </c>
      <c r="P67" s="12">
        <v>735.692306686748</v>
      </c>
      <c r="Q67" s="12">
        <v>735.0</v>
      </c>
      <c r="R67" s="12">
        <v>2235.72781673905</v>
      </c>
      <c r="S67" s="12">
        <v>735.692308243154</v>
      </c>
      <c r="T67" s="12">
        <v>731.271262305294</v>
      </c>
      <c r="U67" s="7">
        <v>735.692302955058</v>
      </c>
      <c r="V67" s="7">
        <v>325.066249355812</v>
      </c>
      <c r="W67" s="7">
        <v>595.642857142857</v>
      </c>
    </row>
    <row r="68">
      <c r="A68" s="8">
        <v>42186.0</v>
      </c>
      <c r="B68" s="9">
        <f>IFERROR(__xludf.DUMMYFUNCTION("""COMPUTED_VALUE"""),101.0)</f>
        <v>101</v>
      </c>
      <c r="C68" s="12">
        <v>595.642853920576</v>
      </c>
      <c r="D68" s="12">
        <v>41.6738062102886</v>
      </c>
      <c r="E68" s="12">
        <v>603.0</v>
      </c>
      <c r="F68" s="47">
        <v>118.161541428204</v>
      </c>
      <c r="G68" s="12">
        <v>595.64267907852</v>
      </c>
      <c r="H68" s="47">
        <v>595.642706291656</v>
      </c>
      <c r="I68" s="12">
        <v>600.138365132431</v>
      </c>
      <c r="J68" s="13">
        <v>595.642857503718</v>
      </c>
      <c r="K68" s="13">
        <v>8355.57969756567</v>
      </c>
      <c r="L68" s="13">
        <v>735.689474813106</v>
      </c>
      <c r="M68" s="12">
        <v>240.416626135325</v>
      </c>
      <c r="N68" s="12">
        <v>752.631981773663</v>
      </c>
      <c r="O68" s="12">
        <v>735.692308748692</v>
      </c>
      <c r="P68" s="12">
        <v>735.692306686748</v>
      </c>
      <c r="Q68" s="12">
        <v>739.408597383131</v>
      </c>
      <c r="R68" s="12">
        <v>735.692307686805</v>
      </c>
      <c r="S68" s="12">
        <v>735.692308243154</v>
      </c>
      <c r="T68" s="12">
        <v>711.759082723029</v>
      </c>
      <c r="U68" s="7">
        <v>735.692302955058</v>
      </c>
      <c r="V68" s="7">
        <v>282.353360993478</v>
      </c>
      <c r="W68" s="7">
        <v>595.642857142857</v>
      </c>
    </row>
    <row r="69">
      <c r="A69" s="8">
        <v>42217.0</v>
      </c>
      <c r="B69" s="9">
        <f>IFERROR(__xludf.DUMMYFUNCTION("""COMPUTED_VALUE"""),448.0)</f>
        <v>448</v>
      </c>
      <c r="C69" s="12">
        <v>595.642853920576</v>
      </c>
      <c r="D69" s="12">
        <v>10880.0</v>
      </c>
      <c r="E69" s="12">
        <v>601.0</v>
      </c>
      <c r="F69" s="47">
        <v>230.262327905506</v>
      </c>
      <c r="G69" s="12">
        <v>595.64267907852</v>
      </c>
      <c r="H69" s="47">
        <v>595.642706291656</v>
      </c>
      <c r="I69" s="12">
        <v>598.138365132431</v>
      </c>
      <c r="J69" s="13">
        <v>595.642857503718</v>
      </c>
      <c r="K69" s="13">
        <v>989.997594498302</v>
      </c>
      <c r="L69" s="13">
        <v>735.689474813106</v>
      </c>
      <c r="M69" s="12">
        <v>748.814021035223</v>
      </c>
      <c r="N69" s="12">
        <v>749.631981773663</v>
      </c>
      <c r="O69" s="12">
        <v>735.692308748692</v>
      </c>
      <c r="P69" s="12">
        <v>735.692306686748</v>
      </c>
      <c r="Q69" s="12">
        <v>738.735240592261</v>
      </c>
      <c r="R69" s="12">
        <v>735.692307686805</v>
      </c>
      <c r="S69" s="12">
        <v>735.692308243154</v>
      </c>
      <c r="T69" s="12">
        <v>731.271262305294</v>
      </c>
      <c r="U69" s="7">
        <v>735.692302955058</v>
      </c>
      <c r="V69" s="7">
        <v>1733.89190875274</v>
      </c>
      <c r="W69" s="7">
        <v>595.642857142857</v>
      </c>
    </row>
    <row r="70">
      <c r="A70" s="8">
        <v>42248.0</v>
      </c>
      <c r="B70" s="9"/>
      <c r="C70" s="12">
        <v>595.642853920576</v>
      </c>
      <c r="D70" s="12">
        <v>32.0511541586208</v>
      </c>
      <c r="E70" s="12">
        <v>602.0</v>
      </c>
      <c r="F70" s="47">
        <v>595.64285742912</v>
      </c>
      <c r="G70" s="12">
        <v>595.64267907852</v>
      </c>
      <c r="H70" s="47">
        <v>595.642706291656</v>
      </c>
      <c r="I70" s="12">
        <v>599.138365132431</v>
      </c>
      <c r="J70" s="13">
        <v>595.642857503718</v>
      </c>
      <c r="K70" s="13">
        <v>6058.78527832961</v>
      </c>
      <c r="L70" s="13">
        <v>735.689474813106</v>
      </c>
      <c r="M70" s="12">
        <v>638.729741938334</v>
      </c>
      <c r="N70" s="12">
        <v>752.631981773663</v>
      </c>
      <c r="O70" s="12">
        <v>735.692308748692</v>
      </c>
      <c r="P70" s="12">
        <v>735.692306686748</v>
      </c>
      <c r="Q70" s="12">
        <v>735.0</v>
      </c>
      <c r="R70" s="12">
        <v>735.692307686805</v>
      </c>
      <c r="S70" s="12">
        <v>735.692308243154</v>
      </c>
      <c r="T70" s="12">
        <v>734.227723296514</v>
      </c>
      <c r="U70" s="7">
        <v>735.692302955058</v>
      </c>
      <c r="V70" s="7">
        <v>1409.93606461933</v>
      </c>
      <c r="W70" s="7">
        <v>1986.60969911343</v>
      </c>
    </row>
    <row r="71">
      <c r="A71" s="8">
        <v>42278.0</v>
      </c>
      <c r="B71" s="9"/>
      <c r="C71" s="12">
        <v>595.642853920576</v>
      </c>
      <c r="D71" s="12">
        <v>1.90007806064601</v>
      </c>
      <c r="E71" s="12">
        <v>606.0</v>
      </c>
      <c r="F71" s="47">
        <v>1.95797892934304</v>
      </c>
      <c r="G71" s="12">
        <v>595.64267907852</v>
      </c>
      <c r="H71" s="47">
        <v>595.642706291656</v>
      </c>
      <c r="I71" s="12">
        <v>603.138365132431</v>
      </c>
      <c r="J71" s="13">
        <v>595.642857503718</v>
      </c>
      <c r="K71" s="13">
        <v>3090.55555555556</v>
      </c>
      <c r="L71" s="13">
        <v>735.689474813106</v>
      </c>
      <c r="M71" s="12">
        <v>644.884530165945</v>
      </c>
      <c r="N71" s="12">
        <v>752.631981773663</v>
      </c>
      <c r="O71" s="12">
        <v>735.692308748692</v>
      </c>
      <c r="P71" s="12">
        <v>735.692306686748</v>
      </c>
      <c r="Q71" s="12">
        <v>735.0</v>
      </c>
      <c r="R71" s="12">
        <v>735.692307686805</v>
      </c>
      <c r="S71" s="12">
        <v>735.692308243154</v>
      </c>
      <c r="T71" s="12">
        <v>720.683932011585</v>
      </c>
      <c r="U71" s="7">
        <v>735.692302955058</v>
      </c>
      <c r="V71" s="7">
        <v>1310.51639844869</v>
      </c>
      <c r="W71" s="7">
        <v>595.642857142857</v>
      </c>
    </row>
    <row r="72">
      <c r="A72" s="8">
        <v>42309.0</v>
      </c>
      <c r="B72" s="9"/>
      <c r="C72" s="12">
        <v>616.0</v>
      </c>
      <c r="D72" s="12">
        <v>1.90007806064601</v>
      </c>
      <c r="E72" s="12">
        <v>602.0</v>
      </c>
      <c r="F72" s="47">
        <v>0.0</v>
      </c>
      <c r="G72" s="12">
        <v>595.64267907852</v>
      </c>
      <c r="H72" s="47">
        <v>595.642706291656</v>
      </c>
      <c r="I72" s="12">
        <v>599.138365132431</v>
      </c>
      <c r="J72" s="13">
        <v>595.642857503718</v>
      </c>
      <c r="K72" s="13">
        <v>4488.75</v>
      </c>
      <c r="L72" s="13">
        <v>735.689474813106</v>
      </c>
      <c r="M72" s="12">
        <v>613.031141171052</v>
      </c>
      <c r="N72" s="12">
        <v>752.631981773663</v>
      </c>
      <c r="O72" s="12">
        <v>735.692308748692</v>
      </c>
      <c r="P72" s="12">
        <v>735.692306686748</v>
      </c>
      <c r="Q72" s="12">
        <v>735.0</v>
      </c>
      <c r="R72" s="12">
        <v>735.692307686805</v>
      </c>
      <c r="S72" s="12">
        <v>735.692308243154</v>
      </c>
      <c r="T72" s="12">
        <v>716.810113265872</v>
      </c>
      <c r="U72" s="7">
        <v>735.692302955058</v>
      </c>
      <c r="V72" s="7">
        <v>762.749178639097</v>
      </c>
      <c r="W72" s="7">
        <v>595.642857142857</v>
      </c>
    </row>
    <row r="73">
      <c r="A73" s="8">
        <v>42339.0</v>
      </c>
      <c r="B73" s="9"/>
      <c r="C73" s="12">
        <v>595.642853920576</v>
      </c>
      <c r="D73" s="12">
        <v>1.90007806064601</v>
      </c>
      <c r="E73" s="12">
        <v>597.0</v>
      </c>
      <c r="F73" s="47">
        <v>595.64285742912</v>
      </c>
      <c r="G73" s="12">
        <v>1297.03547701635</v>
      </c>
      <c r="H73" s="47">
        <v>595.642706291656</v>
      </c>
      <c r="I73" s="12">
        <v>594.138365132431</v>
      </c>
      <c r="J73" s="13">
        <v>595.642857503718</v>
      </c>
      <c r="K73" s="13">
        <v>5048.42857142857</v>
      </c>
      <c r="L73" s="13">
        <v>735.689474813106</v>
      </c>
      <c r="M73" s="12">
        <v>631.12653200635</v>
      </c>
      <c r="N73" s="12">
        <v>752.631981773663</v>
      </c>
      <c r="O73" s="12">
        <v>735.692308748692</v>
      </c>
      <c r="P73" s="12">
        <v>735.692306686748</v>
      </c>
      <c r="Q73" s="12">
        <v>735.0</v>
      </c>
      <c r="R73" s="12">
        <v>735.692307686805</v>
      </c>
      <c r="S73" s="12">
        <v>735.692308243154</v>
      </c>
      <c r="T73" s="12">
        <v>771.396350155906</v>
      </c>
      <c r="U73" s="7">
        <v>735.692302955058</v>
      </c>
      <c r="V73" s="7">
        <v>758.91697560726</v>
      </c>
      <c r="W73" s="7">
        <v>595.642857142857</v>
      </c>
    </row>
    <row r="74">
      <c r="A74" s="8">
        <v>42370.0</v>
      </c>
      <c r="B74" s="9"/>
      <c r="C74" s="12">
        <v>595.642853920576</v>
      </c>
      <c r="D74" s="12">
        <v>10880.0</v>
      </c>
      <c r="E74" s="12">
        <v>570.0</v>
      </c>
      <c r="F74" s="47">
        <v>530.612289851964</v>
      </c>
      <c r="G74" s="12">
        <v>595.64267907852</v>
      </c>
      <c r="H74" s="47">
        <v>595.642706291656</v>
      </c>
      <c r="I74" s="12">
        <v>567.138365132431</v>
      </c>
      <c r="J74" s="13">
        <v>595.642857503718</v>
      </c>
      <c r="K74" s="13">
        <v>3633.83333333333</v>
      </c>
      <c r="L74" s="13">
        <v>735.689474813106</v>
      </c>
      <c r="M74" s="12">
        <v>588.178030874203</v>
      </c>
      <c r="N74" s="12">
        <v>752.631981773663</v>
      </c>
      <c r="O74" s="12">
        <v>735.692308748692</v>
      </c>
      <c r="P74" s="12">
        <v>735.692306686748</v>
      </c>
      <c r="Q74" s="12">
        <v>735.069611701494</v>
      </c>
      <c r="R74" s="12">
        <v>735.692307686805</v>
      </c>
      <c r="S74" s="12">
        <v>735.692308243154</v>
      </c>
      <c r="T74" s="12">
        <v>809.235928964063</v>
      </c>
      <c r="U74" s="7">
        <v>735.692302955058</v>
      </c>
      <c r="V74" s="7">
        <v>8746.5508428121</v>
      </c>
      <c r="W74" s="7">
        <v>595.642857142857</v>
      </c>
    </row>
    <row r="75">
      <c r="A75" s="8">
        <v>42401.0</v>
      </c>
      <c r="B75" s="9"/>
      <c r="C75" s="12">
        <v>595.642853920576</v>
      </c>
      <c r="D75" s="12">
        <v>10880.0</v>
      </c>
      <c r="E75" s="12">
        <v>602.0</v>
      </c>
      <c r="F75" s="47">
        <v>147.06142236285</v>
      </c>
      <c r="G75" s="12">
        <v>823.409548455712</v>
      </c>
      <c r="H75" s="47">
        <v>595.642706291656</v>
      </c>
      <c r="I75" s="12">
        <v>599.138365132431</v>
      </c>
      <c r="J75" s="13">
        <v>595.642857503718</v>
      </c>
      <c r="K75" s="13">
        <v>7325.98219928744</v>
      </c>
      <c r="L75" s="13">
        <v>735.689474813106</v>
      </c>
      <c r="M75" s="12">
        <v>507.948479998713</v>
      </c>
      <c r="N75" s="12">
        <v>744.631981773663</v>
      </c>
      <c r="O75" s="12">
        <v>735.692308748692</v>
      </c>
      <c r="P75" s="12">
        <v>735.692306686748</v>
      </c>
      <c r="Q75" s="12">
        <v>735.0</v>
      </c>
      <c r="R75" s="12">
        <v>1869.20756154055</v>
      </c>
      <c r="S75" s="12">
        <v>735.692308243154</v>
      </c>
      <c r="T75" s="12">
        <v>736.472291350303</v>
      </c>
      <c r="U75" s="7">
        <v>735.692302955058</v>
      </c>
      <c r="V75" s="7">
        <v>340.003480557098</v>
      </c>
      <c r="W75" s="7">
        <v>595.642857142857</v>
      </c>
    </row>
    <row r="76">
      <c r="A76" s="8">
        <v>42430.0</v>
      </c>
      <c r="B76" s="9"/>
      <c r="C76" s="12">
        <v>36188.0</v>
      </c>
      <c r="D76" s="12">
        <v>1.90007806064601</v>
      </c>
      <c r="E76" s="12">
        <v>573.0</v>
      </c>
      <c r="F76" s="47">
        <v>595.64285742912</v>
      </c>
      <c r="G76" s="12">
        <v>595.64267907852</v>
      </c>
      <c r="H76" s="47">
        <v>595.642706291656</v>
      </c>
      <c r="I76" s="12">
        <v>570.138365132431</v>
      </c>
      <c r="J76" s="13">
        <v>595.642857503718</v>
      </c>
      <c r="K76" s="13">
        <v>854.5</v>
      </c>
      <c r="L76" s="13">
        <v>735.689474813106</v>
      </c>
      <c r="M76" s="12">
        <v>756.473352010074</v>
      </c>
      <c r="N76" s="12">
        <v>749.631981773663</v>
      </c>
      <c r="O76" s="12">
        <v>735.692308748692</v>
      </c>
      <c r="P76" s="12">
        <v>735.692306686748</v>
      </c>
      <c r="Q76" s="12">
        <v>735.0</v>
      </c>
      <c r="R76" s="12">
        <v>735.692307686805</v>
      </c>
      <c r="S76" s="12">
        <v>735.692308243154</v>
      </c>
      <c r="T76" s="12">
        <v>731.271262305294</v>
      </c>
      <c r="U76" s="7">
        <v>735.692302955058</v>
      </c>
      <c r="V76" s="7">
        <v>1154.20317449008</v>
      </c>
      <c r="W76" s="7">
        <v>595.642857142857</v>
      </c>
    </row>
    <row r="77">
      <c r="A77" s="8">
        <v>42461.0</v>
      </c>
      <c r="B77" s="9">
        <f>IFERROR(__xludf.DUMMYFUNCTION("""COMPUTED_VALUE"""),33.0)</f>
        <v>33</v>
      </c>
      <c r="C77" s="12">
        <v>595.642853920576</v>
      </c>
      <c r="D77" s="12">
        <v>10880.0</v>
      </c>
      <c r="E77" s="12">
        <v>9092.06087635432</v>
      </c>
      <c r="F77" s="47">
        <v>28.2296360206394</v>
      </c>
      <c r="G77" s="12">
        <v>595.64267907852</v>
      </c>
      <c r="H77" s="47">
        <v>595.642706291656</v>
      </c>
      <c r="I77" s="12">
        <v>-209.861634867569</v>
      </c>
      <c r="J77" s="13">
        <v>595.642857503718</v>
      </c>
      <c r="K77" s="13">
        <v>4910.38806871158</v>
      </c>
      <c r="L77" s="13">
        <v>735.689474813106</v>
      </c>
      <c r="M77" s="12">
        <v>573.198943130107</v>
      </c>
      <c r="N77" s="12">
        <v>751.631981773663</v>
      </c>
      <c r="O77" s="12">
        <v>735.692308748692</v>
      </c>
      <c r="P77" s="12">
        <v>735.692306686748</v>
      </c>
      <c r="Q77" s="12">
        <v>737.56503910511</v>
      </c>
      <c r="R77" s="12">
        <v>735.692307686805</v>
      </c>
      <c r="S77" s="12">
        <v>735.692308243154</v>
      </c>
      <c r="T77" s="12">
        <v>731.271262305294</v>
      </c>
      <c r="U77" s="7">
        <v>735.692302955058</v>
      </c>
      <c r="V77" s="7">
        <v>595.20284414679</v>
      </c>
      <c r="W77" s="7">
        <v>595.642857142857</v>
      </c>
    </row>
    <row r="78">
      <c r="A78" s="8">
        <v>42491.0</v>
      </c>
      <c r="B78" s="9"/>
      <c r="C78" s="12">
        <v>595.642853920576</v>
      </c>
      <c r="D78" s="12">
        <v>595.642855849904</v>
      </c>
      <c r="E78" s="12">
        <v>591.0</v>
      </c>
      <c r="F78" s="47">
        <v>595.64285742912</v>
      </c>
      <c r="G78" s="12">
        <v>595.64267907852</v>
      </c>
      <c r="H78" s="47">
        <v>595.642706291656</v>
      </c>
      <c r="I78" s="12">
        <v>588.138365132431</v>
      </c>
      <c r="J78" s="13">
        <v>595.642857503718</v>
      </c>
      <c r="K78" s="13">
        <v>19245.553237047</v>
      </c>
      <c r="L78" s="13">
        <v>935.112434483947</v>
      </c>
      <c r="M78" s="12">
        <v>857.665057287793</v>
      </c>
      <c r="N78" s="12">
        <v>745.631981773663</v>
      </c>
      <c r="O78" s="12">
        <v>735.692308748692</v>
      </c>
      <c r="P78" s="12">
        <v>735.692306686748</v>
      </c>
      <c r="Q78" s="12">
        <v>735.0</v>
      </c>
      <c r="R78" s="12">
        <v>735.692307686805</v>
      </c>
      <c r="S78" s="12">
        <v>735.692308243154</v>
      </c>
      <c r="T78" s="12">
        <v>731.271262305294</v>
      </c>
      <c r="U78" s="7">
        <v>735.692302955058</v>
      </c>
      <c r="V78" s="7">
        <v>621.383349949785</v>
      </c>
      <c r="W78" s="7">
        <v>595.642857142857</v>
      </c>
    </row>
    <row r="79">
      <c r="A79" s="8">
        <v>42522.0</v>
      </c>
      <c r="B79" s="9">
        <f>IFERROR(__xludf.DUMMYFUNCTION("""COMPUTED_VALUE"""),51316.0)</f>
        <v>51316</v>
      </c>
      <c r="C79" s="12">
        <v>45568.0465884711</v>
      </c>
      <c r="D79" s="12">
        <v>51316.6500638662</v>
      </c>
      <c r="E79" s="12">
        <v>532.0</v>
      </c>
      <c r="F79" s="47">
        <v>51255.8908814957</v>
      </c>
      <c r="G79" s="12">
        <v>51316.0931220126</v>
      </c>
      <c r="H79" s="47">
        <v>51379.4717170186</v>
      </c>
      <c r="I79" s="12">
        <v>51316.0001945529</v>
      </c>
      <c r="J79" s="13">
        <v>50566.5266898672</v>
      </c>
      <c r="K79" s="13">
        <v>72218.3837004612</v>
      </c>
      <c r="L79" s="13">
        <v>51244.1014456576</v>
      </c>
      <c r="M79" s="12">
        <v>51302.4302243594</v>
      </c>
      <c r="N79" s="12">
        <v>50889.5475479696</v>
      </c>
      <c r="O79" s="12">
        <v>51910.1847897064</v>
      </c>
      <c r="P79" s="12">
        <v>27275.6695069181</v>
      </c>
      <c r="Q79" s="12">
        <v>51316.7747422999</v>
      </c>
      <c r="R79" s="12">
        <v>52722.3072020124</v>
      </c>
      <c r="S79" s="12">
        <v>51319.6755173731</v>
      </c>
      <c r="T79" s="12">
        <v>75736.0733079949</v>
      </c>
      <c r="U79" s="7">
        <v>60665.9893172725</v>
      </c>
      <c r="V79" s="7">
        <v>597.960358969589</v>
      </c>
      <c r="W79" s="7">
        <v>595.642857142857</v>
      </c>
    </row>
    <row r="80">
      <c r="A80" s="8">
        <v>42552.0</v>
      </c>
      <c r="B80" s="9"/>
      <c r="C80" s="12">
        <v>595.642853920576</v>
      </c>
      <c r="D80" s="12">
        <v>595.642855849904</v>
      </c>
      <c r="E80" s="12">
        <v>558.0</v>
      </c>
      <c r="F80" s="47">
        <v>595.64285742912</v>
      </c>
      <c r="G80" s="12">
        <v>595.64267907852</v>
      </c>
      <c r="H80" s="47">
        <v>595.642706291656</v>
      </c>
      <c r="I80" s="12">
        <v>555.138365132431</v>
      </c>
      <c r="J80" s="13">
        <v>595.642857503718</v>
      </c>
      <c r="K80" s="13">
        <v>595.642856937338</v>
      </c>
      <c r="L80" s="13">
        <v>735.689474813106</v>
      </c>
      <c r="M80" s="12">
        <v>579.18066378853</v>
      </c>
      <c r="N80" s="12">
        <v>736.631981773663</v>
      </c>
      <c r="O80" s="12">
        <v>735.692308748692</v>
      </c>
      <c r="P80" s="12">
        <v>735.692306686748</v>
      </c>
      <c r="Q80" s="12">
        <v>735.0</v>
      </c>
      <c r="R80" s="12">
        <v>2398.96856021315</v>
      </c>
      <c r="S80" s="12">
        <v>735.692308243154</v>
      </c>
      <c r="T80" s="12">
        <v>731.271262305294</v>
      </c>
      <c r="U80" s="7">
        <v>735.692302955058</v>
      </c>
      <c r="V80" s="7">
        <v>321.363308145034</v>
      </c>
      <c r="W80" s="7">
        <v>595.642857142857</v>
      </c>
    </row>
    <row r="81">
      <c r="A81" s="8">
        <v>42583.0</v>
      </c>
      <c r="B81" s="9">
        <f>IFERROR(__xludf.DUMMYFUNCTION("""COMPUTED_VALUE"""),16.0)</f>
        <v>16</v>
      </c>
      <c r="C81" s="12">
        <v>595.642853920576</v>
      </c>
      <c r="D81" s="12">
        <v>595.642855849904</v>
      </c>
      <c r="E81" s="12">
        <v>606.0</v>
      </c>
      <c r="F81" s="47">
        <v>0.0</v>
      </c>
      <c r="G81" s="12">
        <v>595.64267907852</v>
      </c>
      <c r="H81" s="47">
        <v>595.642706291656</v>
      </c>
      <c r="I81" s="12">
        <v>603.138365132431</v>
      </c>
      <c r="J81" s="13">
        <v>595.642857503718</v>
      </c>
      <c r="K81" s="13">
        <v>29066.3293744702</v>
      </c>
      <c r="L81" s="13">
        <v>735.689474813106</v>
      </c>
      <c r="M81" s="12">
        <v>489.985649340187</v>
      </c>
      <c r="N81" s="12">
        <v>615.631981773663</v>
      </c>
      <c r="O81" s="12">
        <v>735.692308748692</v>
      </c>
      <c r="P81" s="12">
        <v>735.692306686748</v>
      </c>
      <c r="Q81" s="12">
        <v>735.860748576289</v>
      </c>
      <c r="R81" s="12">
        <v>735.692307686805</v>
      </c>
      <c r="S81" s="12">
        <v>735.692308243154</v>
      </c>
      <c r="T81" s="12">
        <v>809.458908560844</v>
      </c>
      <c r="U81" s="7">
        <v>735.692302955058</v>
      </c>
      <c r="V81" s="7">
        <v>1113.97455226347</v>
      </c>
      <c r="W81" s="7">
        <v>595.642857142857</v>
      </c>
    </row>
    <row r="82">
      <c r="A82" s="8">
        <v>42614.0</v>
      </c>
      <c r="B82" s="9">
        <f>IFERROR(__xludf.DUMMYFUNCTION("""COMPUTED_VALUE"""),88.0)</f>
        <v>88</v>
      </c>
      <c r="C82" s="12">
        <v>2679.96958288</v>
      </c>
      <c r="D82" s="12">
        <v>1.90007806064601</v>
      </c>
      <c r="E82" s="12">
        <v>134.0</v>
      </c>
      <c r="F82" s="47">
        <v>0.0</v>
      </c>
      <c r="G82" s="12">
        <v>595.64267907852</v>
      </c>
      <c r="H82" s="47">
        <v>595.642706291656</v>
      </c>
      <c r="I82" s="12">
        <v>131.138365132431</v>
      </c>
      <c r="J82" s="13">
        <v>595.642857503718</v>
      </c>
      <c r="K82" s="13">
        <v>9594.3890561065</v>
      </c>
      <c r="L82" s="13">
        <v>735.689474813106</v>
      </c>
      <c r="M82" s="12">
        <v>498.819884768989</v>
      </c>
      <c r="N82" s="12">
        <v>658.631981773663</v>
      </c>
      <c r="O82" s="12">
        <v>735.692308748692</v>
      </c>
      <c r="P82" s="12">
        <v>1173.69949542453</v>
      </c>
      <c r="Q82" s="12">
        <v>735.00043560722</v>
      </c>
      <c r="R82" s="12">
        <v>735.692307686805</v>
      </c>
      <c r="S82" s="12">
        <v>735.692308243154</v>
      </c>
      <c r="T82" s="12">
        <v>739.744021241528</v>
      </c>
      <c r="U82" s="7">
        <v>735.692302955058</v>
      </c>
      <c r="V82" s="7">
        <v>311.597545315446</v>
      </c>
      <c r="W82" s="7">
        <v>595.642857142857</v>
      </c>
    </row>
    <row r="83">
      <c r="A83" s="8">
        <v>42644.0</v>
      </c>
      <c r="B83" s="9">
        <f>IFERROR(__xludf.DUMMYFUNCTION("""COMPUTED_VALUE"""),120.0)</f>
        <v>120</v>
      </c>
      <c r="C83" s="12">
        <v>595.642853920576</v>
      </c>
      <c r="D83" s="12">
        <v>10.900078060646</v>
      </c>
      <c r="E83" s="12">
        <v>573.0</v>
      </c>
      <c r="F83" s="47">
        <v>0.0</v>
      </c>
      <c r="G83" s="12">
        <v>595.64267907852</v>
      </c>
      <c r="H83" s="47">
        <v>595.642706291656</v>
      </c>
      <c r="I83" s="12">
        <v>570.138365132431</v>
      </c>
      <c r="J83" s="13">
        <v>595.642857503718</v>
      </c>
      <c r="K83" s="13">
        <v>595.642856937338</v>
      </c>
      <c r="L83" s="13">
        <v>735.689474813106</v>
      </c>
      <c r="M83" s="12">
        <v>572.712413918371</v>
      </c>
      <c r="N83" s="12">
        <v>657.631981773663</v>
      </c>
      <c r="O83" s="12">
        <v>735.692308748692</v>
      </c>
      <c r="P83" s="12">
        <v>735.692306686748</v>
      </c>
      <c r="Q83" s="12">
        <v>735.0</v>
      </c>
      <c r="R83" s="12">
        <v>2719.5593742823</v>
      </c>
      <c r="S83" s="12">
        <v>735.692308243154</v>
      </c>
      <c r="T83" s="12">
        <v>704.923345196345</v>
      </c>
      <c r="U83" s="7">
        <v>735.692302955058</v>
      </c>
      <c r="V83" s="7">
        <v>644.869399428808</v>
      </c>
      <c r="W83" s="7">
        <v>1041.06167903893</v>
      </c>
    </row>
    <row r="84">
      <c r="A84" s="8">
        <v>42675.0</v>
      </c>
      <c r="B84" s="9">
        <f>IFERROR(__xludf.DUMMYFUNCTION("""COMPUTED_VALUE"""),17520.0)</f>
        <v>17520</v>
      </c>
      <c r="C84" s="12">
        <v>6350.6750263099</v>
      </c>
      <c r="D84" s="12">
        <v>17520.1269128874</v>
      </c>
      <c r="E84" s="12">
        <v>17520.000343071</v>
      </c>
      <c r="F84" s="47">
        <v>17519.9954597615</v>
      </c>
      <c r="G84" s="12">
        <v>17474.2365862157</v>
      </c>
      <c r="H84" s="47">
        <v>17519.5419847492</v>
      </c>
      <c r="I84" s="12">
        <v>17553.0</v>
      </c>
      <c r="J84" s="13">
        <v>17520.7153722802</v>
      </c>
      <c r="K84" s="13">
        <v>17393.1776769442</v>
      </c>
      <c r="L84" s="13">
        <v>17519.9893417736</v>
      </c>
      <c r="M84" s="12">
        <v>17506.4538676652</v>
      </c>
      <c r="N84" s="12">
        <v>17519.9999919884</v>
      </c>
      <c r="O84" s="12">
        <v>16634.4407175174</v>
      </c>
      <c r="P84" s="12">
        <v>14816.3040261083</v>
      </c>
      <c r="Q84" s="12">
        <v>14088.8764409603</v>
      </c>
      <c r="R84" s="12">
        <v>19733.1292974414</v>
      </c>
      <c r="S84" s="12">
        <v>17520.0004854279</v>
      </c>
      <c r="T84" s="12">
        <v>17498.154693609</v>
      </c>
      <c r="U84" s="7">
        <v>17519.9972746247</v>
      </c>
      <c r="V84" s="7">
        <v>475.627196704036</v>
      </c>
      <c r="W84" s="7">
        <v>71979.7226217721</v>
      </c>
    </row>
    <row r="85">
      <c r="A85" s="8">
        <v>42705.0</v>
      </c>
      <c r="B85" s="9"/>
      <c r="C85" s="12">
        <v>9437.0</v>
      </c>
      <c r="D85" s="12">
        <v>595.642855849904</v>
      </c>
      <c r="E85" s="12">
        <v>599.0</v>
      </c>
      <c r="F85" s="47">
        <v>1595.68511562259</v>
      </c>
      <c r="G85" s="12">
        <v>595.64267907852</v>
      </c>
      <c r="H85" s="47">
        <v>595.642706291656</v>
      </c>
      <c r="I85" s="12">
        <v>596.138365132431</v>
      </c>
      <c r="J85" s="13">
        <v>595.642857503718</v>
      </c>
      <c r="K85" s="13">
        <v>595.642856937338</v>
      </c>
      <c r="L85" s="13">
        <v>735.689474813106</v>
      </c>
      <c r="M85" s="12">
        <v>352.018673872681</v>
      </c>
      <c r="N85" s="12">
        <v>734.631981773663</v>
      </c>
      <c r="O85" s="12">
        <v>735.692308748692</v>
      </c>
      <c r="P85" s="12">
        <v>735.692306686748</v>
      </c>
      <c r="Q85" s="12">
        <v>735.0</v>
      </c>
      <c r="R85" s="12">
        <v>1331.87035063035</v>
      </c>
      <c r="S85" s="12">
        <v>735.692308243154</v>
      </c>
      <c r="T85" s="12">
        <v>731.271262305294</v>
      </c>
      <c r="U85" s="7">
        <v>735.692302955058</v>
      </c>
      <c r="V85" s="7">
        <v>404.819509063089</v>
      </c>
      <c r="W85" s="7">
        <v>2007.0144269615</v>
      </c>
    </row>
    <row r="86">
      <c r="A86" s="8">
        <v>42736.0</v>
      </c>
      <c r="B86" s="9"/>
      <c r="C86" s="12">
        <v>944.0</v>
      </c>
      <c r="D86" s="12">
        <v>595.642855849904</v>
      </c>
      <c r="E86" s="12">
        <v>592.0</v>
      </c>
      <c r="F86" s="47">
        <v>0.0</v>
      </c>
      <c r="G86" s="12">
        <v>595.64267907852</v>
      </c>
      <c r="H86" s="47">
        <v>595.642706291656</v>
      </c>
      <c r="I86" s="12">
        <v>589.138365132431</v>
      </c>
      <c r="J86" s="13">
        <v>595.642857503718</v>
      </c>
      <c r="K86" s="13">
        <v>595.642856937338</v>
      </c>
      <c r="L86" s="13">
        <v>735.689474813106</v>
      </c>
      <c r="M86" s="12">
        <v>173.160646494475</v>
      </c>
      <c r="N86" s="12">
        <v>749.631981773663</v>
      </c>
      <c r="O86" s="12">
        <v>735.692308748692</v>
      </c>
      <c r="P86" s="12">
        <v>735.692306686748</v>
      </c>
      <c r="Q86" s="12">
        <v>735.464837928763</v>
      </c>
      <c r="R86" s="12">
        <v>735.692307686805</v>
      </c>
      <c r="S86" s="12">
        <v>735.692308243154</v>
      </c>
      <c r="T86" s="12">
        <v>733.703946445576</v>
      </c>
      <c r="U86" s="7">
        <v>735.692302955058</v>
      </c>
      <c r="V86" s="7">
        <v>1576.95540868295</v>
      </c>
      <c r="W86" s="7">
        <v>595.642857142857</v>
      </c>
    </row>
    <row r="87">
      <c r="A87" s="8">
        <v>42767.0</v>
      </c>
      <c r="B87" s="9">
        <f>IFERROR(__xludf.DUMMYFUNCTION("""COMPUTED_VALUE"""),240.0)</f>
        <v>240</v>
      </c>
      <c r="C87" s="12">
        <v>595.642853920576</v>
      </c>
      <c r="D87" s="12">
        <v>595.642855849904</v>
      </c>
      <c r="E87" s="12">
        <v>129.0</v>
      </c>
      <c r="F87" s="47">
        <v>1223.29769925942</v>
      </c>
      <c r="G87" s="12">
        <v>595.64267907852</v>
      </c>
      <c r="H87" s="47">
        <v>595.642706291656</v>
      </c>
      <c r="I87" s="12">
        <v>164.0</v>
      </c>
      <c r="J87" s="13">
        <v>595.642857503718</v>
      </c>
      <c r="K87" s="13">
        <v>595.642856937338</v>
      </c>
      <c r="L87" s="13">
        <v>735.689474813106</v>
      </c>
      <c r="M87" s="12">
        <v>244.685963878161</v>
      </c>
      <c r="N87" s="12">
        <v>735.631981773663</v>
      </c>
      <c r="O87" s="12">
        <v>735.692308748692</v>
      </c>
      <c r="P87" s="12">
        <v>735.692306686748</v>
      </c>
      <c r="Q87" s="12">
        <v>735.0</v>
      </c>
      <c r="R87" s="12">
        <v>735.692307686805</v>
      </c>
      <c r="S87" s="12">
        <v>735.692308243154</v>
      </c>
      <c r="T87" s="12">
        <v>681.218148875554</v>
      </c>
      <c r="U87" s="7">
        <v>735.692302955058</v>
      </c>
      <c r="V87" s="7">
        <v>8574.24650082841</v>
      </c>
      <c r="W87" s="7">
        <v>595.642857142857</v>
      </c>
    </row>
    <row r="88">
      <c r="A88" s="8">
        <v>42795.0</v>
      </c>
      <c r="B88" s="9">
        <f>IFERROR(__xludf.DUMMYFUNCTION("""COMPUTED_VALUE"""),9587.0)</f>
        <v>9587</v>
      </c>
      <c r="C88" s="12">
        <v>18436.0</v>
      </c>
      <c r="D88" s="12">
        <v>8949.90007806065</v>
      </c>
      <c r="E88" s="12">
        <v>9506.55073661833</v>
      </c>
      <c r="F88" s="47">
        <v>9187.99128669294</v>
      </c>
      <c r="G88" s="12">
        <v>8921.37302959421</v>
      </c>
      <c r="H88" s="47">
        <v>9650.11579503555</v>
      </c>
      <c r="I88" s="12">
        <v>9312.0</v>
      </c>
      <c r="J88" s="13">
        <v>16969.8716436585</v>
      </c>
      <c r="K88" s="13">
        <v>9587.00000000757</v>
      </c>
      <c r="L88" s="13">
        <v>9616.5417085482</v>
      </c>
      <c r="M88" s="12">
        <v>9288.05415110835</v>
      </c>
      <c r="N88" s="12">
        <v>9149.49783898944</v>
      </c>
      <c r="O88" s="12">
        <v>8140.82995633384</v>
      </c>
      <c r="P88" s="12">
        <v>22732.2303625376</v>
      </c>
      <c r="Q88" s="12">
        <v>9586.14898953712</v>
      </c>
      <c r="R88" s="12">
        <v>16623.4963963603</v>
      </c>
      <c r="S88" s="12">
        <v>9587.30901154548</v>
      </c>
      <c r="T88" s="12">
        <v>9418.78022534991</v>
      </c>
      <c r="U88" s="7">
        <v>1245.0</v>
      </c>
      <c r="V88" s="7">
        <v>451.348708451053</v>
      </c>
      <c r="W88" s="7">
        <v>595.642857142857</v>
      </c>
    </row>
    <row r="89">
      <c r="A89" s="8">
        <v>42826.0</v>
      </c>
      <c r="B89" s="9">
        <f>IFERROR(__xludf.DUMMYFUNCTION("""COMPUTED_VALUE"""),1063.0)</f>
        <v>1063</v>
      </c>
      <c r="C89" s="12">
        <v>1480.9781594948</v>
      </c>
      <c r="D89" s="12">
        <v>595.642855849904</v>
      </c>
      <c r="E89" s="12">
        <v>470.0</v>
      </c>
      <c r="F89" s="47">
        <v>0.0</v>
      </c>
      <c r="G89" s="12">
        <v>1164.0</v>
      </c>
      <c r="H89" s="47">
        <v>595.642706291656</v>
      </c>
      <c r="I89" s="12">
        <v>467.138365132431</v>
      </c>
      <c r="J89" s="13">
        <v>13266.9996498413</v>
      </c>
      <c r="K89" s="13">
        <v>9594.3890561065</v>
      </c>
      <c r="L89" s="13">
        <v>756.590691012305</v>
      </c>
      <c r="M89" s="12">
        <v>402.133127697222</v>
      </c>
      <c r="N89" s="12">
        <v>720.631981773663</v>
      </c>
      <c r="O89" s="12">
        <v>4263.48570830396</v>
      </c>
      <c r="P89" s="12">
        <v>735.692306686748</v>
      </c>
      <c r="Q89" s="12">
        <v>735.0</v>
      </c>
      <c r="R89" s="12">
        <v>14240.2669875083</v>
      </c>
      <c r="S89" s="12">
        <v>980.027432886174</v>
      </c>
      <c r="T89" s="12">
        <v>670.232278643765</v>
      </c>
      <c r="U89" s="7">
        <v>735.692302955058</v>
      </c>
      <c r="V89" s="7">
        <v>1648.93513411085</v>
      </c>
      <c r="W89" s="7">
        <v>595.642857142857</v>
      </c>
    </row>
    <row r="90">
      <c r="A90" s="8">
        <v>42856.0</v>
      </c>
      <c r="B90" s="9"/>
      <c r="C90" s="12">
        <v>595.642853920576</v>
      </c>
      <c r="D90" s="12">
        <v>595.642855849904</v>
      </c>
      <c r="E90" s="12">
        <v>-2058.27225468516</v>
      </c>
      <c r="F90" s="47">
        <v>0.0</v>
      </c>
      <c r="G90" s="12">
        <v>595.64267907852</v>
      </c>
      <c r="H90" s="47">
        <v>595.642706291656</v>
      </c>
      <c r="I90" s="12">
        <v>81.0</v>
      </c>
      <c r="J90" s="13">
        <v>595.642857503718</v>
      </c>
      <c r="K90" s="13">
        <v>595.642856937338</v>
      </c>
      <c r="L90" s="13">
        <v>735.689474813106</v>
      </c>
      <c r="M90" s="12">
        <v>447.34336294305</v>
      </c>
      <c r="N90" s="12">
        <v>687.631981773663</v>
      </c>
      <c r="O90" s="12">
        <v>1120.80571662931</v>
      </c>
      <c r="P90" s="12">
        <v>735.692306686748</v>
      </c>
      <c r="Q90" s="12">
        <v>735.0</v>
      </c>
      <c r="R90" s="12">
        <v>12933.9124332508</v>
      </c>
      <c r="S90" s="12">
        <v>735.692308243154</v>
      </c>
      <c r="T90" s="12">
        <v>733.2489808686</v>
      </c>
      <c r="U90" s="7">
        <v>735.692302955058</v>
      </c>
      <c r="V90" s="7">
        <v>1589.63077840221</v>
      </c>
      <c r="W90" s="7">
        <v>595.642857142857</v>
      </c>
    </row>
    <row r="91">
      <c r="A91" s="8">
        <v>42887.0</v>
      </c>
      <c r="B91" s="9"/>
      <c r="C91" s="12">
        <v>595.642853920576</v>
      </c>
      <c r="D91" s="12">
        <v>595.642855849904</v>
      </c>
      <c r="E91" s="12">
        <v>311.318736538699</v>
      </c>
      <c r="F91" s="47">
        <v>12177.2107323022</v>
      </c>
      <c r="G91" s="12">
        <v>595.64267907852</v>
      </c>
      <c r="H91" s="47">
        <v>595.642706291656</v>
      </c>
      <c r="I91" s="12">
        <v>501.0</v>
      </c>
      <c r="J91" s="13">
        <v>595.642857503718</v>
      </c>
      <c r="K91" s="13">
        <v>595.642856937338</v>
      </c>
      <c r="L91" s="13">
        <v>735.689474813106</v>
      </c>
      <c r="M91" s="12">
        <v>351.975174482286</v>
      </c>
      <c r="N91" s="12">
        <v>751.631981773663</v>
      </c>
      <c r="O91" s="12">
        <v>735.692308748692</v>
      </c>
      <c r="P91" s="12">
        <v>735.692306686748</v>
      </c>
      <c r="Q91" s="12">
        <v>735.0</v>
      </c>
      <c r="R91" s="12">
        <v>17604.5919962593</v>
      </c>
      <c r="S91" s="12">
        <v>735.692308243154</v>
      </c>
      <c r="T91" s="12">
        <v>833.024229030838</v>
      </c>
      <c r="U91" s="7">
        <v>735.692302955058</v>
      </c>
      <c r="V91" s="7">
        <v>9377.69828710489</v>
      </c>
      <c r="W91" s="7">
        <v>12283.5118424497</v>
      </c>
    </row>
    <row r="92">
      <c r="A92" s="8">
        <v>42917.0</v>
      </c>
      <c r="B92" s="9">
        <f>IFERROR(__xludf.DUMMYFUNCTION("""COMPUTED_VALUE"""),27.0)</f>
        <v>27</v>
      </c>
      <c r="C92" s="12">
        <v>595.642853920576</v>
      </c>
      <c r="D92" s="12">
        <v>38.7622978286197</v>
      </c>
      <c r="E92" s="12">
        <v>23.4957537010339</v>
      </c>
      <c r="F92" s="47">
        <v>43.6150805760626</v>
      </c>
      <c r="G92" s="12">
        <v>595.64267907852</v>
      </c>
      <c r="H92" s="47">
        <v>595.642706291656</v>
      </c>
      <c r="I92" s="12">
        <v>33.1596623739479</v>
      </c>
      <c r="J92" s="13">
        <v>595.642857503718</v>
      </c>
      <c r="K92" s="13">
        <v>595.642856937338</v>
      </c>
      <c r="L92" s="13">
        <v>735.689474813106</v>
      </c>
      <c r="M92" s="12">
        <v>113.554706259631</v>
      </c>
      <c r="N92" s="12">
        <v>565.631981773663</v>
      </c>
      <c r="O92" s="12">
        <v>735.692308748692</v>
      </c>
      <c r="P92" s="12">
        <v>735.692306686748</v>
      </c>
      <c r="Q92" s="12">
        <v>735.0</v>
      </c>
      <c r="R92" s="12">
        <v>18097.9751107084</v>
      </c>
      <c r="S92" s="12">
        <v>735.692308243154</v>
      </c>
      <c r="T92" s="12">
        <v>731.271262305294</v>
      </c>
      <c r="U92" s="7">
        <v>735.692302955058</v>
      </c>
      <c r="V92" s="7">
        <v>33225.9640231156</v>
      </c>
      <c r="W92" s="7">
        <v>595.642857142857</v>
      </c>
    </row>
    <row r="93">
      <c r="A93" s="8">
        <v>42948.0</v>
      </c>
      <c r="B93" s="9">
        <f>IFERROR(__xludf.DUMMYFUNCTION("""COMPUTED_VALUE"""),126.0)</f>
        <v>126</v>
      </c>
      <c r="C93" s="12">
        <v>595.642853920576</v>
      </c>
      <c r="D93" s="12">
        <v>595.642855849904</v>
      </c>
      <c r="E93" s="12">
        <v>307.402777588527</v>
      </c>
      <c r="F93" s="47">
        <v>307.402691906857</v>
      </c>
      <c r="G93" s="12">
        <v>595.64267907852</v>
      </c>
      <c r="H93" s="47">
        <v>595.642706291656</v>
      </c>
      <c r="I93" s="12">
        <v>-45.861634867569</v>
      </c>
      <c r="J93" s="13">
        <v>595.642857503718</v>
      </c>
      <c r="K93" s="13">
        <v>595.642856937338</v>
      </c>
      <c r="L93" s="13">
        <v>735.689474813106</v>
      </c>
      <c r="M93" s="12">
        <v>268.528010604357</v>
      </c>
      <c r="N93" s="12">
        <v>70.6319817736629</v>
      </c>
      <c r="O93" s="12">
        <v>735.692308748692</v>
      </c>
      <c r="P93" s="12">
        <v>735.692306686748</v>
      </c>
      <c r="Q93" s="12">
        <v>736.948480044325</v>
      </c>
      <c r="R93" s="12">
        <v>22022.251277421</v>
      </c>
      <c r="S93" s="12">
        <v>947.994976973018</v>
      </c>
      <c r="T93" s="12">
        <v>173966.027555038</v>
      </c>
      <c r="U93" s="7">
        <v>735.692302955058</v>
      </c>
      <c r="V93" s="7">
        <v>11783.2164571198</v>
      </c>
      <c r="W93" s="7">
        <v>595.642857142857</v>
      </c>
    </row>
    <row r="94">
      <c r="A94" s="14">
        <v>42979.0</v>
      </c>
      <c r="B94" s="9">
        <f>IFERROR(__xludf.DUMMYFUNCTION("""COMPUTED_VALUE"""),19.0)</f>
        <v>19</v>
      </c>
      <c r="C94" s="12">
        <v>2894.3368905985</v>
      </c>
      <c r="D94" s="12">
        <v>84.4376799411024</v>
      </c>
      <c r="E94" s="12">
        <v>31.3276716013786</v>
      </c>
      <c r="F94" s="47">
        <v>31.3276628694886</v>
      </c>
      <c r="G94" s="12">
        <v>595.64267907852</v>
      </c>
      <c r="H94" s="47">
        <v>595.642706291656</v>
      </c>
      <c r="I94" s="12">
        <v>33.1596623739479</v>
      </c>
      <c r="J94" s="13">
        <v>595.642857503718</v>
      </c>
      <c r="K94" s="13">
        <v>595.642856937338</v>
      </c>
      <c r="L94" s="13">
        <v>735.689474813106</v>
      </c>
      <c r="M94" s="12">
        <v>269.857031421357</v>
      </c>
      <c r="N94" s="12">
        <v>-22431.3680182263</v>
      </c>
      <c r="O94" s="12">
        <v>735.692308748692</v>
      </c>
      <c r="P94" s="12">
        <v>735.692306686748</v>
      </c>
      <c r="Q94" s="12">
        <v>735.0</v>
      </c>
      <c r="R94" s="12">
        <v>4175.04343451698</v>
      </c>
      <c r="S94" s="12">
        <v>735.692308243154</v>
      </c>
      <c r="T94" s="12">
        <v>2888.5876274544</v>
      </c>
      <c r="U94" s="7">
        <v>735.692302955058</v>
      </c>
      <c r="V94" s="7">
        <v>8370.38017789929</v>
      </c>
      <c r="W94" s="7">
        <v>1298.73412818686</v>
      </c>
    </row>
    <row r="95">
      <c r="A95" s="14">
        <v>43009.0</v>
      </c>
      <c r="B95" s="9">
        <f>IFERROR(__xludf.DUMMYFUNCTION("""COMPUTED_VALUE"""),116.0)</f>
        <v>116</v>
      </c>
      <c r="C95" s="12">
        <v>595.642853920576</v>
      </c>
      <c r="D95" s="12">
        <v>595.642855849904</v>
      </c>
      <c r="E95" s="12">
        <v>29.3696921262924</v>
      </c>
      <c r="F95" s="47">
        <v>29.3696839401456</v>
      </c>
      <c r="G95" s="12">
        <v>595.64267907852</v>
      </c>
      <c r="H95" s="47">
        <v>595.642706291656</v>
      </c>
      <c r="I95" s="12">
        <v>440.0</v>
      </c>
      <c r="J95" s="13">
        <v>595.642857503718</v>
      </c>
      <c r="K95" s="13">
        <v>595.642856937338</v>
      </c>
      <c r="L95" s="13">
        <v>837.802817806918</v>
      </c>
      <c r="M95" s="12">
        <v>427.528010604357</v>
      </c>
      <c r="N95" s="12">
        <v>-3363.36801822634</v>
      </c>
      <c r="O95" s="12">
        <v>735.692308748692</v>
      </c>
      <c r="P95" s="12">
        <v>735.692306686748</v>
      </c>
      <c r="Q95" s="12">
        <v>735.0</v>
      </c>
      <c r="R95" s="12">
        <v>14453.4410914184</v>
      </c>
      <c r="S95" s="12">
        <v>735.692308243154</v>
      </c>
      <c r="T95" s="12">
        <v>834.630804611289</v>
      </c>
      <c r="U95" s="7">
        <v>735.692302955058</v>
      </c>
      <c r="V95" s="7">
        <v>11161.8578241591</v>
      </c>
      <c r="W95" s="7">
        <v>595.642857142857</v>
      </c>
    </row>
    <row r="96">
      <c r="A96" s="14">
        <v>43040.0</v>
      </c>
      <c r="B96" s="9">
        <f>IFERROR(__xludf.DUMMYFUNCTION("""COMPUTED_VALUE"""),36.0)</f>
        <v>36</v>
      </c>
      <c r="C96" s="12">
        <v>595.642853920576</v>
      </c>
      <c r="D96" s="12">
        <v>595.642855849904</v>
      </c>
      <c r="E96" s="12">
        <v>-2029.27225468516</v>
      </c>
      <c r="F96" s="47">
        <v>0.0</v>
      </c>
      <c r="G96" s="12">
        <v>595.64267907852</v>
      </c>
      <c r="H96" s="47">
        <v>595.642706291656</v>
      </c>
      <c r="I96" s="12">
        <v>-2334.86163486757</v>
      </c>
      <c r="J96" s="13">
        <v>595.642857503718</v>
      </c>
      <c r="K96" s="13">
        <v>595.642856937338</v>
      </c>
      <c r="L96" s="13">
        <v>735.689474813106</v>
      </c>
      <c r="M96" s="12">
        <v>471.26438518248</v>
      </c>
      <c r="N96" s="12">
        <v>-724.368018226337</v>
      </c>
      <c r="O96" s="12">
        <v>735.692308748692</v>
      </c>
      <c r="P96" s="12">
        <v>735.692306686748</v>
      </c>
      <c r="Q96" s="12">
        <v>735.0</v>
      </c>
      <c r="R96" s="12">
        <v>1634.11123423133</v>
      </c>
      <c r="S96" s="12">
        <v>1300.01077813459</v>
      </c>
      <c r="T96" s="12">
        <v>2070.67957928362</v>
      </c>
      <c r="U96" s="7">
        <v>735.692302955058</v>
      </c>
      <c r="V96" s="7">
        <v>6499.21815886581</v>
      </c>
      <c r="W96" s="7">
        <v>595.642857142857</v>
      </c>
    </row>
    <row r="97">
      <c r="A97" s="14">
        <v>43070.0</v>
      </c>
      <c r="B97" s="9">
        <f>IFERROR(__xludf.DUMMYFUNCTION("""COMPUTED_VALUE"""),313.0)</f>
        <v>313</v>
      </c>
      <c r="C97" s="12">
        <v>595.642853920576</v>
      </c>
      <c r="D97" s="12">
        <v>2144.09052055168</v>
      </c>
      <c r="E97" s="12">
        <v>3751.48867426508</v>
      </c>
      <c r="F97" s="47">
        <v>3751.48762862126</v>
      </c>
      <c r="G97" s="12">
        <v>3277.27177649808</v>
      </c>
      <c r="H97" s="47">
        <v>44013.6961105547</v>
      </c>
      <c r="I97" s="12">
        <v>2240.0</v>
      </c>
      <c r="J97" s="12">
        <v>595.642857503718</v>
      </c>
      <c r="K97" s="12">
        <v>1776.08333333333</v>
      </c>
      <c r="L97" s="12">
        <v>3751.4863186006</v>
      </c>
      <c r="M97" s="12">
        <v>4093.60068109848</v>
      </c>
      <c r="N97" s="12">
        <v>636.631981773663</v>
      </c>
      <c r="O97" s="12">
        <v>96690.9519164954</v>
      </c>
      <c r="P97" s="12">
        <v>735.692306686748</v>
      </c>
      <c r="Q97" s="12">
        <v>735.0</v>
      </c>
      <c r="R97" s="12">
        <v>1281.01063356779</v>
      </c>
      <c r="S97" s="12">
        <v>2126.59892808763</v>
      </c>
      <c r="T97" s="12">
        <v>4164.53341395107</v>
      </c>
      <c r="U97" s="7">
        <v>3751.48801723076</v>
      </c>
      <c r="V97" s="7">
        <v>7020.82336836881</v>
      </c>
      <c r="W97" s="7">
        <v>595.642857142857</v>
      </c>
    </row>
    <row r="98">
      <c r="A98" s="19">
        <v>43101.0</v>
      </c>
      <c r="B98" s="9">
        <f>IFERROR(__xludf.DUMMYFUNCTION("""COMPUTED_VALUE"""),126.0)</f>
        <v>126</v>
      </c>
      <c r="C98" s="12">
        <v>595.642853920576</v>
      </c>
      <c r="D98" s="12">
        <v>587.477045857612</v>
      </c>
      <c r="E98" s="12">
        <v>1932.52574191004</v>
      </c>
      <c r="F98" s="47">
        <v>1932.52520326158</v>
      </c>
      <c r="G98" s="12">
        <v>1877.20705274681</v>
      </c>
      <c r="H98" s="47">
        <v>595.642706291656</v>
      </c>
      <c r="I98" s="12">
        <v>266.0</v>
      </c>
      <c r="J98" s="12">
        <v>595.642857503718</v>
      </c>
      <c r="K98" s="12">
        <v>8497.75589767804</v>
      </c>
      <c r="L98" s="12">
        <v>1932.52452842317</v>
      </c>
      <c r="M98" s="12">
        <v>2179.50358365853</v>
      </c>
      <c r="N98" s="12">
        <v>583.631981773663</v>
      </c>
      <c r="O98" s="12">
        <v>735.692308748692</v>
      </c>
      <c r="P98" s="12">
        <v>735.692306686748</v>
      </c>
      <c r="Q98" s="12">
        <v>735.0</v>
      </c>
      <c r="R98" s="12">
        <v>44587.2464501842</v>
      </c>
      <c r="S98" s="12">
        <v>4585.27694543878</v>
      </c>
      <c r="T98" s="12">
        <v>2403.02400428067</v>
      </c>
      <c r="U98" s="7">
        <v>1932.52540344821</v>
      </c>
      <c r="V98" s="7">
        <v>24780.6545505299</v>
      </c>
      <c r="W98" s="7">
        <v>1170.21214760787</v>
      </c>
    </row>
    <row r="99">
      <c r="A99" s="19">
        <v>43132.0</v>
      </c>
      <c r="B99" s="9">
        <f>IFERROR(__xludf.DUMMYFUNCTION("""COMPUTED_VALUE"""),434.0)</f>
        <v>434</v>
      </c>
      <c r="C99" s="12">
        <v>595.642853920576</v>
      </c>
      <c r="D99" s="12">
        <v>174.209899141742</v>
      </c>
      <c r="E99" s="12">
        <v>657.88110362895</v>
      </c>
      <c r="F99" s="47">
        <v>24696.4387849943</v>
      </c>
      <c r="G99" s="12">
        <v>4120.82918681797</v>
      </c>
      <c r="H99" s="47">
        <v>595.642706291656</v>
      </c>
      <c r="I99" s="12">
        <v>33.1596623739479</v>
      </c>
      <c r="J99" s="12">
        <v>595.642857503718</v>
      </c>
      <c r="K99" s="12">
        <v>595.642856937338</v>
      </c>
      <c r="L99" s="12">
        <v>827.376765822158</v>
      </c>
      <c r="M99" s="12">
        <v>1581.28581616573</v>
      </c>
      <c r="N99" s="12">
        <v>9480.94840205892</v>
      </c>
      <c r="O99" s="12">
        <v>735.692308748692</v>
      </c>
      <c r="P99" s="12">
        <v>735.692306686748</v>
      </c>
      <c r="Q99" s="12">
        <v>735.0</v>
      </c>
      <c r="R99" s="12">
        <v>735.692307686805</v>
      </c>
      <c r="S99" s="12">
        <v>5125.88414725125</v>
      </c>
      <c r="T99" s="12">
        <v>242284.113446775</v>
      </c>
      <c r="U99" s="7">
        <v>735.692302955058</v>
      </c>
      <c r="V99" s="7">
        <v>12462.3035770226</v>
      </c>
      <c r="W99" s="7">
        <v>595.642857142857</v>
      </c>
    </row>
    <row r="100">
      <c r="A100" s="15">
        <v>43160.0</v>
      </c>
      <c r="B100" s="9">
        <f>IFERROR(__xludf.DUMMYFUNCTION("""COMPUTED_VALUE"""),255.0)</f>
        <v>255</v>
      </c>
      <c r="C100" s="12">
        <v>595.642853920576</v>
      </c>
      <c r="D100" s="12">
        <v>1.90007806064601</v>
      </c>
      <c r="E100" s="12">
        <v>242.0</v>
      </c>
      <c r="F100" s="47">
        <v>9.7898946467152</v>
      </c>
      <c r="G100" s="12">
        <v>595.64267907852</v>
      </c>
      <c r="H100" s="47">
        <v>595.642706291656</v>
      </c>
      <c r="I100" s="12">
        <v>1015.0</v>
      </c>
      <c r="J100" s="12">
        <v>595.642857503718</v>
      </c>
      <c r="K100" s="12">
        <v>595.642856937338</v>
      </c>
      <c r="L100" s="12">
        <v>735.689474813106</v>
      </c>
      <c r="M100" s="12">
        <v>678.157375994409</v>
      </c>
      <c r="N100" s="12">
        <v>615694.336521285</v>
      </c>
      <c r="O100" s="12">
        <v>735.692308748692</v>
      </c>
      <c r="P100" s="12">
        <v>735.692306686748</v>
      </c>
      <c r="Q100" s="12">
        <v>736.395101099667</v>
      </c>
      <c r="R100" s="12">
        <v>379824.021834089</v>
      </c>
      <c r="S100" s="12">
        <v>2949.30937220958</v>
      </c>
      <c r="T100" s="12">
        <v>-135.118230401363</v>
      </c>
      <c r="U100" s="7">
        <v>2487.0</v>
      </c>
      <c r="V100" s="7">
        <v>11261.0666615987</v>
      </c>
      <c r="W100" s="7">
        <v>595.642857142857</v>
      </c>
    </row>
    <row r="101">
      <c r="A101" s="15">
        <v>43191.0</v>
      </c>
      <c r="B101" s="9">
        <f>IFERROR(__xludf.DUMMYFUNCTION("""COMPUTED_VALUE"""),19079.0)</f>
        <v>19079</v>
      </c>
      <c r="C101" s="12">
        <v>19788.0</v>
      </c>
      <c r="D101" s="12">
        <v>10880.0</v>
      </c>
      <c r="E101" s="12">
        <v>485.578909821368</v>
      </c>
      <c r="F101" s="47">
        <v>485.578774477074</v>
      </c>
      <c r="G101" s="12">
        <v>595.64267907852</v>
      </c>
      <c r="H101" s="47">
        <v>14611.2730108303</v>
      </c>
      <c r="I101" s="12">
        <v>2170.0</v>
      </c>
      <c r="J101" s="12">
        <v>595.642857503718</v>
      </c>
      <c r="K101" s="12">
        <v>595.642856937338</v>
      </c>
      <c r="L101" s="12">
        <v>2561.6499068514</v>
      </c>
      <c r="M101" s="12">
        <v>2724.51090841668</v>
      </c>
      <c r="N101" s="12">
        <v>161892.922684339</v>
      </c>
      <c r="O101" s="12">
        <v>196415.919853389</v>
      </c>
      <c r="P101" s="12">
        <v>735.692306686748</v>
      </c>
      <c r="Q101" s="12">
        <v>735.0</v>
      </c>
      <c r="R101" s="12">
        <v>123333.194537143</v>
      </c>
      <c r="S101" s="12">
        <v>54855.124456346</v>
      </c>
      <c r="T101" s="12">
        <v>895.853623944716</v>
      </c>
      <c r="U101" s="7">
        <v>735.692302955058</v>
      </c>
      <c r="V101" s="7">
        <v>17297.5613752851</v>
      </c>
      <c r="W101" s="7">
        <v>65235.758936981</v>
      </c>
    </row>
    <row r="102">
      <c r="A102" s="48">
        <v>43221.0</v>
      </c>
      <c r="B102" s="9">
        <f>IFERROR(__xludf.DUMMYFUNCTION("""COMPUTED_VALUE"""),42395.0)</f>
        <v>42395</v>
      </c>
      <c r="C102" s="12">
        <v>595.642853920576</v>
      </c>
      <c r="D102" s="12">
        <v>988.900078060646</v>
      </c>
      <c r="E102" s="12">
        <v>11489.4118979522</v>
      </c>
      <c r="F102" s="47">
        <v>26927.8849409532</v>
      </c>
      <c r="G102" s="12">
        <v>44637.6640927988</v>
      </c>
      <c r="H102" s="49">
        <v>595.642706291656</v>
      </c>
      <c r="I102" s="12">
        <v>3859.0</v>
      </c>
      <c r="J102" s="12">
        <v>24903.5898432094</v>
      </c>
      <c r="K102" s="12">
        <v>2920.42857142857</v>
      </c>
      <c r="L102" s="12">
        <v>3152.34497544205</v>
      </c>
      <c r="M102" s="12">
        <v>40999.5690311547</v>
      </c>
      <c r="N102" s="12">
        <v>69744.5882985752</v>
      </c>
      <c r="O102" s="12">
        <v>91738.4380441595</v>
      </c>
      <c r="P102" s="12">
        <v>735.692306686748</v>
      </c>
      <c r="Q102" s="12">
        <v>735.0</v>
      </c>
      <c r="R102" s="12">
        <v>735.692307686805</v>
      </c>
      <c r="S102" s="12">
        <v>54141.2291490841</v>
      </c>
      <c r="T102" s="12">
        <v>2673.54783152195</v>
      </c>
      <c r="U102" s="7">
        <v>66805.91</v>
      </c>
      <c r="V102" s="7">
        <v>32428.409171973</v>
      </c>
      <c r="W102" s="7">
        <v>595.642857142857</v>
      </c>
    </row>
    <row r="103">
      <c r="A103" s="15">
        <v>43252.0</v>
      </c>
      <c r="B103" s="9">
        <f>IFERROR(__xludf.DUMMYFUNCTION("""COMPUTED_VALUE"""),81826.0)</f>
        <v>81826</v>
      </c>
      <c r="C103" s="7">
        <v>595.642853920576</v>
      </c>
      <c r="D103" s="7">
        <v>595.642855849904</v>
      </c>
      <c r="E103" s="7">
        <v>552011.15004529</v>
      </c>
      <c r="F103" s="47">
        <v>158.46524263359</v>
      </c>
      <c r="G103" s="7">
        <v>595.64267907852</v>
      </c>
      <c r="H103" s="49">
        <v>595.642706291656</v>
      </c>
      <c r="I103" s="7">
        <v>465.138365132431</v>
      </c>
      <c r="J103" s="7">
        <v>11637.1870147947</v>
      </c>
      <c r="K103" s="7">
        <v>595.642856937338</v>
      </c>
      <c r="L103" s="7">
        <v>1024.3580907326</v>
      </c>
      <c r="M103" s="7">
        <v>2795.83946349417</v>
      </c>
      <c r="N103" s="7">
        <v>1733.51023071847</v>
      </c>
      <c r="O103" s="7">
        <v>735.692308748692</v>
      </c>
      <c r="P103" s="7">
        <v>735.692306686748</v>
      </c>
      <c r="Q103" s="7">
        <v>746.394845890913</v>
      </c>
      <c r="R103" s="7">
        <v>735.692307686805</v>
      </c>
      <c r="S103" s="7">
        <v>3898.0413467075</v>
      </c>
      <c r="T103" s="7">
        <v>731.271262305294</v>
      </c>
      <c r="U103" s="7">
        <v>62979.04</v>
      </c>
      <c r="V103" s="7">
        <v>22744.9869166703</v>
      </c>
      <c r="W103" s="7">
        <v>132255.979569757</v>
      </c>
    </row>
    <row r="104">
      <c r="A104" s="15">
        <v>43282.0</v>
      </c>
      <c r="B104" s="9">
        <f>IFERROR(__xludf.DUMMYFUNCTION("""COMPUTED_VALUE"""),42534.0)</f>
        <v>42534</v>
      </c>
      <c r="C104" s="7">
        <v>18329.0</v>
      </c>
      <c r="D104" s="7">
        <v>595.642855849904</v>
      </c>
      <c r="E104" s="7">
        <v>489.0</v>
      </c>
      <c r="F104" s="49">
        <v>25318.8988527174</v>
      </c>
      <c r="G104" s="7">
        <v>595.64267907852</v>
      </c>
      <c r="H104" s="49">
        <v>595.642706291656</v>
      </c>
      <c r="I104" s="7">
        <v>486.138365132431</v>
      </c>
      <c r="J104" s="7">
        <v>595.642857503718</v>
      </c>
      <c r="K104" s="7">
        <v>9574.30351918331</v>
      </c>
      <c r="L104" s="7">
        <v>735.689474813106</v>
      </c>
      <c r="M104" s="7">
        <v>6009.27067798984</v>
      </c>
      <c r="N104" s="7">
        <v>2550.17070455773</v>
      </c>
      <c r="O104" s="7">
        <v>735.692308748692</v>
      </c>
      <c r="P104" s="7">
        <v>735.692306686748</v>
      </c>
      <c r="Q104" s="7">
        <v>20236.6432337787</v>
      </c>
      <c r="R104" s="7">
        <v>735.692307686805</v>
      </c>
      <c r="S104" s="7">
        <v>55100.4345805047</v>
      </c>
      <c r="T104" s="7">
        <v>236322.655316238</v>
      </c>
      <c r="U104" s="7">
        <v>9347.96</v>
      </c>
      <c r="V104" s="7">
        <v>96754.4759975735</v>
      </c>
      <c r="W104" s="7">
        <v>595.642857142857</v>
      </c>
    </row>
    <row r="105">
      <c r="A105" s="17">
        <v>43313.0</v>
      </c>
      <c r="C105" s="7">
        <v>969.0</v>
      </c>
      <c r="D105" s="7">
        <v>322.425131883464</v>
      </c>
      <c r="E105" s="7">
        <v>164.0</v>
      </c>
      <c r="F105" s="49">
        <v>0.0</v>
      </c>
      <c r="G105" s="7">
        <v>595.64267907852</v>
      </c>
      <c r="H105" s="49">
        <v>595.642706291656</v>
      </c>
      <c r="I105" s="7">
        <v>161.138365132431</v>
      </c>
      <c r="J105" s="7">
        <v>595.642857503718</v>
      </c>
      <c r="K105" s="7">
        <v>595.642856937338</v>
      </c>
      <c r="L105" s="7">
        <v>919.85400375846</v>
      </c>
      <c r="M105" s="7">
        <v>2151.12483759331</v>
      </c>
      <c r="N105" s="7">
        <v>260876.247984245</v>
      </c>
      <c r="O105" s="7">
        <v>735.692308748692</v>
      </c>
      <c r="P105" s="7">
        <v>735.692306686748</v>
      </c>
      <c r="Q105" s="7">
        <v>740.411582628243</v>
      </c>
      <c r="R105" s="7">
        <v>735.692307686805</v>
      </c>
      <c r="S105" s="7">
        <v>55154.7049634332</v>
      </c>
      <c r="T105" s="7">
        <v>1142.03817745634</v>
      </c>
      <c r="U105" s="7">
        <v>1188.0</v>
      </c>
      <c r="V105" s="7">
        <v>25936.4368130367</v>
      </c>
      <c r="W105" s="7">
        <v>595.642857142857</v>
      </c>
    </row>
    <row r="106">
      <c r="A106" s="15">
        <v>43344.0</v>
      </c>
      <c r="F106" s="50"/>
      <c r="H106" s="50"/>
    </row>
    <row r="107">
      <c r="A107" s="15">
        <v>43374.0</v>
      </c>
      <c r="F107" s="50"/>
      <c r="H107" s="50"/>
    </row>
    <row r="108">
      <c r="A108" s="15">
        <v>43405.0</v>
      </c>
      <c r="F108" s="50"/>
      <c r="H108" s="50"/>
    </row>
    <row r="109">
      <c r="F109" s="50"/>
      <c r="H109" s="50"/>
    </row>
    <row r="110">
      <c r="F110" s="50"/>
      <c r="H110" s="50"/>
    </row>
    <row r="111">
      <c r="F111" s="50"/>
      <c r="H111" s="50"/>
    </row>
    <row r="112">
      <c r="F112" s="50"/>
      <c r="H112" s="50"/>
    </row>
    <row r="113">
      <c r="F113" s="50"/>
      <c r="H113" s="50"/>
    </row>
    <row r="114">
      <c r="F114" s="50"/>
      <c r="H114" s="50"/>
    </row>
    <row r="115">
      <c r="F115" s="50"/>
      <c r="H115" s="50"/>
    </row>
    <row r="116">
      <c r="F116" s="50"/>
      <c r="H116" s="50"/>
    </row>
    <row r="117">
      <c r="F117" s="50"/>
      <c r="H117" s="50"/>
    </row>
    <row r="118">
      <c r="F118" s="50"/>
      <c r="H118" s="50"/>
    </row>
    <row r="119">
      <c r="F119" s="50"/>
      <c r="H119" s="50"/>
    </row>
    <row r="120">
      <c r="F120" s="50"/>
      <c r="H120" s="50"/>
    </row>
    <row r="121">
      <c r="F121" s="50"/>
      <c r="H121" s="50"/>
    </row>
    <row r="122">
      <c r="F122" s="50"/>
      <c r="H122" s="50"/>
    </row>
    <row r="123">
      <c r="F123" s="50"/>
      <c r="H123" s="50"/>
    </row>
    <row r="124">
      <c r="F124" s="50"/>
      <c r="H124" s="50"/>
    </row>
    <row r="125">
      <c r="F125" s="50"/>
      <c r="H125" s="50"/>
    </row>
    <row r="126">
      <c r="F126" s="50"/>
      <c r="H126" s="50"/>
    </row>
    <row r="127">
      <c r="F127" s="50"/>
      <c r="H127" s="50"/>
    </row>
    <row r="128">
      <c r="F128" s="50"/>
      <c r="H128" s="50"/>
    </row>
    <row r="129">
      <c r="F129" s="50"/>
      <c r="H129" s="50"/>
    </row>
    <row r="130">
      <c r="F130" s="50"/>
      <c r="H130" s="50"/>
    </row>
    <row r="131">
      <c r="F131" s="50"/>
      <c r="H131" s="50"/>
    </row>
    <row r="132">
      <c r="F132" s="50"/>
      <c r="H132" s="50"/>
    </row>
    <row r="133">
      <c r="F133" s="50"/>
      <c r="H133" s="50"/>
    </row>
    <row r="134">
      <c r="F134" s="50"/>
      <c r="H134" s="50"/>
    </row>
    <row r="135">
      <c r="F135" s="50"/>
      <c r="H135" s="50"/>
    </row>
    <row r="136">
      <c r="F136" s="50"/>
      <c r="H136" s="50"/>
    </row>
    <row r="137">
      <c r="F137" s="50"/>
      <c r="H137" s="50"/>
    </row>
    <row r="138">
      <c r="F138" s="50"/>
      <c r="H138" s="50"/>
    </row>
    <row r="139">
      <c r="F139" s="50"/>
      <c r="H139" s="50"/>
    </row>
    <row r="140">
      <c r="F140" s="50"/>
      <c r="H140" s="50"/>
    </row>
    <row r="141">
      <c r="F141" s="50"/>
      <c r="H141" s="50"/>
    </row>
    <row r="142">
      <c r="F142" s="50"/>
      <c r="H142" s="50"/>
    </row>
    <row r="143">
      <c r="F143" s="50"/>
      <c r="H143" s="50"/>
    </row>
    <row r="144">
      <c r="F144" s="50"/>
      <c r="H144" s="50"/>
    </row>
    <row r="145">
      <c r="F145" s="50"/>
      <c r="H145" s="50"/>
    </row>
    <row r="146">
      <c r="F146" s="50"/>
      <c r="H146" s="50"/>
    </row>
    <row r="147">
      <c r="F147" s="50"/>
      <c r="H147" s="50"/>
    </row>
    <row r="148">
      <c r="F148" s="50"/>
      <c r="H148" s="50"/>
    </row>
    <row r="149">
      <c r="F149" s="50"/>
      <c r="H149" s="50"/>
    </row>
    <row r="150">
      <c r="F150" s="50"/>
      <c r="H150" s="50"/>
    </row>
    <row r="151">
      <c r="F151" s="50"/>
      <c r="H151" s="50"/>
    </row>
    <row r="152">
      <c r="F152" s="50"/>
      <c r="H152" s="50"/>
    </row>
    <row r="153">
      <c r="F153" s="50"/>
      <c r="H153" s="50"/>
    </row>
    <row r="154">
      <c r="F154" s="50"/>
      <c r="H154" s="50"/>
    </row>
    <row r="155">
      <c r="F155" s="50"/>
      <c r="H155" s="50"/>
    </row>
    <row r="156">
      <c r="F156" s="50"/>
      <c r="H156" s="50"/>
    </row>
    <row r="157">
      <c r="F157" s="50"/>
      <c r="H157" s="50"/>
    </row>
    <row r="158">
      <c r="F158" s="50"/>
      <c r="H158" s="50"/>
    </row>
    <row r="159">
      <c r="F159" s="50"/>
      <c r="H159" s="50"/>
    </row>
    <row r="160">
      <c r="F160" s="50"/>
      <c r="H160" s="50"/>
    </row>
    <row r="161">
      <c r="F161" s="50"/>
      <c r="H161" s="50"/>
    </row>
    <row r="162">
      <c r="F162" s="50"/>
      <c r="H162" s="50"/>
    </row>
    <row r="163">
      <c r="F163" s="50"/>
      <c r="H163" s="50"/>
    </row>
    <row r="164">
      <c r="F164" s="50"/>
      <c r="H164" s="50"/>
    </row>
    <row r="165">
      <c r="F165" s="50"/>
      <c r="H165" s="50"/>
    </row>
    <row r="166">
      <c r="F166" s="50"/>
      <c r="H166" s="50"/>
    </row>
    <row r="167">
      <c r="F167" s="50"/>
      <c r="H167" s="50"/>
    </row>
    <row r="168">
      <c r="F168" s="50"/>
      <c r="H168" s="50"/>
    </row>
    <row r="169">
      <c r="F169" s="50"/>
      <c r="H169" s="50"/>
    </row>
    <row r="170">
      <c r="F170" s="50"/>
      <c r="H170" s="50"/>
    </row>
    <row r="171">
      <c r="F171" s="50"/>
      <c r="H171" s="50"/>
    </row>
    <row r="172">
      <c r="F172" s="50"/>
      <c r="H172" s="50"/>
    </row>
    <row r="173">
      <c r="F173" s="50"/>
      <c r="H173" s="50"/>
    </row>
    <row r="174">
      <c r="F174" s="50"/>
      <c r="H174" s="50"/>
    </row>
    <row r="175">
      <c r="F175" s="50"/>
      <c r="H175" s="50"/>
    </row>
    <row r="176">
      <c r="F176" s="50"/>
      <c r="H176" s="50"/>
    </row>
    <row r="177">
      <c r="F177" s="50"/>
      <c r="H177" s="50"/>
    </row>
    <row r="178">
      <c r="F178" s="50"/>
      <c r="H178" s="50"/>
    </row>
    <row r="179">
      <c r="F179" s="50"/>
      <c r="H179" s="50"/>
    </row>
    <row r="180">
      <c r="F180" s="50"/>
      <c r="H180" s="50"/>
    </row>
    <row r="181">
      <c r="F181" s="50"/>
      <c r="H181" s="50"/>
    </row>
    <row r="182">
      <c r="F182" s="50"/>
      <c r="H182" s="50"/>
    </row>
    <row r="183">
      <c r="F183" s="50"/>
      <c r="H183" s="50"/>
    </row>
    <row r="184">
      <c r="F184" s="50"/>
      <c r="H184" s="50"/>
    </row>
    <row r="185">
      <c r="F185" s="50"/>
      <c r="H185" s="50"/>
    </row>
    <row r="186">
      <c r="F186" s="50"/>
      <c r="H186" s="50"/>
    </row>
    <row r="187">
      <c r="F187" s="50"/>
      <c r="H187" s="50"/>
    </row>
    <row r="188">
      <c r="F188" s="50"/>
      <c r="H188" s="50"/>
    </row>
    <row r="189">
      <c r="F189" s="50"/>
      <c r="H189" s="50"/>
    </row>
    <row r="190">
      <c r="F190" s="50"/>
      <c r="H190" s="50"/>
    </row>
    <row r="191">
      <c r="F191" s="50"/>
      <c r="H191" s="50"/>
    </row>
    <row r="192">
      <c r="F192" s="50"/>
      <c r="H192" s="50"/>
    </row>
    <row r="193">
      <c r="F193" s="50"/>
      <c r="H193" s="50"/>
    </row>
    <row r="194">
      <c r="F194" s="50"/>
      <c r="H194" s="50"/>
    </row>
    <row r="195">
      <c r="F195" s="50"/>
      <c r="H195" s="50"/>
    </row>
    <row r="196">
      <c r="F196" s="50"/>
      <c r="H196" s="50"/>
    </row>
    <row r="197">
      <c r="F197" s="50"/>
      <c r="H197" s="50"/>
    </row>
    <row r="198">
      <c r="F198" s="50"/>
      <c r="H198" s="50"/>
    </row>
    <row r="199">
      <c r="F199" s="50"/>
      <c r="H199" s="50"/>
    </row>
    <row r="200">
      <c r="F200" s="50"/>
      <c r="H200" s="50"/>
    </row>
    <row r="201">
      <c r="F201" s="50"/>
      <c r="H201" s="50"/>
    </row>
    <row r="202">
      <c r="F202" s="50"/>
      <c r="H202" s="50"/>
    </row>
    <row r="203">
      <c r="F203" s="50"/>
      <c r="H203" s="50"/>
    </row>
    <row r="204">
      <c r="F204" s="50"/>
      <c r="H204" s="50"/>
    </row>
    <row r="205">
      <c r="F205" s="50"/>
      <c r="H205" s="50"/>
    </row>
    <row r="206">
      <c r="F206" s="50"/>
      <c r="H206" s="50"/>
    </row>
    <row r="207">
      <c r="F207" s="50"/>
      <c r="H207" s="50"/>
    </row>
    <row r="208">
      <c r="F208" s="50"/>
      <c r="H208" s="50"/>
    </row>
    <row r="209">
      <c r="F209" s="50"/>
      <c r="H209" s="50"/>
    </row>
    <row r="210">
      <c r="F210" s="50"/>
      <c r="H210" s="50"/>
    </row>
    <row r="211">
      <c r="F211" s="50"/>
      <c r="H211" s="50"/>
    </row>
    <row r="212">
      <c r="F212" s="50"/>
      <c r="H212" s="50"/>
    </row>
    <row r="213">
      <c r="F213" s="50"/>
      <c r="H213" s="50"/>
    </row>
    <row r="214">
      <c r="F214" s="50"/>
      <c r="H214" s="50"/>
    </row>
    <row r="215">
      <c r="F215" s="50"/>
      <c r="H215" s="50"/>
    </row>
    <row r="216">
      <c r="F216" s="50"/>
      <c r="H216" s="50"/>
    </row>
    <row r="217">
      <c r="F217" s="50"/>
      <c r="H217" s="50"/>
    </row>
    <row r="218">
      <c r="F218" s="50"/>
      <c r="H218" s="50"/>
    </row>
    <row r="219">
      <c r="F219" s="50"/>
      <c r="H219" s="50"/>
    </row>
    <row r="220">
      <c r="F220" s="50"/>
      <c r="H220" s="50"/>
    </row>
    <row r="221">
      <c r="F221" s="50"/>
      <c r="H221" s="50"/>
    </row>
    <row r="222">
      <c r="F222" s="50"/>
      <c r="H222" s="50"/>
    </row>
    <row r="223">
      <c r="F223" s="50"/>
      <c r="H223" s="50"/>
    </row>
    <row r="224">
      <c r="F224" s="50"/>
      <c r="H224" s="50"/>
    </row>
    <row r="225">
      <c r="F225" s="50"/>
      <c r="H225" s="50"/>
    </row>
    <row r="226">
      <c r="F226" s="50"/>
      <c r="H226" s="50"/>
    </row>
    <row r="227">
      <c r="F227" s="50"/>
      <c r="H227" s="50"/>
    </row>
    <row r="228">
      <c r="F228" s="50"/>
      <c r="H228" s="50"/>
    </row>
    <row r="229">
      <c r="F229" s="50"/>
      <c r="H229" s="50"/>
    </row>
    <row r="230">
      <c r="F230" s="50"/>
      <c r="H230" s="50"/>
    </row>
    <row r="231">
      <c r="F231" s="50"/>
      <c r="H231" s="50"/>
    </row>
    <row r="232">
      <c r="F232" s="50"/>
      <c r="H232" s="50"/>
    </row>
    <row r="233">
      <c r="F233" s="50"/>
      <c r="H233" s="50"/>
    </row>
    <row r="234">
      <c r="F234" s="50"/>
      <c r="H234" s="50"/>
    </row>
    <row r="235">
      <c r="F235" s="50"/>
      <c r="H235" s="50"/>
    </row>
    <row r="236">
      <c r="F236" s="50"/>
      <c r="H236" s="50"/>
    </row>
    <row r="237">
      <c r="F237" s="50"/>
      <c r="H237" s="50"/>
    </row>
    <row r="238">
      <c r="F238" s="50"/>
      <c r="H238" s="50"/>
    </row>
    <row r="239">
      <c r="F239" s="50"/>
      <c r="H239" s="50"/>
    </row>
    <row r="240">
      <c r="F240" s="50"/>
      <c r="H240" s="50"/>
    </row>
    <row r="241">
      <c r="F241" s="50"/>
      <c r="H241" s="50"/>
    </row>
    <row r="242">
      <c r="F242" s="50"/>
      <c r="H242" s="50"/>
    </row>
    <row r="243">
      <c r="F243" s="50"/>
      <c r="H243" s="50"/>
    </row>
    <row r="244">
      <c r="F244" s="50"/>
      <c r="H244" s="50"/>
    </row>
    <row r="245">
      <c r="F245" s="50"/>
      <c r="H245" s="50"/>
    </row>
    <row r="246">
      <c r="F246" s="50"/>
      <c r="H246" s="50"/>
    </row>
    <row r="247">
      <c r="F247" s="50"/>
      <c r="H247" s="50"/>
    </row>
    <row r="248">
      <c r="F248" s="50"/>
      <c r="H248" s="50"/>
    </row>
    <row r="249">
      <c r="F249" s="50"/>
      <c r="H249" s="50"/>
    </row>
    <row r="250">
      <c r="F250" s="50"/>
      <c r="H250" s="50"/>
    </row>
    <row r="251">
      <c r="F251" s="50"/>
      <c r="H251" s="50"/>
    </row>
    <row r="252">
      <c r="F252" s="50"/>
      <c r="H252" s="50"/>
    </row>
    <row r="253">
      <c r="F253" s="50"/>
      <c r="H253" s="50"/>
    </row>
    <row r="254">
      <c r="F254" s="50"/>
      <c r="H254" s="50"/>
    </row>
    <row r="255">
      <c r="F255" s="50"/>
      <c r="H255" s="50"/>
    </row>
    <row r="256">
      <c r="F256" s="50"/>
      <c r="H256" s="50"/>
    </row>
    <row r="257">
      <c r="F257" s="50"/>
      <c r="H257" s="50"/>
    </row>
    <row r="258">
      <c r="F258" s="50"/>
      <c r="H258" s="50"/>
    </row>
    <row r="259">
      <c r="F259" s="50"/>
      <c r="H259" s="50"/>
    </row>
    <row r="260">
      <c r="F260" s="50"/>
      <c r="H260" s="50"/>
    </row>
    <row r="261">
      <c r="F261" s="50"/>
      <c r="H261" s="50"/>
    </row>
    <row r="262">
      <c r="F262" s="50"/>
      <c r="H262" s="50"/>
    </row>
    <row r="263">
      <c r="F263" s="50"/>
      <c r="H263" s="50"/>
    </row>
    <row r="264">
      <c r="F264" s="50"/>
      <c r="H264" s="50"/>
    </row>
    <row r="265">
      <c r="F265" s="50"/>
      <c r="H265" s="50"/>
    </row>
    <row r="266">
      <c r="F266" s="50"/>
      <c r="H266" s="50"/>
    </row>
    <row r="267">
      <c r="F267" s="50"/>
      <c r="H267" s="50"/>
    </row>
    <row r="268">
      <c r="F268" s="50"/>
      <c r="H268" s="50"/>
    </row>
    <row r="269">
      <c r="F269" s="50"/>
      <c r="H269" s="50"/>
    </row>
    <row r="270">
      <c r="F270" s="50"/>
      <c r="H270" s="50"/>
    </row>
    <row r="271">
      <c r="F271" s="50"/>
      <c r="H271" s="50"/>
    </row>
    <row r="272">
      <c r="F272" s="50"/>
      <c r="H272" s="50"/>
    </row>
    <row r="273">
      <c r="F273" s="50"/>
      <c r="H273" s="50"/>
    </row>
    <row r="274">
      <c r="F274" s="50"/>
      <c r="H274" s="50"/>
    </row>
    <row r="275">
      <c r="F275" s="50"/>
      <c r="H275" s="50"/>
    </row>
    <row r="276">
      <c r="F276" s="50"/>
      <c r="H276" s="50"/>
    </row>
    <row r="277">
      <c r="F277" s="50"/>
      <c r="H277" s="50"/>
    </row>
    <row r="278">
      <c r="F278" s="50"/>
      <c r="H278" s="50"/>
    </row>
    <row r="279">
      <c r="F279" s="50"/>
      <c r="H279" s="50"/>
    </row>
    <row r="280">
      <c r="F280" s="50"/>
      <c r="H280" s="50"/>
    </row>
    <row r="281">
      <c r="F281" s="50"/>
      <c r="H281" s="50"/>
    </row>
    <row r="282">
      <c r="F282" s="50"/>
      <c r="H282" s="50"/>
    </row>
    <row r="283">
      <c r="F283" s="50"/>
      <c r="H283" s="50"/>
    </row>
    <row r="284">
      <c r="F284" s="50"/>
      <c r="H284" s="50"/>
    </row>
    <row r="285">
      <c r="F285" s="50"/>
      <c r="H285" s="50"/>
    </row>
    <row r="286">
      <c r="F286" s="50"/>
      <c r="H286" s="50"/>
    </row>
    <row r="287">
      <c r="F287" s="50"/>
      <c r="H287" s="50"/>
    </row>
    <row r="288">
      <c r="F288" s="50"/>
      <c r="H288" s="50"/>
    </row>
    <row r="289">
      <c r="F289" s="50"/>
      <c r="H289" s="50"/>
    </row>
    <row r="290">
      <c r="F290" s="50"/>
      <c r="H290" s="50"/>
    </row>
    <row r="291">
      <c r="F291" s="50"/>
      <c r="H291" s="50"/>
    </row>
    <row r="292">
      <c r="F292" s="50"/>
      <c r="H292" s="50"/>
    </row>
    <row r="293">
      <c r="F293" s="50"/>
      <c r="H293" s="50"/>
    </row>
    <row r="294">
      <c r="F294" s="50"/>
      <c r="H294" s="50"/>
    </row>
    <row r="295">
      <c r="F295" s="50"/>
      <c r="H295" s="50"/>
    </row>
    <row r="296">
      <c r="F296" s="50"/>
      <c r="H296" s="50"/>
    </row>
    <row r="297">
      <c r="F297" s="50"/>
      <c r="H297" s="50"/>
    </row>
    <row r="298">
      <c r="F298" s="50"/>
      <c r="H298" s="50"/>
    </row>
    <row r="299">
      <c r="F299" s="50"/>
      <c r="H299" s="50"/>
    </row>
    <row r="300">
      <c r="F300" s="50"/>
      <c r="H300" s="50"/>
    </row>
    <row r="301">
      <c r="F301" s="50"/>
      <c r="H301" s="50"/>
    </row>
    <row r="302">
      <c r="F302" s="50"/>
      <c r="H302" s="50"/>
    </row>
    <row r="303">
      <c r="F303" s="50"/>
      <c r="H303" s="50"/>
    </row>
    <row r="304">
      <c r="F304" s="50"/>
      <c r="H304" s="50"/>
    </row>
    <row r="305">
      <c r="F305" s="50"/>
      <c r="H305" s="50"/>
    </row>
    <row r="306">
      <c r="F306" s="50"/>
      <c r="H306" s="50"/>
    </row>
    <row r="307">
      <c r="F307" s="50"/>
      <c r="H307" s="50"/>
    </row>
    <row r="308">
      <c r="F308" s="50"/>
      <c r="H308" s="50"/>
    </row>
    <row r="309">
      <c r="F309" s="50"/>
      <c r="H309" s="50"/>
    </row>
    <row r="310">
      <c r="F310" s="50"/>
      <c r="H310" s="50"/>
    </row>
    <row r="311">
      <c r="F311" s="50"/>
      <c r="H311" s="50"/>
    </row>
    <row r="312">
      <c r="F312" s="50"/>
      <c r="H312" s="50"/>
    </row>
    <row r="313">
      <c r="F313" s="50"/>
      <c r="H313" s="50"/>
    </row>
    <row r="314">
      <c r="F314" s="50"/>
      <c r="H314" s="50"/>
    </row>
    <row r="315">
      <c r="F315" s="50"/>
      <c r="H315" s="50"/>
    </row>
    <row r="316">
      <c r="F316" s="50"/>
      <c r="H316" s="50"/>
    </row>
    <row r="317">
      <c r="F317" s="50"/>
      <c r="H317" s="50"/>
    </row>
    <row r="318">
      <c r="F318" s="50"/>
      <c r="H318" s="50"/>
    </row>
    <row r="319">
      <c r="F319" s="50"/>
      <c r="H319" s="50"/>
    </row>
    <row r="320">
      <c r="F320" s="50"/>
      <c r="H320" s="50"/>
    </row>
    <row r="321">
      <c r="F321" s="50"/>
      <c r="H321" s="50"/>
    </row>
    <row r="322">
      <c r="F322" s="50"/>
      <c r="H322" s="50"/>
    </row>
    <row r="323">
      <c r="F323" s="50"/>
      <c r="H323" s="50"/>
    </row>
    <row r="324">
      <c r="F324" s="50"/>
      <c r="H324" s="50"/>
    </row>
    <row r="325">
      <c r="F325" s="50"/>
      <c r="H325" s="50"/>
    </row>
    <row r="326">
      <c r="F326" s="50"/>
      <c r="H326" s="50"/>
    </row>
    <row r="327">
      <c r="F327" s="50"/>
      <c r="H327" s="50"/>
    </row>
    <row r="328">
      <c r="F328" s="50"/>
      <c r="H328" s="50"/>
    </row>
    <row r="329">
      <c r="F329" s="50"/>
      <c r="H329" s="50"/>
    </row>
    <row r="330">
      <c r="F330" s="50"/>
      <c r="H330" s="50"/>
    </row>
    <row r="331">
      <c r="F331" s="50"/>
      <c r="H331" s="50"/>
    </row>
    <row r="332">
      <c r="F332" s="50"/>
      <c r="H332" s="50"/>
    </row>
    <row r="333">
      <c r="F333" s="50"/>
      <c r="H333" s="50"/>
    </row>
    <row r="334">
      <c r="F334" s="50"/>
      <c r="H334" s="50"/>
    </row>
    <row r="335">
      <c r="F335" s="50"/>
      <c r="H335" s="50"/>
    </row>
    <row r="336">
      <c r="F336" s="50"/>
      <c r="H336" s="50"/>
    </row>
    <row r="337">
      <c r="F337" s="50"/>
      <c r="H337" s="50"/>
    </row>
    <row r="338">
      <c r="F338" s="50"/>
      <c r="H338" s="50"/>
    </row>
    <row r="339">
      <c r="F339" s="50"/>
      <c r="H339" s="50"/>
    </row>
    <row r="340">
      <c r="F340" s="50"/>
      <c r="H340" s="50"/>
    </row>
    <row r="341">
      <c r="F341" s="50"/>
      <c r="H341" s="50"/>
    </row>
    <row r="342">
      <c r="F342" s="50"/>
      <c r="H342" s="50"/>
    </row>
    <row r="343">
      <c r="F343" s="50"/>
      <c r="H343" s="50"/>
    </row>
    <row r="344">
      <c r="F344" s="50"/>
      <c r="H344" s="50"/>
    </row>
    <row r="345">
      <c r="F345" s="50"/>
      <c r="H345" s="50"/>
    </row>
    <row r="346">
      <c r="F346" s="50"/>
      <c r="H346" s="50"/>
    </row>
    <row r="347">
      <c r="F347" s="50"/>
      <c r="H347" s="50"/>
    </row>
    <row r="348">
      <c r="F348" s="50"/>
      <c r="H348" s="50"/>
    </row>
    <row r="349">
      <c r="F349" s="50"/>
      <c r="H349" s="50"/>
    </row>
    <row r="350">
      <c r="F350" s="50"/>
      <c r="H350" s="50"/>
    </row>
    <row r="351">
      <c r="F351" s="50"/>
      <c r="H351" s="50"/>
    </row>
    <row r="352">
      <c r="F352" s="50"/>
      <c r="H352" s="50"/>
    </row>
    <row r="353">
      <c r="F353" s="50"/>
      <c r="H353" s="50"/>
    </row>
    <row r="354">
      <c r="F354" s="50"/>
      <c r="H354" s="50"/>
    </row>
    <row r="355">
      <c r="F355" s="50"/>
      <c r="H355" s="50"/>
    </row>
    <row r="356">
      <c r="F356" s="50"/>
      <c r="H356" s="50"/>
    </row>
    <row r="357">
      <c r="F357" s="50"/>
      <c r="H357" s="50"/>
    </row>
    <row r="358">
      <c r="F358" s="50"/>
      <c r="H358" s="50"/>
    </row>
    <row r="359">
      <c r="F359" s="50"/>
      <c r="H359" s="50"/>
    </row>
    <row r="360">
      <c r="F360" s="50"/>
      <c r="H360" s="50"/>
    </row>
    <row r="361">
      <c r="F361" s="50"/>
      <c r="H361" s="50"/>
    </row>
    <row r="362">
      <c r="F362" s="50"/>
      <c r="H362" s="50"/>
    </row>
    <row r="363">
      <c r="F363" s="50"/>
      <c r="H363" s="50"/>
    </row>
    <row r="364">
      <c r="F364" s="50"/>
      <c r="H364" s="50"/>
    </row>
    <row r="365">
      <c r="F365" s="50"/>
      <c r="H365" s="50"/>
    </row>
    <row r="366">
      <c r="F366" s="50"/>
      <c r="H366" s="50"/>
    </row>
    <row r="367">
      <c r="F367" s="50"/>
      <c r="H367" s="50"/>
    </row>
    <row r="368">
      <c r="F368" s="50"/>
      <c r="H368" s="50"/>
    </row>
    <row r="369">
      <c r="F369" s="50"/>
      <c r="H369" s="50"/>
    </row>
    <row r="370">
      <c r="F370" s="50"/>
      <c r="H370" s="50"/>
    </row>
    <row r="371">
      <c r="F371" s="50"/>
      <c r="H371" s="50"/>
    </row>
    <row r="372">
      <c r="F372" s="50"/>
      <c r="H372" s="50"/>
    </row>
    <row r="373">
      <c r="F373" s="50"/>
      <c r="H373" s="50"/>
    </row>
    <row r="374">
      <c r="F374" s="50"/>
      <c r="H374" s="50"/>
    </row>
    <row r="375">
      <c r="F375" s="50"/>
      <c r="H375" s="50"/>
    </row>
    <row r="376">
      <c r="F376" s="50"/>
      <c r="H376" s="50"/>
    </row>
    <row r="377">
      <c r="F377" s="50"/>
      <c r="H377" s="50"/>
    </row>
    <row r="378">
      <c r="F378" s="50"/>
      <c r="H378" s="50"/>
    </row>
    <row r="379">
      <c r="F379" s="50"/>
      <c r="H379" s="50"/>
    </row>
    <row r="380">
      <c r="F380" s="50"/>
      <c r="H380" s="50"/>
    </row>
    <row r="381">
      <c r="F381" s="50"/>
      <c r="H381" s="50"/>
    </row>
    <row r="382">
      <c r="F382" s="50"/>
      <c r="H382" s="50"/>
    </row>
    <row r="383">
      <c r="F383" s="50"/>
      <c r="H383" s="50"/>
    </row>
    <row r="384">
      <c r="F384" s="50"/>
      <c r="H384" s="50"/>
    </row>
    <row r="385">
      <c r="F385" s="50"/>
      <c r="H385" s="50"/>
    </row>
    <row r="386">
      <c r="F386" s="50"/>
      <c r="H386" s="50"/>
    </row>
    <row r="387">
      <c r="F387" s="50"/>
      <c r="H387" s="50"/>
    </row>
    <row r="388">
      <c r="F388" s="50"/>
      <c r="H388" s="50"/>
    </row>
    <row r="389">
      <c r="F389" s="50"/>
      <c r="H389" s="50"/>
    </row>
    <row r="390">
      <c r="F390" s="50"/>
      <c r="H390" s="50"/>
    </row>
    <row r="391">
      <c r="F391" s="50"/>
      <c r="H391" s="50"/>
    </row>
    <row r="392">
      <c r="F392" s="50"/>
      <c r="H392" s="50"/>
    </row>
    <row r="393">
      <c r="F393" s="50"/>
      <c r="H393" s="50"/>
    </row>
    <row r="394">
      <c r="F394" s="50"/>
      <c r="H394" s="50"/>
    </row>
    <row r="395">
      <c r="F395" s="50"/>
      <c r="H395" s="50"/>
    </row>
    <row r="396">
      <c r="F396" s="50"/>
      <c r="H396" s="50"/>
    </row>
    <row r="397">
      <c r="F397" s="50"/>
      <c r="H397" s="50"/>
    </row>
    <row r="398">
      <c r="F398" s="50"/>
      <c r="H398" s="50"/>
    </row>
    <row r="399">
      <c r="F399" s="50"/>
      <c r="H399" s="50"/>
    </row>
    <row r="400">
      <c r="F400" s="50"/>
      <c r="H400" s="50"/>
    </row>
    <row r="401">
      <c r="F401" s="50"/>
      <c r="H401" s="50"/>
    </row>
    <row r="402">
      <c r="F402" s="50"/>
      <c r="H402" s="50"/>
    </row>
    <row r="403">
      <c r="F403" s="50"/>
      <c r="H403" s="50"/>
    </row>
    <row r="404">
      <c r="F404" s="50"/>
      <c r="H404" s="50"/>
    </row>
    <row r="405">
      <c r="F405" s="50"/>
      <c r="H405" s="50"/>
    </row>
    <row r="406">
      <c r="F406" s="50"/>
      <c r="H406" s="50"/>
    </row>
    <row r="407">
      <c r="F407" s="50"/>
      <c r="H407" s="50"/>
    </row>
    <row r="408">
      <c r="F408" s="50"/>
      <c r="H408" s="50"/>
    </row>
    <row r="409">
      <c r="F409" s="50"/>
      <c r="H409" s="50"/>
    </row>
    <row r="410">
      <c r="F410" s="50"/>
      <c r="H410" s="50"/>
    </row>
    <row r="411">
      <c r="F411" s="50"/>
      <c r="H411" s="50"/>
    </row>
    <row r="412">
      <c r="F412" s="50"/>
      <c r="H412" s="50"/>
    </row>
    <row r="413">
      <c r="F413" s="50"/>
      <c r="H413" s="50"/>
    </row>
    <row r="414">
      <c r="F414" s="50"/>
      <c r="H414" s="50"/>
    </row>
    <row r="415">
      <c r="F415" s="50"/>
      <c r="H415" s="50"/>
    </row>
    <row r="416">
      <c r="F416" s="50"/>
      <c r="H416" s="50"/>
    </row>
    <row r="417">
      <c r="F417" s="50"/>
      <c r="H417" s="50"/>
    </row>
    <row r="418">
      <c r="F418" s="50"/>
      <c r="H418" s="50"/>
    </row>
    <row r="419">
      <c r="F419" s="50"/>
      <c r="H419" s="50"/>
    </row>
    <row r="420">
      <c r="F420" s="50"/>
      <c r="H420" s="50"/>
    </row>
    <row r="421">
      <c r="F421" s="50"/>
      <c r="H421" s="50"/>
    </row>
    <row r="422">
      <c r="F422" s="50"/>
      <c r="H422" s="50"/>
    </row>
    <row r="423">
      <c r="F423" s="50"/>
      <c r="H423" s="50"/>
    </row>
    <row r="424">
      <c r="F424" s="50"/>
      <c r="H424" s="50"/>
    </row>
    <row r="425">
      <c r="F425" s="50"/>
      <c r="H425" s="50"/>
    </row>
    <row r="426">
      <c r="F426" s="50"/>
      <c r="H426" s="50"/>
    </row>
    <row r="427">
      <c r="F427" s="50"/>
      <c r="H427" s="50"/>
    </row>
    <row r="428">
      <c r="F428" s="50"/>
      <c r="H428" s="50"/>
    </row>
    <row r="429">
      <c r="F429" s="50"/>
      <c r="H429" s="50"/>
    </row>
    <row r="430">
      <c r="F430" s="50"/>
      <c r="H430" s="50"/>
    </row>
    <row r="431">
      <c r="F431" s="50"/>
      <c r="H431" s="50"/>
    </row>
    <row r="432">
      <c r="F432" s="50"/>
      <c r="H432" s="50"/>
    </row>
    <row r="433">
      <c r="F433" s="50"/>
      <c r="H433" s="50"/>
    </row>
    <row r="434">
      <c r="F434" s="50"/>
      <c r="H434" s="50"/>
    </row>
    <row r="435">
      <c r="F435" s="50"/>
      <c r="H435" s="50"/>
    </row>
    <row r="436">
      <c r="F436" s="50"/>
      <c r="H436" s="50"/>
    </row>
    <row r="437">
      <c r="F437" s="50"/>
      <c r="H437" s="50"/>
    </row>
    <row r="438">
      <c r="F438" s="50"/>
      <c r="H438" s="50"/>
    </row>
    <row r="439">
      <c r="F439" s="50"/>
      <c r="H439" s="50"/>
    </row>
    <row r="440">
      <c r="F440" s="50"/>
      <c r="H440" s="50"/>
    </row>
    <row r="441">
      <c r="F441" s="50"/>
      <c r="H441" s="50"/>
    </row>
    <row r="442">
      <c r="F442" s="50"/>
      <c r="H442" s="50"/>
    </row>
    <row r="443">
      <c r="F443" s="50"/>
      <c r="H443" s="50"/>
    </row>
    <row r="444">
      <c r="F444" s="50"/>
      <c r="H444" s="50"/>
    </row>
    <row r="445">
      <c r="F445" s="50"/>
      <c r="H445" s="50"/>
    </row>
    <row r="446">
      <c r="F446" s="50"/>
      <c r="H446" s="50"/>
    </row>
    <row r="447">
      <c r="F447" s="50"/>
      <c r="H447" s="50"/>
    </row>
    <row r="448">
      <c r="F448" s="50"/>
      <c r="H448" s="50"/>
    </row>
    <row r="449">
      <c r="F449" s="50"/>
      <c r="H449" s="50"/>
    </row>
    <row r="450">
      <c r="F450" s="50"/>
      <c r="H450" s="50"/>
    </row>
    <row r="451">
      <c r="F451" s="50"/>
      <c r="H451" s="50"/>
    </row>
    <row r="452">
      <c r="F452" s="50"/>
      <c r="H452" s="50"/>
    </row>
    <row r="453">
      <c r="F453" s="50"/>
      <c r="H453" s="50"/>
    </row>
    <row r="454">
      <c r="F454" s="50"/>
      <c r="H454" s="50"/>
    </row>
    <row r="455">
      <c r="F455" s="50"/>
      <c r="H455" s="50"/>
    </row>
    <row r="456">
      <c r="F456" s="50"/>
      <c r="H456" s="50"/>
    </row>
    <row r="457">
      <c r="F457" s="50"/>
      <c r="H457" s="50"/>
    </row>
    <row r="458">
      <c r="F458" s="50"/>
      <c r="H458" s="50"/>
    </row>
    <row r="459">
      <c r="F459" s="50"/>
      <c r="H459" s="50"/>
    </row>
    <row r="460">
      <c r="F460" s="50"/>
      <c r="H460" s="50"/>
    </row>
    <row r="461">
      <c r="F461" s="50"/>
      <c r="H461" s="50"/>
    </row>
    <row r="462">
      <c r="F462" s="50"/>
      <c r="H462" s="50"/>
    </row>
    <row r="463">
      <c r="F463" s="50"/>
      <c r="H463" s="50"/>
    </row>
    <row r="464">
      <c r="F464" s="50"/>
      <c r="H464" s="50"/>
    </row>
    <row r="465">
      <c r="F465" s="50"/>
      <c r="H465" s="50"/>
    </row>
    <row r="466">
      <c r="F466" s="50"/>
      <c r="H466" s="50"/>
    </row>
    <row r="467">
      <c r="F467" s="50"/>
      <c r="H467" s="50"/>
    </row>
    <row r="468">
      <c r="F468" s="50"/>
      <c r="H468" s="50"/>
    </row>
    <row r="469">
      <c r="F469" s="50"/>
      <c r="H469" s="50"/>
    </row>
    <row r="470">
      <c r="F470" s="50"/>
      <c r="H470" s="50"/>
    </row>
    <row r="471">
      <c r="F471" s="50"/>
      <c r="H471" s="50"/>
    </row>
    <row r="472">
      <c r="F472" s="50"/>
      <c r="H472" s="50"/>
    </row>
    <row r="473">
      <c r="F473" s="50"/>
      <c r="H473" s="50"/>
    </row>
    <row r="474">
      <c r="F474" s="50"/>
      <c r="H474" s="50"/>
    </row>
    <row r="475">
      <c r="F475" s="50"/>
      <c r="H475" s="50"/>
    </row>
    <row r="476">
      <c r="F476" s="50"/>
      <c r="H476" s="50"/>
    </row>
    <row r="477">
      <c r="F477" s="50"/>
      <c r="H477" s="50"/>
    </row>
    <row r="478">
      <c r="F478" s="50"/>
      <c r="H478" s="50"/>
    </row>
    <row r="479">
      <c r="F479" s="50"/>
      <c r="H479" s="50"/>
    </row>
    <row r="480">
      <c r="F480" s="50"/>
      <c r="H480" s="50"/>
    </row>
    <row r="481">
      <c r="F481" s="50"/>
      <c r="H481" s="50"/>
    </row>
    <row r="482">
      <c r="F482" s="50"/>
      <c r="H482" s="50"/>
    </row>
    <row r="483">
      <c r="F483" s="50"/>
      <c r="H483" s="50"/>
    </row>
    <row r="484">
      <c r="F484" s="50"/>
      <c r="H484" s="50"/>
    </row>
    <row r="485">
      <c r="F485" s="50"/>
      <c r="H485" s="50"/>
    </row>
    <row r="486">
      <c r="F486" s="50"/>
      <c r="H486" s="50"/>
    </row>
    <row r="487">
      <c r="F487" s="50"/>
      <c r="H487" s="50"/>
    </row>
    <row r="488">
      <c r="F488" s="50"/>
      <c r="H488" s="50"/>
    </row>
    <row r="489">
      <c r="F489" s="50"/>
      <c r="H489" s="50"/>
    </row>
    <row r="490">
      <c r="F490" s="50"/>
      <c r="H490" s="50"/>
    </row>
    <row r="491">
      <c r="F491" s="50"/>
      <c r="H491" s="50"/>
    </row>
    <row r="492">
      <c r="F492" s="50"/>
      <c r="H492" s="50"/>
    </row>
    <row r="493">
      <c r="F493" s="50"/>
      <c r="H493" s="50"/>
    </row>
    <row r="494">
      <c r="F494" s="50"/>
      <c r="H494" s="50"/>
    </row>
    <row r="495">
      <c r="F495" s="50"/>
      <c r="H495" s="50"/>
    </row>
    <row r="496">
      <c r="F496" s="50"/>
      <c r="H496" s="50"/>
    </row>
    <row r="497">
      <c r="F497" s="50"/>
      <c r="H497" s="50"/>
    </row>
    <row r="498">
      <c r="F498" s="50"/>
      <c r="H498" s="50"/>
    </row>
    <row r="499">
      <c r="F499" s="50"/>
      <c r="H499" s="50"/>
    </row>
    <row r="500">
      <c r="F500" s="50"/>
      <c r="H500" s="50"/>
    </row>
    <row r="501">
      <c r="F501" s="50"/>
      <c r="H501" s="50"/>
    </row>
    <row r="502">
      <c r="F502" s="50"/>
      <c r="H502" s="50"/>
    </row>
    <row r="503">
      <c r="F503" s="50"/>
      <c r="H503" s="50"/>
    </row>
    <row r="504">
      <c r="F504" s="50"/>
      <c r="H504" s="50"/>
    </row>
    <row r="505">
      <c r="F505" s="50"/>
      <c r="H505" s="50"/>
    </row>
    <row r="506">
      <c r="F506" s="50"/>
      <c r="H506" s="50"/>
    </row>
    <row r="507">
      <c r="F507" s="50"/>
      <c r="H507" s="50"/>
    </row>
    <row r="508">
      <c r="F508" s="50"/>
      <c r="H508" s="50"/>
    </row>
    <row r="509">
      <c r="F509" s="50"/>
      <c r="H509" s="50"/>
    </row>
    <row r="510">
      <c r="F510" s="50"/>
      <c r="H510" s="50"/>
    </row>
    <row r="511">
      <c r="F511" s="50"/>
      <c r="H511" s="50"/>
    </row>
    <row r="512">
      <c r="F512" s="50"/>
      <c r="H512" s="50"/>
    </row>
    <row r="513">
      <c r="F513" s="50"/>
      <c r="H513" s="50"/>
    </row>
    <row r="514">
      <c r="F514" s="50"/>
      <c r="H514" s="50"/>
    </row>
    <row r="515">
      <c r="F515" s="50"/>
      <c r="H515" s="50"/>
    </row>
    <row r="516">
      <c r="F516" s="50"/>
      <c r="H516" s="50"/>
    </row>
    <row r="517">
      <c r="F517" s="50"/>
      <c r="H517" s="50"/>
    </row>
    <row r="518">
      <c r="F518" s="50"/>
      <c r="H518" s="50"/>
    </row>
    <row r="519">
      <c r="F519" s="50"/>
      <c r="H519" s="50"/>
    </row>
    <row r="520">
      <c r="F520" s="50"/>
      <c r="H520" s="50"/>
    </row>
    <row r="521">
      <c r="F521" s="50"/>
      <c r="H521" s="50"/>
    </row>
    <row r="522">
      <c r="F522" s="50"/>
      <c r="H522" s="50"/>
    </row>
    <row r="523">
      <c r="F523" s="50"/>
      <c r="H523" s="50"/>
    </row>
    <row r="524">
      <c r="F524" s="50"/>
      <c r="H524" s="50"/>
    </row>
    <row r="525">
      <c r="F525" s="50"/>
      <c r="H525" s="50"/>
    </row>
    <row r="526">
      <c r="F526" s="50"/>
      <c r="H526" s="50"/>
    </row>
    <row r="527">
      <c r="F527" s="50"/>
      <c r="H527" s="50"/>
    </row>
    <row r="528">
      <c r="F528" s="50"/>
      <c r="H528" s="50"/>
    </row>
    <row r="529">
      <c r="F529" s="50"/>
      <c r="H529" s="50"/>
    </row>
    <row r="530">
      <c r="F530" s="50"/>
      <c r="H530" s="50"/>
    </row>
    <row r="531">
      <c r="F531" s="50"/>
      <c r="H531" s="50"/>
    </row>
    <row r="532">
      <c r="F532" s="50"/>
      <c r="H532" s="50"/>
    </row>
    <row r="533">
      <c r="F533" s="50"/>
      <c r="H533" s="50"/>
    </row>
    <row r="534">
      <c r="F534" s="50"/>
      <c r="H534" s="50"/>
    </row>
    <row r="535">
      <c r="F535" s="50"/>
      <c r="H535" s="50"/>
    </row>
    <row r="536">
      <c r="F536" s="50"/>
      <c r="H536" s="50"/>
    </row>
    <row r="537">
      <c r="F537" s="50"/>
      <c r="H537" s="50"/>
    </row>
    <row r="538">
      <c r="F538" s="50"/>
      <c r="H538" s="50"/>
    </row>
    <row r="539">
      <c r="F539" s="50"/>
      <c r="H539" s="50"/>
    </row>
    <row r="540">
      <c r="F540" s="50"/>
      <c r="H540" s="50"/>
    </row>
    <row r="541">
      <c r="F541" s="50"/>
      <c r="H541" s="50"/>
    </row>
    <row r="542">
      <c r="F542" s="50"/>
      <c r="H542" s="50"/>
    </row>
    <row r="543">
      <c r="F543" s="50"/>
      <c r="H543" s="50"/>
    </row>
    <row r="544">
      <c r="F544" s="50"/>
      <c r="H544" s="50"/>
    </row>
    <row r="545">
      <c r="F545" s="50"/>
      <c r="H545" s="50"/>
    </row>
    <row r="546">
      <c r="F546" s="50"/>
      <c r="H546" s="50"/>
    </row>
    <row r="547">
      <c r="F547" s="50"/>
      <c r="H547" s="50"/>
    </row>
    <row r="548">
      <c r="F548" s="50"/>
      <c r="H548" s="50"/>
    </row>
    <row r="549">
      <c r="F549" s="50"/>
      <c r="H549" s="50"/>
    </row>
    <row r="550">
      <c r="F550" s="50"/>
      <c r="H550" s="50"/>
    </row>
    <row r="551">
      <c r="F551" s="50"/>
      <c r="H551" s="50"/>
    </row>
    <row r="552">
      <c r="F552" s="50"/>
      <c r="H552" s="50"/>
    </row>
    <row r="553">
      <c r="F553" s="50"/>
      <c r="H553" s="50"/>
    </row>
    <row r="554">
      <c r="F554" s="50"/>
      <c r="H554" s="50"/>
    </row>
    <row r="555">
      <c r="F555" s="50"/>
      <c r="H555" s="50"/>
    </row>
    <row r="556">
      <c r="F556" s="50"/>
      <c r="H556" s="50"/>
    </row>
    <row r="557">
      <c r="F557" s="50"/>
      <c r="H557" s="50"/>
    </row>
    <row r="558">
      <c r="F558" s="50"/>
      <c r="H558" s="50"/>
    </row>
    <row r="559">
      <c r="F559" s="50"/>
      <c r="H559" s="50"/>
    </row>
    <row r="560">
      <c r="F560" s="50"/>
      <c r="H560" s="50"/>
    </row>
    <row r="561">
      <c r="F561" s="50"/>
      <c r="H561" s="50"/>
    </row>
    <row r="562">
      <c r="F562" s="50"/>
      <c r="H562" s="50"/>
    </row>
    <row r="563">
      <c r="F563" s="50"/>
      <c r="H563" s="50"/>
    </row>
    <row r="564">
      <c r="F564" s="50"/>
      <c r="H564" s="50"/>
    </row>
    <row r="565">
      <c r="F565" s="50"/>
      <c r="H565" s="50"/>
    </row>
    <row r="566">
      <c r="F566" s="50"/>
      <c r="H566" s="50"/>
    </row>
    <row r="567">
      <c r="F567" s="50"/>
      <c r="H567" s="50"/>
    </row>
    <row r="568">
      <c r="F568" s="50"/>
      <c r="H568" s="50"/>
    </row>
    <row r="569">
      <c r="F569" s="50"/>
      <c r="H569" s="50"/>
    </row>
    <row r="570">
      <c r="F570" s="50"/>
      <c r="H570" s="50"/>
    </row>
    <row r="571">
      <c r="F571" s="50"/>
      <c r="H571" s="50"/>
    </row>
    <row r="572">
      <c r="F572" s="50"/>
      <c r="H572" s="50"/>
    </row>
    <row r="573">
      <c r="F573" s="50"/>
      <c r="H573" s="50"/>
    </row>
    <row r="574">
      <c r="F574" s="50"/>
      <c r="H574" s="50"/>
    </row>
    <row r="575">
      <c r="F575" s="50"/>
      <c r="H575" s="50"/>
    </row>
    <row r="576">
      <c r="F576" s="50"/>
      <c r="H576" s="50"/>
    </row>
    <row r="577">
      <c r="F577" s="50"/>
      <c r="H577" s="50"/>
    </row>
    <row r="578">
      <c r="F578" s="50"/>
      <c r="H578" s="50"/>
    </row>
    <row r="579">
      <c r="F579" s="50"/>
      <c r="H579" s="50"/>
    </row>
    <row r="580">
      <c r="F580" s="50"/>
      <c r="H580" s="50"/>
    </row>
    <row r="581">
      <c r="F581" s="50"/>
      <c r="H581" s="50"/>
    </row>
    <row r="582">
      <c r="F582" s="50"/>
      <c r="H582" s="50"/>
    </row>
    <row r="583">
      <c r="F583" s="50"/>
      <c r="H583" s="50"/>
    </row>
    <row r="584">
      <c r="F584" s="50"/>
      <c r="H584" s="50"/>
    </row>
    <row r="585">
      <c r="F585" s="50"/>
      <c r="H585" s="50"/>
    </row>
    <row r="586">
      <c r="F586" s="50"/>
      <c r="H586" s="50"/>
    </row>
    <row r="587">
      <c r="F587" s="50"/>
      <c r="H587" s="50"/>
    </row>
    <row r="588">
      <c r="F588" s="50"/>
      <c r="H588" s="50"/>
    </row>
    <row r="589">
      <c r="F589" s="50"/>
      <c r="H589" s="50"/>
    </row>
    <row r="590">
      <c r="F590" s="50"/>
      <c r="H590" s="50"/>
    </row>
    <row r="591">
      <c r="F591" s="50"/>
      <c r="H591" s="50"/>
    </row>
    <row r="592">
      <c r="F592" s="50"/>
      <c r="H592" s="50"/>
    </row>
    <row r="593">
      <c r="F593" s="50"/>
      <c r="H593" s="50"/>
    </row>
    <row r="594">
      <c r="F594" s="50"/>
      <c r="H594" s="50"/>
    </row>
    <row r="595">
      <c r="F595" s="50"/>
      <c r="H595" s="50"/>
    </row>
    <row r="596">
      <c r="F596" s="50"/>
      <c r="H596" s="50"/>
    </row>
    <row r="597">
      <c r="F597" s="50"/>
      <c r="H597" s="50"/>
    </row>
    <row r="598">
      <c r="F598" s="50"/>
      <c r="H598" s="50"/>
    </row>
    <row r="599">
      <c r="F599" s="50"/>
      <c r="H599" s="50"/>
    </row>
    <row r="600">
      <c r="F600" s="50"/>
      <c r="H600" s="50"/>
    </row>
    <row r="601">
      <c r="F601" s="50"/>
      <c r="H601" s="50"/>
    </row>
    <row r="602">
      <c r="F602" s="50"/>
      <c r="H602" s="50"/>
    </row>
    <row r="603">
      <c r="F603" s="50"/>
      <c r="H603" s="50"/>
    </row>
    <row r="604">
      <c r="F604" s="50"/>
      <c r="H604" s="50"/>
    </row>
    <row r="605">
      <c r="F605" s="50"/>
      <c r="H605" s="50"/>
    </row>
    <row r="606">
      <c r="F606" s="50"/>
      <c r="H606" s="50"/>
    </row>
    <row r="607">
      <c r="F607" s="50"/>
      <c r="H607" s="50"/>
    </row>
    <row r="608">
      <c r="F608" s="50"/>
      <c r="H608" s="50"/>
    </row>
    <row r="609">
      <c r="F609" s="50"/>
      <c r="H609" s="50"/>
    </row>
    <row r="610">
      <c r="F610" s="50"/>
      <c r="H610" s="50"/>
    </row>
    <row r="611">
      <c r="F611" s="50"/>
      <c r="H611" s="50"/>
    </row>
    <row r="612">
      <c r="F612" s="50"/>
      <c r="H612" s="50"/>
    </row>
    <row r="613">
      <c r="F613" s="50"/>
      <c r="H613" s="50"/>
    </row>
    <row r="614">
      <c r="F614" s="50"/>
      <c r="H614" s="50"/>
    </row>
    <row r="615">
      <c r="F615" s="50"/>
      <c r="H615" s="50"/>
    </row>
    <row r="616">
      <c r="F616" s="50"/>
      <c r="H616" s="50"/>
    </row>
    <row r="617">
      <c r="F617" s="50"/>
      <c r="H617" s="50"/>
    </row>
    <row r="618">
      <c r="F618" s="50"/>
      <c r="H618" s="50"/>
    </row>
    <row r="619">
      <c r="F619" s="50"/>
      <c r="H619" s="50"/>
    </row>
    <row r="620">
      <c r="F620" s="50"/>
      <c r="H620" s="50"/>
    </row>
    <row r="621">
      <c r="F621" s="50"/>
      <c r="H621" s="50"/>
    </row>
    <row r="622">
      <c r="F622" s="50"/>
      <c r="H622" s="50"/>
    </row>
    <row r="623">
      <c r="F623" s="50"/>
      <c r="H623" s="50"/>
    </row>
    <row r="624">
      <c r="F624" s="50"/>
      <c r="H624" s="50"/>
    </row>
    <row r="625">
      <c r="F625" s="50"/>
      <c r="H625" s="50"/>
    </row>
    <row r="626">
      <c r="F626" s="50"/>
      <c r="H626" s="50"/>
    </row>
    <row r="627">
      <c r="F627" s="50"/>
      <c r="H627" s="50"/>
    </row>
    <row r="628">
      <c r="F628" s="50"/>
      <c r="H628" s="50"/>
    </row>
    <row r="629">
      <c r="F629" s="50"/>
      <c r="H629" s="50"/>
    </row>
    <row r="630">
      <c r="F630" s="50"/>
      <c r="H630" s="50"/>
    </row>
    <row r="631">
      <c r="F631" s="50"/>
      <c r="H631" s="50"/>
    </row>
    <row r="632">
      <c r="F632" s="50"/>
      <c r="H632" s="50"/>
    </row>
    <row r="633">
      <c r="F633" s="50"/>
      <c r="H633" s="50"/>
    </row>
    <row r="634">
      <c r="F634" s="50"/>
      <c r="H634" s="50"/>
    </row>
    <row r="635">
      <c r="F635" s="50"/>
      <c r="H635" s="50"/>
    </row>
    <row r="636">
      <c r="F636" s="50"/>
      <c r="H636" s="50"/>
    </row>
    <row r="637">
      <c r="F637" s="50"/>
      <c r="H637" s="50"/>
    </row>
    <row r="638">
      <c r="F638" s="50"/>
      <c r="H638" s="50"/>
    </row>
    <row r="639">
      <c r="F639" s="50"/>
      <c r="H639" s="50"/>
    </row>
    <row r="640">
      <c r="F640" s="50"/>
      <c r="H640" s="50"/>
    </row>
    <row r="641">
      <c r="F641" s="50"/>
      <c r="H641" s="50"/>
    </row>
    <row r="642">
      <c r="F642" s="50"/>
      <c r="H642" s="50"/>
    </row>
    <row r="643">
      <c r="F643" s="50"/>
      <c r="H643" s="50"/>
    </row>
    <row r="644">
      <c r="F644" s="50"/>
      <c r="H644" s="50"/>
    </row>
    <row r="645">
      <c r="F645" s="50"/>
      <c r="H645" s="50"/>
    </row>
    <row r="646">
      <c r="F646" s="50"/>
      <c r="H646" s="50"/>
    </row>
    <row r="647">
      <c r="F647" s="50"/>
      <c r="H647" s="50"/>
    </row>
    <row r="648">
      <c r="F648" s="50"/>
      <c r="H648" s="50"/>
    </row>
    <row r="649">
      <c r="F649" s="50"/>
      <c r="H649" s="50"/>
    </row>
    <row r="650">
      <c r="F650" s="50"/>
      <c r="H650" s="50"/>
    </row>
    <row r="651">
      <c r="F651" s="50"/>
      <c r="H651" s="50"/>
    </row>
    <row r="652">
      <c r="F652" s="50"/>
      <c r="H652" s="50"/>
    </row>
    <row r="653">
      <c r="F653" s="50"/>
      <c r="H653" s="50"/>
    </row>
    <row r="654">
      <c r="F654" s="50"/>
      <c r="H654" s="50"/>
    </row>
    <row r="655">
      <c r="F655" s="50"/>
      <c r="H655" s="50"/>
    </row>
    <row r="656">
      <c r="F656" s="50"/>
      <c r="H656" s="50"/>
    </row>
    <row r="657">
      <c r="F657" s="50"/>
      <c r="H657" s="50"/>
    </row>
    <row r="658">
      <c r="F658" s="50"/>
      <c r="H658" s="50"/>
    </row>
    <row r="659">
      <c r="F659" s="50"/>
      <c r="H659" s="50"/>
    </row>
    <row r="660">
      <c r="F660" s="50"/>
      <c r="H660" s="50"/>
    </row>
    <row r="661">
      <c r="F661" s="50"/>
      <c r="H661" s="50"/>
    </row>
    <row r="662">
      <c r="F662" s="50"/>
      <c r="H662" s="50"/>
    </row>
    <row r="663">
      <c r="F663" s="50"/>
      <c r="H663" s="50"/>
    </row>
    <row r="664">
      <c r="F664" s="50"/>
      <c r="H664" s="50"/>
    </row>
    <row r="665">
      <c r="F665" s="50"/>
      <c r="H665" s="50"/>
    </row>
    <row r="666">
      <c r="F666" s="50"/>
      <c r="H666" s="50"/>
    </row>
    <row r="667">
      <c r="F667" s="50"/>
      <c r="H667" s="50"/>
    </row>
    <row r="668">
      <c r="F668" s="50"/>
      <c r="H668" s="50"/>
    </row>
    <row r="669">
      <c r="F669" s="50"/>
      <c r="H669" s="50"/>
    </row>
    <row r="670">
      <c r="F670" s="50"/>
      <c r="H670" s="50"/>
    </row>
    <row r="671">
      <c r="F671" s="50"/>
      <c r="H671" s="50"/>
    </row>
    <row r="672">
      <c r="F672" s="50"/>
      <c r="H672" s="50"/>
    </row>
    <row r="673">
      <c r="F673" s="50"/>
      <c r="H673" s="50"/>
    </row>
    <row r="674">
      <c r="F674" s="50"/>
      <c r="H674" s="50"/>
    </row>
    <row r="675">
      <c r="F675" s="50"/>
      <c r="H675" s="50"/>
    </row>
    <row r="676">
      <c r="F676" s="50"/>
      <c r="H676" s="50"/>
    </row>
    <row r="677">
      <c r="F677" s="50"/>
      <c r="H677" s="50"/>
    </row>
    <row r="678">
      <c r="F678" s="50"/>
      <c r="H678" s="50"/>
    </row>
    <row r="679">
      <c r="F679" s="50"/>
      <c r="H679" s="50"/>
    </row>
    <row r="680">
      <c r="F680" s="50"/>
      <c r="H680" s="50"/>
    </row>
    <row r="681">
      <c r="F681" s="50"/>
      <c r="H681" s="50"/>
    </row>
    <row r="682">
      <c r="F682" s="50"/>
      <c r="H682" s="50"/>
    </row>
    <row r="683">
      <c r="F683" s="50"/>
      <c r="H683" s="50"/>
    </row>
    <row r="684">
      <c r="F684" s="50"/>
      <c r="H684" s="50"/>
    </row>
    <row r="685">
      <c r="F685" s="50"/>
      <c r="H685" s="50"/>
    </row>
    <row r="686">
      <c r="F686" s="50"/>
      <c r="H686" s="50"/>
    </row>
    <row r="687">
      <c r="F687" s="50"/>
      <c r="H687" s="50"/>
    </row>
    <row r="688">
      <c r="F688" s="50"/>
      <c r="H688" s="50"/>
    </row>
    <row r="689">
      <c r="F689" s="50"/>
      <c r="H689" s="50"/>
    </row>
    <row r="690">
      <c r="F690" s="50"/>
      <c r="H690" s="50"/>
    </row>
    <row r="691">
      <c r="F691" s="50"/>
      <c r="H691" s="50"/>
    </row>
    <row r="692">
      <c r="F692" s="50"/>
      <c r="H692" s="50"/>
    </row>
    <row r="693">
      <c r="F693" s="50"/>
      <c r="H693" s="50"/>
    </row>
    <row r="694">
      <c r="F694" s="50"/>
      <c r="H694" s="50"/>
    </row>
    <row r="695">
      <c r="F695" s="50"/>
      <c r="H695" s="50"/>
    </row>
    <row r="696">
      <c r="F696" s="50"/>
      <c r="H696" s="50"/>
    </row>
    <row r="697">
      <c r="F697" s="50"/>
      <c r="H697" s="50"/>
    </row>
    <row r="698">
      <c r="F698" s="50"/>
      <c r="H698" s="50"/>
    </row>
    <row r="699">
      <c r="F699" s="50"/>
      <c r="H699" s="50"/>
    </row>
    <row r="700">
      <c r="F700" s="50"/>
      <c r="H700" s="50"/>
    </row>
    <row r="701">
      <c r="F701" s="50"/>
      <c r="H701" s="50"/>
    </row>
    <row r="702">
      <c r="F702" s="50"/>
      <c r="H702" s="50"/>
    </row>
    <row r="703">
      <c r="F703" s="50"/>
      <c r="H703" s="50"/>
    </row>
    <row r="704">
      <c r="F704" s="50"/>
      <c r="H704" s="50"/>
    </row>
    <row r="705">
      <c r="F705" s="50"/>
      <c r="H705" s="50"/>
    </row>
    <row r="706">
      <c r="F706" s="50"/>
      <c r="H706" s="50"/>
    </row>
    <row r="707">
      <c r="F707" s="50"/>
      <c r="H707" s="50"/>
    </row>
    <row r="708">
      <c r="F708" s="50"/>
      <c r="H708" s="50"/>
    </row>
    <row r="709">
      <c r="F709" s="50"/>
      <c r="H709" s="50"/>
    </row>
    <row r="710">
      <c r="F710" s="50"/>
      <c r="H710" s="50"/>
    </row>
    <row r="711">
      <c r="F711" s="50"/>
      <c r="H711" s="50"/>
    </row>
    <row r="712">
      <c r="F712" s="50"/>
      <c r="H712" s="50"/>
    </row>
    <row r="713">
      <c r="F713" s="50"/>
      <c r="H713" s="50"/>
    </row>
    <row r="714">
      <c r="F714" s="50"/>
      <c r="H714" s="50"/>
    </row>
    <row r="715">
      <c r="F715" s="50"/>
      <c r="H715" s="50"/>
    </row>
    <row r="716">
      <c r="F716" s="50"/>
      <c r="H716" s="50"/>
    </row>
    <row r="717">
      <c r="F717" s="50"/>
      <c r="H717" s="50"/>
    </row>
    <row r="718">
      <c r="F718" s="50"/>
      <c r="H718" s="50"/>
    </row>
    <row r="719">
      <c r="F719" s="50"/>
      <c r="H719" s="50"/>
    </row>
    <row r="720">
      <c r="F720" s="50"/>
      <c r="H720" s="50"/>
    </row>
    <row r="721">
      <c r="F721" s="50"/>
      <c r="H721" s="50"/>
    </row>
    <row r="722">
      <c r="F722" s="50"/>
      <c r="H722" s="50"/>
    </row>
    <row r="723">
      <c r="F723" s="50"/>
      <c r="H723" s="50"/>
    </row>
    <row r="724">
      <c r="F724" s="50"/>
      <c r="H724" s="50"/>
    </row>
    <row r="725">
      <c r="F725" s="50"/>
      <c r="H725" s="50"/>
    </row>
    <row r="726">
      <c r="F726" s="50"/>
      <c r="H726" s="50"/>
    </row>
    <row r="727">
      <c r="F727" s="50"/>
      <c r="H727" s="50"/>
    </row>
    <row r="728">
      <c r="F728" s="50"/>
      <c r="H728" s="50"/>
    </row>
    <row r="729">
      <c r="F729" s="50"/>
      <c r="H729" s="50"/>
    </row>
    <row r="730">
      <c r="F730" s="50"/>
      <c r="H730" s="50"/>
    </row>
    <row r="731">
      <c r="F731" s="50"/>
      <c r="H731" s="50"/>
    </row>
    <row r="732">
      <c r="F732" s="50"/>
      <c r="H732" s="50"/>
    </row>
    <row r="733">
      <c r="F733" s="50"/>
      <c r="H733" s="50"/>
    </row>
    <row r="734">
      <c r="F734" s="50"/>
      <c r="H734" s="50"/>
    </row>
    <row r="735">
      <c r="F735" s="50"/>
      <c r="H735" s="50"/>
    </row>
    <row r="736">
      <c r="F736" s="50"/>
      <c r="H736" s="50"/>
    </row>
    <row r="737">
      <c r="F737" s="50"/>
      <c r="H737" s="50"/>
    </row>
    <row r="738">
      <c r="F738" s="50"/>
      <c r="H738" s="50"/>
    </row>
    <row r="739">
      <c r="F739" s="50"/>
      <c r="H739" s="50"/>
    </row>
    <row r="740">
      <c r="F740" s="50"/>
      <c r="H740" s="50"/>
    </row>
    <row r="741">
      <c r="F741" s="50"/>
      <c r="H741" s="50"/>
    </row>
    <row r="742">
      <c r="F742" s="50"/>
      <c r="H742" s="50"/>
    </row>
    <row r="743">
      <c r="F743" s="50"/>
      <c r="H743" s="50"/>
    </row>
    <row r="744">
      <c r="F744" s="50"/>
      <c r="H744" s="50"/>
    </row>
    <row r="745">
      <c r="F745" s="50"/>
      <c r="H745" s="50"/>
    </row>
    <row r="746">
      <c r="F746" s="50"/>
      <c r="H746" s="50"/>
    </row>
    <row r="747">
      <c r="F747" s="50"/>
      <c r="H747" s="50"/>
    </row>
    <row r="748">
      <c r="F748" s="50"/>
      <c r="H748" s="50"/>
    </row>
    <row r="749">
      <c r="F749" s="50"/>
      <c r="H749" s="50"/>
    </row>
    <row r="750">
      <c r="F750" s="50"/>
      <c r="H750" s="50"/>
    </row>
    <row r="751">
      <c r="F751" s="50"/>
      <c r="H751" s="50"/>
    </row>
    <row r="752">
      <c r="F752" s="50"/>
      <c r="H752" s="50"/>
    </row>
    <row r="753">
      <c r="F753" s="50"/>
      <c r="H753" s="50"/>
    </row>
    <row r="754">
      <c r="F754" s="50"/>
      <c r="H754" s="50"/>
    </row>
    <row r="755">
      <c r="F755" s="50"/>
      <c r="H755" s="50"/>
    </row>
    <row r="756">
      <c r="F756" s="50"/>
      <c r="H756" s="50"/>
    </row>
    <row r="757">
      <c r="F757" s="50"/>
      <c r="H757" s="50"/>
    </row>
    <row r="758">
      <c r="F758" s="50"/>
      <c r="H758" s="50"/>
    </row>
    <row r="759">
      <c r="F759" s="50"/>
      <c r="H759" s="50"/>
    </row>
    <row r="760">
      <c r="F760" s="50"/>
      <c r="H760" s="50"/>
    </row>
    <row r="761">
      <c r="F761" s="50"/>
      <c r="H761" s="50"/>
    </row>
    <row r="762">
      <c r="F762" s="50"/>
      <c r="H762" s="50"/>
    </row>
    <row r="763">
      <c r="F763" s="50"/>
      <c r="H763" s="50"/>
    </row>
    <row r="764">
      <c r="F764" s="50"/>
      <c r="H764" s="50"/>
    </row>
    <row r="765">
      <c r="F765" s="50"/>
      <c r="H765" s="50"/>
    </row>
    <row r="766">
      <c r="F766" s="50"/>
      <c r="H766" s="50"/>
    </row>
    <row r="767">
      <c r="F767" s="50"/>
      <c r="H767" s="50"/>
    </row>
    <row r="768">
      <c r="F768" s="50"/>
      <c r="H768" s="50"/>
    </row>
    <row r="769">
      <c r="F769" s="50"/>
      <c r="H769" s="50"/>
    </row>
    <row r="770">
      <c r="F770" s="50"/>
      <c r="H770" s="50"/>
    </row>
    <row r="771">
      <c r="F771" s="50"/>
      <c r="H771" s="50"/>
    </row>
    <row r="772">
      <c r="F772" s="50"/>
      <c r="H772" s="50"/>
    </row>
    <row r="773">
      <c r="F773" s="50"/>
      <c r="H773" s="50"/>
    </row>
    <row r="774">
      <c r="F774" s="50"/>
      <c r="H774" s="50"/>
    </row>
    <row r="775">
      <c r="F775" s="50"/>
      <c r="H775" s="50"/>
    </row>
    <row r="776">
      <c r="F776" s="50"/>
      <c r="H776" s="50"/>
    </row>
    <row r="777">
      <c r="F777" s="50"/>
      <c r="H777" s="50"/>
    </row>
    <row r="778">
      <c r="F778" s="50"/>
      <c r="H778" s="50"/>
    </row>
    <row r="779">
      <c r="F779" s="50"/>
      <c r="H779" s="50"/>
    </row>
    <row r="780">
      <c r="F780" s="50"/>
      <c r="H780" s="50"/>
    </row>
    <row r="781">
      <c r="F781" s="50"/>
      <c r="H781" s="50"/>
    </row>
    <row r="782">
      <c r="F782" s="50"/>
      <c r="H782" s="50"/>
    </row>
    <row r="783">
      <c r="F783" s="50"/>
      <c r="H783" s="50"/>
    </row>
    <row r="784">
      <c r="F784" s="50"/>
      <c r="H784" s="50"/>
    </row>
    <row r="785">
      <c r="F785" s="50"/>
      <c r="H785" s="50"/>
    </row>
    <row r="786">
      <c r="F786" s="50"/>
      <c r="H786" s="50"/>
    </row>
    <row r="787">
      <c r="F787" s="50"/>
      <c r="H787" s="50"/>
    </row>
    <row r="788">
      <c r="F788" s="50"/>
      <c r="H788" s="50"/>
    </row>
    <row r="789">
      <c r="F789" s="50"/>
      <c r="H789" s="50"/>
    </row>
    <row r="790">
      <c r="F790" s="50"/>
      <c r="H790" s="50"/>
    </row>
    <row r="791">
      <c r="F791" s="50"/>
      <c r="H791" s="50"/>
    </row>
    <row r="792">
      <c r="F792" s="50"/>
      <c r="H792" s="50"/>
    </row>
    <row r="793">
      <c r="F793" s="50"/>
      <c r="H793" s="50"/>
    </row>
    <row r="794">
      <c r="F794" s="50"/>
      <c r="H794" s="50"/>
    </row>
    <row r="795">
      <c r="F795" s="50"/>
      <c r="H795" s="50"/>
    </row>
    <row r="796">
      <c r="F796" s="50"/>
      <c r="H796" s="50"/>
    </row>
    <row r="797">
      <c r="F797" s="50"/>
      <c r="H797" s="50"/>
    </row>
    <row r="798">
      <c r="F798" s="50"/>
      <c r="H798" s="50"/>
    </row>
    <row r="799">
      <c r="F799" s="50"/>
      <c r="H799" s="50"/>
    </row>
    <row r="800">
      <c r="F800" s="50"/>
      <c r="H800" s="50"/>
    </row>
    <row r="801">
      <c r="F801" s="50"/>
      <c r="H801" s="50"/>
    </row>
    <row r="802">
      <c r="F802" s="50"/>
      <c r="H802" s="50"/>
    </row>
    <row r="803">
      <c r="F803" s="50"/>
      <c r="H803" s="50"/>
    </row>
    <row r="804">
      <c r="F804" s="50"/>
      <c r="H804" s="50"/>
    </row>
    <row r="805">
      <c r="F805" s="50"/>
      <c r="H805" s="50"/>
    </row>
    <row r="806">
      <c r="F806" s="50"/>
      <c r="H806" s="50"/>
    </row>
    <row r="807">
      <c r="F807" s="50"/>
      <c r="H807" s="50"/>
    </row>
    <row r="808">
      <c r="F808" s="50"/>
      <c r="H808" s="50"/>
    </row>
    <row r="809">
      <c r="F809" s="50"/>
      <c r="H809" s="50"/>
    </row>
    <row r="810">
      <c r="F810" s="50"/>
      <c r="H810" s="50"/>
    </row>
    <row r="811">
      <c r="F811" s="50"/>
      <c r="H811" s="50"/>
    </row>
    <row r="812">
      <c r="F812" s="50"/>
      <c r="H812" s="50"/>
    </row>
    <row r="813">
      <c r="F813" s="50"/>
      <c r="H813" s="50"/>
    </row>
    <row r="814">
      <c r="F814" s="50"/>
      <c r="H814" s="50"/>
    </row>
    <row r="815">
      <c r="F815" s="50"/>
      <c r="H815" s="50"/>
    </row>
    <row r="816">
      <c r="F816" s="50"/>
      <c r="H816" s="50"/>
    </row>
    <row r="817">
      <c r="F817" s="50"/>
      <c r="H817" s="50"/>
    </row>
    <row r="818">
      <c r="F818" s="50"/>
      <c r="H818" s="50"/>
    </row>
    <row r="819">
      <c r="F819" s="50"/>
      <c r="H819" s="50"/>
    </row>
    <row r="820">
      <c r="F820" s="50"/>
      <c r="H820" s="50"/>
    </row>
    <row r="821">
      <c r="F821" s="50"/>
      <c r="H821" s="50"/>
    </row>
    <row r="822">
      <c r="F822" s="50"/>
      <c r="H822" s="50"/>
    </row>
    <row r="823">
      <c r="F823" s="50"/>
      <c r="H823" s="50"/>
    </row>
    <row r="824">
      <c r="F824" s="50"/>
      <c r="H824" s="50"/>
    </row>
    <row r="825">
      <c r="F825" s="50"/>
      <c r="H825" s="50"/>
    </row>
    <row r="826">
      <c r="F826" s="50"/>
      <c r="H826" s="50"/>
    </row>
    <row r="827">
      <c r="F827" s="50"/>
      <c r="H827" s="50"/>
    </row>
    <row r="828">
      <c r="F828" s="50"/>
      <c r="H828" s="50"/>
    </row>
    <row r="829">
      <c r="F829" s="50"/>
      <c r="H829" s="50"/>
    </row>
    <row r="830">
      <c r="F830" s="50"/>
      <c r="H830" s="50"/>
    </row>
    <row r="831">
      <c r="F831" s="50"/>
      <c r="H831" s="50"/>
    </row>
    <row r="832">
      <c r="F832" s="50"/>
      <c r="H832" s="50"/>
    </row>
    <row r="833">
      <c r="F833" s="50"/>
      <c r="H833" s="50"/>
    </row>
    <row r="834">
      <c r="F834" s="50"/>
      <c r="H834" s="50"/>
    </row>
    <row r="835">
      <c r="F835" s="50"/>
      <c r="H835" s="50"/>
    </row>
    <row r="836">
      <c r="F836" s="50"/>
      <c r="H836" s="50"/>
    </row>
    <row r="837">
      <c r="F837" s="50"/>
      <c r="H837" s="50"/>
    </row>
    <row r="838">
      <c r="F838" s="50"/>
      <c r="H838" s="50"/>
    </row>
    <row r="839">
      <c r="F839" s="50"/>
      <c r="H839" s="50"/>
    </row>
    <row r="840">
      <c r="F840" s="50"/>
      <c r="H840" s="50"/>
    </row>
    <row r="841">
      <c r="F841" s="50"/>
      <c r="H841" s="50"/>
    </row>
    <row r="842">
      <c r="F842" s="50"/>
      <c r="H842" s="50"/>
    </row>
    <row r="843">
      <c r="F843" s="50"/>
      <c r="H843" s="50"/>
    </row>
    <row r="844">
      <c r="F844" s="50"/>
      <c r="H844" s="50"/>
    </row>
    <row r="845">
      <c r="F845" s="50"/>
      <c r="H845" s="50"/>
    </row>
    <row r="846">
      <c r="F846" s="50"/>
      <c r="H846" s="50"/>
    </row>
    <row r="847">
      <c r="F847" s="50"/>
      <c r="H847" s="50"/>
    </row>
    <row r="848">
      <c r="F848" s="50"/>
      <c r="H848" s="50"/>
    </row>
    <row r="849">
      <c r="F849" s="50"/>
      <c r="H849" s="50"/>
    </row>
    <row r="850">
      <c r="F850" s="50"/>
      <c r="H850" s="50"/>
    </row>
    <row r="851">
      <c r="F851" s="50"/>
      <c r="H851" s="50"/>
    </row>
    <row r="852">
      <c r="F852" s="50"/>
      <c r="H852" s="50"/>
    </row>
    <row r="853">
      <c r="F853" s="50"/>
      <c r="H853" s="50"/>
    </row>
    <row r="854">
      <c r="F854" s="50"/>
      <c r="H854" s="50"/>
    </row>
    <row r="855">
      <c r="F855" s="50"/>
      <c r="H855" s="50"/>
    </row>
    <row r="856">
      <c r="F856" s="50"/>
      <c r="H856" s="50"/>
    </row>
    <row r="857">
      <c r="F857" s="50"/>
      <c r="H857" s="50"/>
    </row>
    <row r="858">
      <c r="F858" s="50"/>
      <c r="H858" s="50"/>
    </row>
    <row r="859">
      <c r="F859" s="50"/>
      <c r="H859" s="50"/>
    </row>
    <row r="860">
      <c r="F860" s="50"/>
      <c r="H860" s="50"/>
    </row>
    <row r="861">
      <c r="F861" s="50"/>
      <c r="H861" s="50"/>
    </row>
    <row r="862">
      <c r="F862" s="50"/>
      <c r="H862" s="50"/>
    </row>
    <row r="863">
      <c r="F863" s="50"/>
      <c r="H863" s="50"/>
    </row>
    <row r="864">
      <c r="F864" s="50"/>
      <c r="H864" s="50"/>
    </row>
    <row r="865">
      <c r="F865" s="50"/>
      <c r="H865" s="50"/>
    </row>
    <row r="866">
      <c r="F866" s="50"/>
      <c r="H866" s="50"/>
    </row>
    <row r="867">
      <c r="F867" s="50"/>
      <c r="H867" s="50"/>
    </row>
    <row r="868">
      <c r="F868" s="50"/>
      <c r="H868" s="50"/>
    </row>
    <row r="869">
      <c r="F869" s="50"/>
      <c r="H869" s="50"/>
    </row>
    <row r="870">
      <c r="F870" s="50"/>
      <c r="H870" s="50"/>
    </row>
    <row r="871">
      <c r="F871" s="50"/>
      <c r="H871" s="50"/>
    </row>
    <row r="872">
      <c r="F872" s="50"/>
      <c r="H872" s="50"/>
    </row>
    <row r="873">
      <c r="F873" s="50"/>
      <c r="H873" s="50"/>
    </row>
    <row r="874">
      <c r="F874" s="50"/>
      <c r="H874" s="50"/>
    </row>
    <row r="875">
      <c r="F875" s="50"/>
      <c r="H875" s="50"/>
    </row>
    <row r="876">
      <c r="F876" s="50"/>
      <c r="H876" s="50"/>
    </row>
    <row r="877">
      <c r="F877" s="50"/>
      <c r="H877" s="50"/>
    </row>
    <row r="878">
      <c r="F878" s="50"/>
      <c r="H878" s="50"/>
    </row>
    <row r="879">
      <c r="F879" s="50"/>
      <c r="H879" s="50"/>
    </row>
    <row r="880">
      <c r="F880" s="50"/>
      <c r="H880" s="50"/>
    </row>
    <row r="881">
      <c r="F881" s="50"/>
      <c r="H881" s="50"/>
    </row>
    <row r="882">
      <c r="F882" s="50"/>
      <c r="H882" s="50"/>
    </row>
    <row r="883">
      <c r="F883" s="50"/>
      <c r="H883" s="50"/>
    </row>
    <row r="884">
      <c r="F884" s="50"/>
      <c r="H884" s="50"/>
    </row>
    <row r="885">
      <c r="F885" s="50"/>
      <c r="H885" s="50"/>
    </row>
    <row r="886">
      <c r="F886" s="50"/>
      <c r="H886" s="50"/>
    </row>
    <row r="887">
      <c r="F887" s="50"/>
      <c r="H887" s="50"/>
    </row>
    <row r="888">
      <c r="F888" s="50"/>
      <c r="H888" s="50"/>
    </row>
    <row r="889">
      <c r="F889" s="50"/>
      <c r="H889" s="50"/>
    </row>
    <row r="890">
      <c r="F890" s="50"/>
      <c r="H890" s="50"/>
    </row>
    <row r="891">
      <c r="F891" s="50"/>
      <c r="H891" s="50"/>
    </row>
    <row r="892">
      <c r="F892" s="50"/>
      <c r="H892" s="50"/>
    </row>
    <row r="893">
      <c r="F893" s="50"/>
      <c r="H893" s="50"/>
    </row>
    <row r="894">
      <c r="F894" s="50"/>
      <c r="H894" s="50"/>
    </row>
    <row r="895">
      <c r="F895" s="50"/>
      <c r="H895" s="50"/>
    </row>
    <row r="896">
      <c r="F896" s="50"/>
      <c r="H896" s="50"/>
    </row>
    <row r="897">
      <c r="F897" s="50"/>
      <c r="H897" s="50"/>
    </row>
    <row r="898">
      <c r="F898" s="50"/>
      <c r="H898" s="50"/>
    </row>
    <row r="899">
      <c r="F899" s="50"/>
      <c r="H899" s="50"/>
    </row>
    <row r="900">
      <c r="F900" s="50"/>
      <c r="H900" s="50"/>
    </row>
    <row r="901">
      <c r="F901" s="50"/>
      <c r="H901" s="50"/>
    </row>
    <row r="902">
      <c r="F902" s="50"/>
      <c r="H902" s="50"/>
    </row>
    <row r="903">
      <c r="F903" s="50"/>
      <c r="H903" s="50"/>
    </row>
    <row r="904">
      <c r="F904" s="50"/>
      <c r="H904" s="50"/>
    </row>
    <row r="905">
      <c r="F905" s="50"/>
      <c r="H905" s="50"/>
    </row>
    <row r="906">
      <c r="F906" s="50"/>
      <c r="H906" s="50"/>
    </row>
    <row r="907">
      <c r="F907" s="50"/>
      <c r="H907" s="50"/>
    </row>
    <row r="908">
      <c r="F908" s="50"/>
      <c r="H908" s="50"/>
    </row>
    <row r="909">
      <c r="F909" s="50"/>
      <c r="H909" s="50"/>
    </row>
    <row r="910">
      <c r="F910" s="50"/>
      <c r="H910" s="50"/>
    </row>
    <row r="911">
      <c r="F911" s="50"/>
      <c r="H911" s="50"/>
    </row>
    <row r="912">
      <c r="F912" s="50"/>
      <c r="H912" s="50"/>
    </row>
    <row r="913">
      <c r="F913" s="50"/>
      <c r="H913" s="50"/>
    </row>
    <row r="914">
      <c r="F914" s="50"/>
      <c r="H914" s="50"/>
    </row>
    <row r="915">
      <c r="F915" s="50"/>
      <c r="H915" s="50"/>
    </row>
    <row r="916">
      <c r="F916" s="50"/>
      <c r="H916" s="50"/>
    </row>
    <row r="917">
      <c r="F917" s="50"/>
      <c r="H917" s="50"/>
    </row>
    <row r="918">
      <c r="F918" s="50"/>
      <c r="H918" s="50"/>
    </row>
    <row r="919">
      <c r="F919" s="50"/>
      <c r="H919" s="50"/>
    </row>
    <row r="920">
      <c r="F920" s="50"/>
      <c r="H920" s="50"/>
    </row>
    <row r="921">
      <c r="F921" s="50"/>
      <c r="H921" s="50"/>
    </row>
    <row r="922">
      <c r="F922" s="50"/>
      <c r="H922" s="50"/>
    </row>
    <row r="923">
      <c r="F923" s="50"/>
      <c r="H923" s="50"/>
    </row>
    <row r="924">
      <c r="F924" s="50"/>
      <c r="H924" s="50"/>
    </row>
    <row r="925">
      <c r="F925" s="50"/>
      <c r="H925" s="50"/>
    </row>
    <row r="926">
      <c r="F926" s="50"/>
      <c r="H926" s="50"/>
    </row>
    <row r="927">
      <c r="F927" s="50"/>
      <c r="H927" s="50"/>
    </row>
    <row r="928">
      <c r="F928" s="50"/>
      <c r="H928" s="50"/>
    </row>
    <row r="929">
      <c r="F929" s="50"/>
      <c r="H929" s="50"/>
    </row>
    <row r="930">
      <c r="F930" s="50"/>
      <c r="H930" s="50"/>
    </row>
    <row r="931">
      <c r="F931" s="50"/>
      <c r="H931" s="50"/>
    </row>
    <row r="932">
      <c r="F932" s="50"/>
      <c r="H932" s="50"/>
    </row>
    <row r="933">
      <c r="F933" s="50"/>
      <c r="H933" s="50"/>
    </row>
    <row r="934">
      <c r="F934" s="50"/>
      <c r="H934" s="50"/>
    </row>
    <row r="935">
      <c r="F935" s="50"/>
      <c r="H935" s="50"/>
    </row>
    <row r="936">
      <c r="F936" s="50"/>
      <c r="H936" s="50"/>
    </row>
    <row r="937">
      <c r="F937" s="50"/>
      <c r="H937" s="50"/>
    </row>
    <row r="938">
      <c r="F938" s="50"/>
      <c r="H938" s="50"/>
    </row>
    <row r="939">
      <c r="F939" s="50"/>
      <c r="H939" s="50"/>
    </row>
    <row r="940">
      <c r="F940" s="50"/>
      <c r="H940" s="50"/>
    </row>
    <row r="941">
      <c r="F941" s="50"/>
      <c r="H941" s="50"/>
    </row>
    <row r="942">
      <c r="F942" s="50"/>
      <c r="H942" s="50"/>
    </row>
    <row r="943">
      <c r="F943" s="50"/>
      <c r="H943" s="50"/>
    </row>
    <row r="944">
      <c r="F944" s="50"/>
      <c r="H944" s="50"/>
    </row>
    <row r="945">
      <c r="F945" s="50"/>
      <c r="H945" s="50"/>
    </row>
    <row r="946">
      <c r="F946" s="50"/>
      <c r="H946" s="50"/>
    </row>
    <row r="947">
      <c r="F947" s="50"/>
      <c r="H947" s="50"/>
    </row>
    <row r="948">
      <c r="F948" s="50"/>
      <c r="H948" s="50"/>
    </row>
    <row r="949">
      <c r="F949" s="50"/>
      <c r="H949" s="50"/>
    </row>
    <row r="950">
      <c r="F950" s="50"/>
      <c r="H950" s="50"/>
    </row>
    <row r="951">
      <c r="F951" s="50"/>
      <c r="H951" s="50"/>
    </row>
    <row r="952">
      <c r="F952" s="50"/>
      <c r="H952" s="50"/>
    </row>
    <row r="953">
      <c r="F953" s="50"/>
      <c r="H953" s="50"/>
    </row>
    <row r="954">
      <c r="F954" s="50"/>
      <c r="H954" s="50"/>
    </row>
    <row r="955">
      <c r="F955" s="50"/>
      <c r="H955" s="50"/>
    </row>
    <row r="956">
      <c r="F956" s="50"/>
      <c r="H956" s="50"/>
    </row>
    <row r="957">
      <c r="F957" s="50"/>
      <c r="H957" s="50"/>
    </row>
    <row r="958">
      <c r="F958" s="50"/>
      <c r="H958" s="50"/>
    </row>
    <row r="959">
      <c r="F959" s="50"/>
      <c r="H959" s="50"/>
    </row>
    <row r="960">
      <c r="F960" s="50"/>
      <c r="H960" s="50"/>
    </row>
    <row r="961">
      <c r="F961" s="50"/>
      <c r="H961" s="50"/>
    </row>
    <row r="962">
      <c r="F962" s="50"/>
      <c r="H962" s="50"/>
    </row>
    <row r="963">
      <c r="F963" s="50"/>
      <c r="H963" s="50"/>
    </row>
    <row r="964">
      <c r="F964" s="50"/>
      <c r="H964" s="50"/>
    </row>
    <row r="965">
      <c r="F965" s="50"/>
      <c r="H965" s="50"/>
    </row>
    <row r="966">
      <c r="F966" s="50"/>
      <c r="H966" s="50"/>
    </row>
    <row r="967">
      <c r="F967" s="50"/>
      <c r="H967" s="50"/>
    </row>
    <row r="968">
      <c r="F968" s="50"/>
      <c r="H968" s="50"/>
    </row>
    <row r="969">
      <c r="F969" s="50"/>
      <c r="H969" s="50"/>
    </row>
    <row r="970">
      <c r="F970" s="50"/>
      <c r="H970" s="50"/>
    </row>
    <row r="971">
      <c r="F971" s="50"/>
      <c r="H971" s="50"/>
    </row>
    <row r="972">
      <c r="F972" s="50"/>
      <c r="H972" s="50"/>
    </row>
    <row r="973">
      <c r="F973" s="50"/>
      <c r="H973" s="50"/>
    </row>
    <row r="974">
      <c r="F974" s="50"/>
      <c r="H974" s="50"/>
    </row>
    <row r="975">
      <c r="F975" s="50"/>
      <c r="H975" s="50"/>
    </row>
    <row r="976">
      <c r="F976" s="50"/>
      <c r="H976" s="50"/>
    </row>
    <row r="977">
      <c r="F977" s="50"/>
      <c r="H977" s="50"/>
    </row>
    <row r="978">
      <c r="F978" s="50"/>
      <c r="H978" s="50"/>
    </row>
    <row r="979">
      <c r="F979" s="50"/>
      <c r="H979" s="50"/>
    </row>
    <row r="980">
      <c r="F980" s="50"/>
      <c r="H980" s="50"/>
    </row>
    <row r="981">
      <c r="F981" s="50"/>
      <c r="H981" s="50"/>
    </row>
    <row r="982">
      <c r="F982" s="50"/>
      <c r="H982" s="50"/>
    </row>
    <row r="983">
      <c r="F983" s="50"/>
      <c r="H983" s="50"/>
    </row>
    <row r="984">
      <c r="F984" s="50"/>
      <c r="H984" s="50"/>
    </row>
    <row r="985">
      <c r="F985" s="50"/>
      <c r="H985" s="50"/>
    </row>
    <row r="986">
      <c r="F986" s="50"/>
      <c r="H986" s="50"/>
    </row>
    <row r="987">
      <c r="F987" s="50"/>
      <c r="H987" s="50"/>
    </row>
    <row r="988">
      <c r="F988" s="50"/>
      <c r="H988" s="50"/>
    </row>
    <row r="989">
      <c r="F989" s="50"/>
      <c r="H989" s="50"/>
    </row>
    <row r="990">
      <c r="F990" s="50"/>
      <c r="H990" s="50"/>
    </row>
    <row r="991">
      <c r="F991" s="50"/>
      <c r="H991" s="50"/>
    </row>
    <row r="992">
      <c r="F992" s="50"/>
      <c r="H992" s="50"/>
    </row>
    <row r="993">
      <c r="F993" s="50"/>
      <c r="H993" s="50"/>
    </row>
    <row r="994">
      <c r="F994" s="50"/>
      <c r="H994" s="50"/>
    </row>
    <row r="995">
      <c r="F995" s="50"/>
      <c r="H995" s="50"/>
    </row>
    <row r="996">
      <c r="F996" s="50"/>
      <c r="H996" s="50"/>
    </row>
    <row r="997">
      <c r="F997" s="50"/>
      <c r="H997" s="50"/>
    </row>
    <row r="998">
      <c r="F998" s="50"/>
      <c r="H998" s="50"/>
    </row>
    <row r="999">
      <c r="F999" s="50"/>
      <c r="H999" s="50"/>
    </row>
    <row r="1000">
      <c r="F1000" s="50"/>
      <c r="H1000" s="5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153</v>
      </c>
      <c r="B1" s="3" t="s">
        <v>1</v>
      </c>
      <c r="C1" s="3" t="s">
        <v>154</v>
      </c>
      <c r="D1" s="6" t="s">
        <v>155</v>
      </c>
      <c r="E1" s="6" t="s">
        <v>156</v>
      </c>
      <c r="F1" s="6" t="s">
        <v>157</v>
      </c>
      <c r="G1" s="6" t="s">
        <v>158</v>
      </c>
      <c r="H1" s="6" t="s">
        <v>159</v>
      </c>
      <c r="I1" s="6" t="s">
        <v>160</v>
      </c>
      <c r="J1" s="6" t="s">
        <v>161</v>
      </c>
      <c r="K1" s="6" t="s">
        <v>162</v>
      </c>
      <c r="L1" s="6" t="s">
        <v>163</v>
      </c>
      <c r="M1" s="6" t="s">
        <v>164</v>
      </c>
      <c r="N1" s="6" t="s">
        <v>165</v>
      </c>
      <c r="O1" s="7" t="s">
        <v>166</v>
      </c>
      <c r="P1" s="7" t="s">
        <v>167</v>
      </c>
      <c r="Q1" s="7" t="s">
        <v>168</v>
      </c>
      <c r="R1" s="7" t="s">
        <v>169</v>
      </c>
      <c r="S1" s="7" t="s">
        <v>170</v>
      </c>
      <c r="T1" s="7" t="s">
        <v>171</v>
      </c>
      <c r="U1" s="7" t="s">
        <v>172</v>
      </c>
      <c r="V1" s="7" t="s">
        <v>173</v>
      </c>
      <c r="W1" s="7" t="s">
        <v>174</v>
      </c>
    </row>
    <row r="2">
      <c r="A2" s="8">
        <v>40179.0</v>
      </c>
      <c r="B2" s="9" t="str">
        <f>IFERROR(__xludf.DUMMYFUNCTION("IMPORTRANGE(""https://docs.google.com/spreadsheets/d/1oPTPmoJ9phtMOkp-nMB7WHnPESomLzqUj9t0gcE9bYA"",""Current Region!J2:J150"")"),"")</f>
        <v/>
      </c>
      <c r="C2" s="10" t="s">
        <v>26</v>
      </c>
      <c r="D2" s="11" t="s">
        <v>26</v>
      </c>
      <c r="E2" s="11" t="s">
        <v>26</v>
      </c>
      <c r="F2" s="10" t="s">
        <v>26</v>
      </c>
      <c r="G2" s="10" t="s">
        <v>26</v>
      </c>
      <c r="H2" s="10" t="s">
        <v>26</v>
      </c>
      <c r="I2" s="10" t="s">
        <v>26</v>
      </c>
      <c r="J2" s="10" t="s">
        <v>26</v>
      </c>
      <c r="K2" s="10" t="s">
        <v>26</v>
      </c>
      <c r="L2" s="10" t="s">
        <v>26</v>
      </c>
      <c r="M2" s="10" t="s">
        <v>26</v>
      </c>
      <c r="N2" s="10" t="s">
        <v>26</v>
      </c>
      <c r="O2" s="7" t="s">
        <v>26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26</v>
      </c>
      <c r="U2" s="7" t="s">
        <v>26</v>
      </c>
      <c r="V2" s="7" t="s">
        <v>26</v>
      </c>
      <c r="W2" s="7" t="s">
        <v>26</v>
      </c>
    </row>
    <row r="3">
      <c r="A3" s="8">
        <v>40210.0</v>
      </c>
      <c r="B3" s="9"/>
      <c r="C3" s="10" t="s">
        <v>26</v>
      </c>
      <c r="D3" s="11" t="s">
        <v>26</v>
      </c>
      <c r="E3" s="11" t="s">
        <v>26</v>
      </c>
      <c r="F3" s="10" t="s">
        <v>26</v>
      </c>
      <c r="G3" s="10" t="s">
        <v>26</v>
      </c>
      <c r="H3" s="10" t="s">
        <v>26</v>
      </c>
      <c r="I3" s="10" t="s">
        <v>26</v>
      </c>
      <c r="J3" s="10" t="s">
        <v>26</v>
      </c>
      <c r="K3" s="10" t="s">
        <v>26</v>
      </c>
      <c r="L3" s="10" t="s">
        <v>26</v>
      </c>
      <c r="M3" s="10" t="s">
        <v>26</v>
      </c>
      <c r="N3" s="10" t="s">
        <v>26</v>
      </c>
      <c r="O3" s="7" t="s">
        <v>26</v>
      </c>
      <c r="P3" s="7" t="s">
        <v>26</v>
      </c>
      <c r="Q3" s="7" t="s">
        <v>26</v>
      </c>
      <c r="R3" s="7" t="s">
        <v>26</v>
      </c>
      <c r="S3" s="7" t="s">
        <v>26</v>
      </c>
      <c r="T3" s="7" t="s">
        <v>26</v>
      </c>
      <c r="U3" s="7" t="s">
        <v>26</v>
      </c>
      <c r="V3" s="7" t="s">
        <v>26</v>
      </c>
      <c r="W3" s="7" t="s">
        <v>26</v>
      </c>
    </row>
    <row r="4">
      <c r="A4" s="8">
        <v>40238.0</v>
      </c>
      <c r="B4" s="9"/>
      <c r="C4" s="10" t="s">
        <v>26</v>
      </c>
      <c r="D4" s="11" t="s">
        <v>26</v>
      </c>
      <c r="E4" s="11" t="s">
        <v>26</v>
      </c>
      <c r="F4" s="10" t="s">
        <v>26</v>
      </c>
      <c r="G4" s="10" t="s">
        <v>26</v>
      </c>
      <c r="H4" s="10" t="s">
        <v>26</v>
      </c>
      <c r="I4" s="10" t="s">
        <v>26</v>
      </c>
      <c r="J4" s="10" t="s">
        <v>26</v>
      </c>
      <c r="K4" s="10" t="s">
        <v>26</v>
      </c>
      <c r="L4" s="10" t="s">
        <v>26</v>
      </c>
      <c r="M4" s="10" t="s">
        <v>26</v>
      </c>
      <c r="N4" s="10" t="s">
        <v>26</v>
      </c>
      <c r="O4" s="7" t="s">
        <v>26</v>
      </c>
      <c r="P4" s="7" t="s">
        <v>26</v>
      </c>
      <c r="Q4" s="7" t="s">
        <v>26</v>
      </c>
      <c r="R4" s="7" t="s">
        <v>26</v>
      </c>
      <c r="S4" s="7" t="s">
        <v>26</v>
      </c>
      <c r="T4" s="7" t="s">
        <v>26</v>
      </c>
      <c r="U4" s="7" t="s">
        <v>26</v>
      </c>
      <c r="V4" s="7" t="s">
        <v>26</v>
      </c>
      <c r="W4" s="7" t="s">
        <v>26</v>
      </c>
    </row>
    <row r="5">
      <c r="A5" s="8">
        <v>40269.0</v>
      </c>
      <c r="B5" s="9"/>
      <c r="C5" s="10" t="s">
        <v>26</v>
      </c>
      <c r="D5" s="11" t="s">
        <v>26</v>
      </c>
      <c r="E5" s="11" t="s">
        <v>26</v>
      </c>
      <c r="F5" s="10" t="s">
        <v>26</v>
      </c>
      <c r="G5" s="10" t="s">
        <v>26</v>
      </c>
      <c r="H5" s="10" t="s">
        <v>26</v>
      </c>
      <c r="I5" s="10" t="s">
        <v>26</v>
      </c>
      <c r="J5" s="10" t="s">
        <v>26</v>
      </c>
      <c r="K5" s="10" t="s">
        <v>26</v>
      </c>
      <c r="L5" s="10" t="s">
        <v>26</v>
      </c>
      <c r="M5" s="10" t="s">
        <v>26</v>
      </c>
      <c r="N5" s="10" t="s">
        <v>26</v>
      </c>
      <c r="O5" s="7" t="s">
        <v>26</v>
      </c>
      <c r="P5" s="7" t="s">
        <v>26</v>
      </c>
      <c r="Q5" s="7" t="s">
        <v>26</v>
      </c>
      <c r="R5" s="7" t="s">
        <v>26</v>
      </c>
      <c r="S5" s="7" t="s">
        <v>26</v>
      </c>
      <c r="T5" s="7" t="s">
        <v>26</v>
      </c>
      <c r="U5" s="7" t="s">
        <v>26</v>
      </c>
      <c r="V5" s="7" t="s">
        <v>26</v>
      </c>
      <c r="W5" s="7" t="s">
        <v>26</v>
      </c>
    </row>
    <row r="6">
      <c r="A6" s="8">
        <v>40299.0</v>
      </c>
      <c r="B6" s="9">
        <f>IFERROR(__xludf.DUMMYFUNCTION("""COMPUTED_VALUE"""),2494.0)</f>
        <v>2494</v>
      </c>
      <c r="C6" s="10" t="s">
        <v>26</v>
      </c>
      <c r="D6" s="11" t="s">
        <v>26</v>
      </c>
      <c r="E6" s="11" t="s">
        <v>26</v>
      </c>
      <c r="F6" s="10" t="s">
        <v>26</v>
      </c>
      <c r="G6" s="10" t="s">
        <v>26</v>
      </c>
      <c r="H6" s="10" t="s">
        <v>26</v>
      </c>
      <c r="I6" s="10" t="s">
        <v>26</v>
      </c>
      <c r="J6" s="10" t="s">
        <v>26</v>
      </c>
      <c r="K6" s="10" t="s">
        <v>26</v>
      </c>
      <c r="L6" s="10" t="s">
        <v>26</v>
      </c>
      <c r="M6" s="10" t="s">
        <v>26</v>
      </c>
      <c r="N6" s="10" t="s">
        <v>26</v>
      </c>
      <c r="O6" s="7" t="s">
        <v>26</v>
      </c>
      <c r="P6" s="7" t="s">
        <v>26</v>
      </c>
      <c r="Q6" s="7" t="s">
        <v>26</v>
      </c>
      <c r="R6" s="7" t="s">
        <v>26</v>
      </c>
      <c r="S6" s="7" t="s">
        <v>26</v>
      </c>
      <c r="T6" s="7" t="s">
        <v>26</v>
      </c>
      <c r="U6" s="7" t="s">
        <v>26</v>
      </c>
      <c r="V6" s="7" t="s">
        <v>26</v>
      </c>
      <c r="W6" s="7" t="s">
        <v>26</v>
      </c>
    </row>
    <row r="7">
      <c r="A7" s="8">
        <v>40330.0</v>
      </c>
      <c r="B7" s="9"/>
      <c r="C7" s="10" t="s">
        <v>26</v>
      </c>
      <c r="D7" s="11" t="s">
        <v>26</v>
      </c>
      <c r="E7" s="11" t="s">
        <v>26</v>
      </c>
      <c r="F7" s="10" t="s">
        <v>26</v>
      </c>
      <c r="G7" s="10" t="s">
        <v>26</v>
      </c>
      <c r="H7" s="10" t="s">
        <v>26</v>
      </c>
      <c r="I7" s="10" t="s">
        <v>26</v>
      </c>
      <c r="J7" s="10" t="s">
        <v>26</v>
      </c>
      <c r="K7" s="10" t="s">
        <v>26</v>
      </c>
      <c r="L7" s="10" t="s">
        <v>26</v>
      </c>
      <c r="M7" s="10" t="s">
        <v>26</v>
      </c>
      <c r="N7" s="10" t="s">
        <v>26</v>
      </c>
      <c r="O7" s="7" t="s">
        <v>26</v>
      </c>
      <c r="P7" s="7" t="s">
        <v>26</v>
      </c>
      <c r="Q7" s="7" t="s">
        <v>26</v>
      </c>
      <c r="R7" s="7" t="s">
        <v>26</v>
      </c>
      <c r="S7" s="7" t="s">
        <v>26</v>
      </c>
      <c r="T7" s="7" t="s">
        <v>26</v>
      </c>
      <c r="U7" s="7" t="s">
        <v>26</v>
      </c>
      <c r="V7" s="7" t="s">
        <v>26</v>
      </c>
      <c r="W7" s="7" t="s">
        <v>26</v>
      </c>
    </row>
    <row r="8">
      <c r="A8" s="8">
        <v>40360.0</v>
      </c>
      <c r="B8" s="9">
        <f>IFERROR(__xludf.DUMMYFUNCTION("""COMPUTED_VALUE"""),745.0)</f>
        <v>745</v>
      </c>
      <c r="C8" s="10" t="s">
        <v>26</v>
      </c>
      <c r="D8" s="11" t="s">
        <v>26</v>
      </c>
      <c r="E8" s="11" t="s">
        <v>26</v>
      </c>
      <c r="F8" s="10" t="s">
        <v>26</v>
      </c>
      <c r="G8" s="10" t="s">
        <v>26</v>
      </c>
      <c r="H8" s="10" t="s">
        <v>26</v>
      </c>
      <c r="I8" s="10" t="s">
        <v>26</v>
      </c>
      <c r="J8" s="10" t="s">
        <v>26</v>
      </c>
      <c r="K8" s="10" t="s">
        <v>26</v>
      </c>
      <c r="L8" s="10" t="s">
        <v>26</v>
      </c>
      <c r="M8" s="10" t="s">
        <v>26</v>
      </c>
      <c r="N8" s="10" t="s">
        <v>26</v>
      </c>
      <c r="O8" s="7" t="s">
        <v>26</v>
      </c>
      <c r="P8" s="7" t="s">
        <v>26</v>
      </c>
      <c r="Q8" s="7" t="s">
        <v>26</v>
      </c>
      <c r="R8" s="7" t="s">
        <v>26</v>
      </c>
      <c r="S8" s="7" t="s">
        <v>26</v>
      </c>
      <c r="T8" s="7" t="s">
        <v>26</v>
      </c>
      <c r="U8" s="7" t="s">
        <v>26</v>
      </c>
      <c r="V8" s="7" t="s">
        <v>26</v>
      </c>
      <c r="W8" s="7" t="s">
        <v>26</v>
      </c>
    </row>
    <row r="9">
      <c r="A9" s="8">
        <v>40391.0</v>
      </c>
      <c r="B9" s="9"/>
      <c r="C9" s="10" t="s">
        <v>26</v>
      </c>
      <c r="D9" s="11" t="s">
        <v>26</v>
      </c>
      <c r="E9" s="11" t="s">
        <v>26</v>
      </c>
      <c r="F9" s="10" t="s">
        <v>26</v>
      </c>
      <c r="G9" s="10" t="s">
        <v>26</v>
      </c>
      <c r="H9" s="10" t="s">
        <v>26</v>
      </c>
      <c r="I9" s="10" t="s">
        <v>26</v>
      </c>
      <c r="J9" s="10" t="s">
        <v>26</v>
      </c>
      <c r="K9" s="10" t="s">
        <v>26</v>
      </c>
      <c r="L9" s="10" t="s">
        <v>26</v>
      </c>
      <c r="M9" s="10" t="s">
        <v>26</v>
      </c>
      <c r="N9" s="10" t="s">
        <v>26</v>
      </c>
      <c r="O9" s="7" t="s">
        <v>26</v>
      </c>
      <c r="P9" s="7" t="s">
        <v>26</v>
      </c>
      <c r="Q9" s="7" t="s">
        <v>26</v>
      </c>
      <c r="R9" s="7" t="s">
        <v>26</v>
      </c>
      <c r="S9" s="7" t="s">
        <v>26</v>
      </c>
      <c r="T9" s="7" t="s">
        <v>26</v>
      </c>
      <c r="U9" s="7" t="s">
        <v>26</v>
      </c>
      <c r="V9" s="7" t="s">
        <v>26</v>
      </c>
      <c r="W9" s="7" t="s">
        <v>26</v>
      </c>
    </row>
    <row r="10">
      <c r="A10" s="8">
        <v>40422.0</v>
      </c>
      <c r="B10" s="9"/>
      <c r="C10" s="10" t="s">
        <v>26</v>
      </c>
      <c r="D10" s="11" t="s">
        <v>26</v>
      </c>
      <c r="E10" s="11" t="s">
        <v>26</v>
      </c>
      <c r="F10" s="10" t="s">
        <v>26</v>
      </c>
      <c r="G10" s="10" t="s">
        <v>26</v>
      </c>
      <c r="H10" s="10" t="s">
        <v>26</v>
      </c>
      <c r="I10" s="10" t="s">
        <v>26</v>
      </c>
      <c r="J10" s="10" t="s">
        <v>26</v>
      </c>
      <c r="K10" s="10" t="s">
        <v>26</v>
      </c>
      <c r="L10" s="10" t="s">
        <v>26</v>
      </c>
      <c r="M10" s="10" t="s">
        <v>26</v>
      </c>
      <c r="N10" s="10" t="s">
        <v>26</v>
      </c>
      <c r="O10" s="7" t="s">
        <v>26</v>
      </c>
      <c r="P10" s="7" t="s">
        <v>26</v>
      </c>
      <c r="Q10" s="7" t="s">
        <v>26</v>
      </c>
      <c r="R10" s="7" t="s">
        <v>26</v>
      </c>
      <c r="S10" s="7" t="s">
        <v>26</v>
      </c>
      <c r="T10" s="7" t="s">
        <v>26</v>
      </c>
      <c r="U10" s="7" t="s">
        <v>26</v>
      </c>
      <c r="V10" s="7" t="s">
        <v>26</v>
      </c>
      <c r="W10" s="7" t="s">
        <v>26</v>
      </c>
    </row>
    <row r="11">
      <c r="A11" s="8">
        <v>40452.0</v>
      </c>
      <c r="B11" s="9"/>
      <c r="C11" s="10" t="s">
        <v>26</v>
      </c>
      <c r="D11" s="11" t="s">
        <v>26</v>
      </c>
      <c r="E11" s="11" t="s">
        <v>26</v>
      </c>
      <c r="F11" s="10" t="s">
        <v>26</v>
      </c>
      <c r="G11" s="10" t="s">
        <v>26</v>
      </c>
      <c r="H11" s="10" t="s">
        <v>26</v>
      </c>
      <c r="I11" s="10" t="s">
        <v>26</v>
      </c>
      <c r="J11" s="10" t="s">
        <v>26</v>
      </c>
      <c r="K11" s="10" t="s">
        <v>26</v>
      </c>
      <c r="L11" s="10" t="s">
        <v>26</v>
      </c>
      <c r="M11" s="10" t="s">
        <v>26</v>
      </c>
      <c r="N11" s="10" t="s">
        <v>26</v>
      </c>
      <c r="O11" s="7" t="s">
        <v>26</v>
      </c>
      <c r="P11" s="7" t="s">
        <v>26</v>
      </c>
      <c r="Q11" s="7" t="s">
        <v>26</v>
      </c>
      <c r="R11" s="7" t="s">
        <v>26</v>
      </c>
      <c r="S11" s="7" t="s">
        <v>26</v>
      </c>
      <c r="T11" s="7" t="s">
        <v>26</v>
      </c>
      <c r="U11" s="7" t="s">
        <v>26</v>
      </c>
      <c r="V11" s="7" t="s">
        <v>26</v>
      </c>
      <c r="W11" s="7" t="s">
        <v>26</v>
      </c>
    </row>
    <row r="12">
      <c r="A12" s="8">
        <v>40483.0</v>
      </c>
      <c r="B12" s="9">
        <f>IFERROR(__xludf.DUMMYFUNCTION("""COMPUTED_VALUE"""),2411.0)</f>
        <v>2411</v>
      </c>
      <c r="C12" s="10" t="s">
        <v>26</v>
      </c>
      <c r="D12" s="11" t="s">
        <v>26</v>
      </c>
      <c r="E12" s="11" t="s">
        <v>26</v>
      </c>
      <c r="F12" s="10" t="s">
        <v>26</v>
      </c>
      <c r="G12" s="10" t="s">
        <v>26</v>
      </c>
      <c r="H12" s="10" t="s">
        <v>26</v>
      </c>
      <c r="I12" s="10" t="s">
        <v>26</v>
      </c>
      <c r="J12" s="10" t="s">
        <v>26</v>
      </c>
      <c r="K12" s="10" t="s">
        <v>26</v>
      </c>
      <c r="L12" s="10" t="s">
        <v>26</v>
      </c>
      <c r="M12" s="10" t="s">
        <v>26</v>
      </c>
      <c r="N12" s="10" t="s">
        <v>26</v>
      </c>
      <c r="O12" s="7" t="s">
        <v>26</v>
      </c>
      <c r="P12" s="7" t="s">
        <v>26</v>
      </c>
      <c r="Q12" s="7" t="s">
        <v>26</v>
      </c>
      <c r="R12" s="7" t="s">
        <v>26</v>
      </c>
      <c r="S12" s="7" t="s">
        <v>26</v>
      </c>
      <c r="T12" s="7" t="s">
        <v>26</v>
      </c>
      <c r="U12" s="7" t="s">
        <v>26</v>
      </c>
      <c r="V12" s="7" t="s">
        <v>26</v>
      </c>
      <c r="W12" s="7" t="s">
        <v>26</v>
      </c>
    </row>
    <row r="13">
      <c r="A13" s="8">
        <v>40513.0</v>
      </c>
      <c r="B13" s="9">
        <f>IFERROR(__xludf.DUMMYFUNCTION("""COMPUTED_VALUE"""),1471.0)</f>
        <v>1471</v>
      </c>
      <c r="C13" s="10" t="s">
        <v>26</v>
      </c>
      <c r="D13" s="11" t="s">
        <v>26</v>
      </c>
      <c r="E13" s="11" t="s">
        <v>26</v>
      </c>
      <c r="F13" s="10" t="s">
        <v>26</v>
      </c>
      <c r="G13" s="10" t="s">
        <v>26</v>
      </c>
      <c r="H13" s="10" t="s">
        <v>26</v>
      </c>
      <c r="I13" s="10" t="s">
        <v>26</v>
      </c>
      <c r="J13" s="10" t="s">
        <v>26</v>
      </c>
      <c r="K13" s="10" t="s">
        <v>26</v>
      </c>
      <c r="L13" s="10" t="s">
        <v>26</v>
      </c>
      <c r="M13" s="10" t="s">
        <v>26</v>
      </c>
      <c r="N13" s="10" t="s">
        <v>26</v>
      </c>
      <c r="O13" s="7" t="s">
        <v>26</v>
      </c>
      <c r="P13" s="7" t="s">
        <v>26</v>
      </c>
      <c r="Q13" s="7" t="s">
        <v>26</v>
      </c>
      <c r="R13" s="7" t="s">
        <v>26</v>
      </c>
      <c r="S13" s="7" t="s">
        <v>26</v>
      </c>
      <c r="T13" s="7" t="s">
        <v>26</v>
      </c>
      <c r="U13" s="7" t="s">
        <v>26</v>
      </c>
      <c r="V13" s="7" t="s">
        <v>26</v>
      </c>
      <c r="W13" s="7" t="s">
        <v>26</v>
      </c>
    </row>
    <row r="14">
      <c r="A14" s="8">
        <v>40544.0</v>
      </c>
      <c r="B14" s="9"/>
      <c r="C14" s="10" t="s">
        <v>26</v>
      </c>
      <c r="D14" s="11" t="s">
        <v>26</v>
      </c>
      <c r="E14" s="11" t="s">
        <v>26</v>
      </c>
      <c r="F14" s="10" t="s">
        <v>26</v>
      </c>
      <c r="G14" s="10" t="s">
        <v>26</v>
      </c>
      <c r="H14" s="10" t="s">
        <v>26</v>
      </c>
      <c r="I14" s="10" t="s">
        <v>26</v>
      </c>
      <c r="J14" s="10" t="s">
        <v>26</v>
      </c>
      <c r="K14" s="10" t="s">
        <v>26</v>
      </c>
      <c r="L14" s="10" t="s">
        <v>26</v>
      </c>
      <c r="M14" s="10" t="s">
        <v>26</v>
      </c>
      <c r="N14" s="10" t="s">
        <v>26</v>
      </c>
      <c r="O14" s="7" t="s">
        <v>26</v>
      </c>
      <c r="P14" s="7" t="s">
        <v>26</v>
      </c>
      <c r="Q14" s="7" t="s">
        <v>26</v>
      </c>
      <c r="R14" s="7" t="s">
        <v>26</v>
      </c>
      <c r="S14" s="7" t="s">
        <v>26</v>
      </c>
      <c r="T14" s="7" t="s">
        <v>26</v>
      </c>
      <c r="U14" s="7" t="s">
        <v>26</v>
      </c>
      <c r="V14" s="7" t="s">
        <v>26</v>
      </c>
      <c r="W14" s="7" t="s">
        <v>26</v>
      </c>
    </row>
    <row r="15">
      <c r="A15" s="8">
        <v>40575.0</v>
      </c>
      <c r="B15" s="9"/>
      <c r="C15" s="10" t="s">
        <v>26</v>
      </c>
      <c r="D15" s="11" t="s">
        <v>26</v>
      </c>
      <c r="E15" s="11" t="s">
        <v>26</v>
      </c>
      <c r="F15" s="10" t="s">
        <v>26</v>
      </c>
      <c r="G15" s="10" t="s">
        <v>26</v>
      </c>
      <c r="H15" s="10" t="s">
        <v>26</v>
      </c>
      <c r="I15" s="10" t="s">
        <v>26</v>
      </c>
      <c r="J15" s="10" t="s">
        <v>26</v>
      </c>
      <c r="K15" s="10" t="s">
        <v>26</v>
      </c>
      <c r="L15" s="10" t="s">
        <v>26</v>
      </c>
      <c r="M15" s="10" t="s">
        <v>26</v>
      </c>
      <c r="N15" s="10" t="s">
        <v>26</v>
      </c>
      <c r="O15" s="7" t="s">
        <v>26</v>
      </c>
      <c r="P15" s="7" t="s">
        <v>26</v>
      </c>
      <c r="Q15" s="7" t="s">
        <v>26</v>
      </c>
      <c r="R15" s="7" t="s">
        <v>26</v>
      </c>
      <c r="S15" s="7" t="s">
        <v>26</v>
      </c>
      <c r="T15" s="7" t="s">
        <v>26</v>
      </c>
      <c r="U15" s="7" t="s">
        <v>26</v>
      </c>
      <c r="V15" s="7" t="s">
        <v>26</v>
      </c>
      <c r="W15" s="7" t="s">
        <v>26</v>
      </c>
    </row>
    <row r="16">
      <c r="A16" s="8">
        <v>40603.0</v>
      </c>
      <c r="B16" s="9"/>
      <c r="C16" s="10" t="s">
        <v>26</v>
      </c>
      <c r="D16" s="11" t="s">
        <v>26</v>
      </c>
      <c r="E16" s="11" t="s">
        <v>26</v>
      </c>
      <c r="F16" s="10" t="s">
        <v>26</v>
      </c>
      <c r="G16" s="10" t="s">
        <v>26</v>
      </c>
      <c r="H16" s="10" t="s">
        <v>26</v>
      </c>
      <c r="I16" s="10" t="s">
        <v>26</v>
      </c>
      <c r="J16" s="10" t="s">
        <v>26</v>
      </c>
      <c r="K16" s="10" t="s">
        <v>26</v>
      </c>
      <c r="L16" s="10" t="s">
        <v>26</v>
      </c>
      <c r="M16" s="10" t="s">
        <v>26</v>
      </c>
      <c r="N16" s="10" t="s">
        <v>26</v>
      </c>
      <c r="O16" s="7" t="s">
        <v>26</v>
      </c>
      <c r="P16" s="7" t="s">
        <v>26</v>
      </c>
      <c r="Q16" s="7" t="s">
        <v>26</v>
      </c>
      <c r="R16" s="7" t="s">
        <v>26</v>
      </c>
      <c r="S16" s="7" t="s">
        <v>26</v>
      </c>
      <c r="T16" s="7" t="s">
        <v>26</v>
      </c>
      <c r="U16" s="7" t="s">
        <v>26</v>
      </c>
      <c r="V16" s="7" t="s">
        <v>26</v>
      </c>
      <c r="W16" s="7" t="s">
        <v>26</v>
      </c>
    </row>
    <row r="17">
      <c r="A17" s="8">
        <v>40634.0</v>
      </c>
      <c r="B17" s="9"/>
      <c r="C17" s="10" t="s">
        <v>26</v>
      </c>
      <c r="D17" s="11" t="s">
        <v>26</v>
      </c>
      <c r="E17" s="11" t="s">
        <v>26</v>
      </c>
      <c r="F17" s="10" t="s">
        <v>26</v>
      </c>
      <c r="G17" s="10" t="s">
        <v>26</v>
      </c>
      <c r="H17" s="10" t="s">
        <v>26</v>
      </c>
      <c r="I17" s="10" t="s">
        <v>26</v>
      </c>
      <c r="J17" s="10" t="s">
        <v>26</v>
      </c>
      <c r="K17" s="10" t="s">
        <v>26</v>
      </c>
      <c r="L17" s="10" t="s">
        <v>26</v>
      </c>
      <c r="M17" s="10" t="s">
        <v>26</v>
      </c>
      <c r="N17" s="10" t="s">
        <v>26</v>
      </c>
      <c r="O17" s="7" t="s">
        <v>26</v>
      </c>
      <c r="P17" s="7" t="s">
        <v>26</v>
      </c>
      <c r="Q17" s="7" t="s">
        <v>26</v>
      </c>
      <c r="R17" s="7" t="s">
        <v>26</v>
      </c>
      <c r="S17" s="7" t="s">
        <v>26</v>
      </c>
      <c r="T17" s="7" t="s">
        <v>26</v>
      </c>
      <c r="U17" s="7" t="s">
        <v>26</v>
      </c>
      <c r="V17" s="7" t="s">
        <v>26</v>
      </c>
      <c r="W17" s="7" t="s">
        <v>26</v>
      </c>
    </row>
    <row r="18">
      <c r="A18" s="8">
        <v>40664.0</v>
      </c>
      <c r="B18" s="9">
        <f>IFERROR(__xludf.DUMMYFUNCTION("""COMPUTED_VALUE"""),135.0)</f>
        <v>135</v>
      </c>
      <c r="C18" s="10" t="s">
        <v>26</v>
      </c>
      <c r="D18" s="11" t="s">
        <v>26</v>
      </c>
      <c r="E18" s="11" t="s">
        <v>26</v>
      </c>
      <c r="F18" s="10" t="s">
        <v>26</v>
      </c>
      <c r="G18" s="10" t="s">
        <v>26</v>
      </c>
      <c r="H18" s="10" t="s">
        <v>26</v>
      </c>
      <c r="I18" s="10" t="s">
        <v>26</v>
      </c>
      <c r="J18" s="10" t="s">
        <v>26</v>
      </c>
      <c r="K18" s="10" t="s">
        <v>26</v>
      </c>
      <c r="L18" s="10" t="s">
        <v>26</v>
      </c>
      <c r="M18" s="10" t="s">
        <v>26</v>
      </c>
      <c r="N18" s="10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26</v>
      </c>
      <c r="T18" s="7" t="s">
        <v>26</v>
      </c>
      <c r="U18" s="7" t="s">
        <v>26</v>
      </c>
      <c r="V18" s="7" t="s">
        <v>26</v>
      </c>
      <c r="W18" s="7" t="s">
        <v>26</v>
      </c>
    </row>
    <row r="19">
      <c r="A19" s="8">
        <v>40695.0</v>
      </c>
      <c r="B19" s="9"/>
      <c r="C19" s="10" t="s">
        <v>26</v>
      </c>
      <c r="D19" s="11" t="s">
        <v>26</v>
      </c>
      <c r="E19" s="11" t="s">
        <v>26</v>
      </c>
      <c r="F19" s="10" t="s">
        <v>26</v>
      </c>
      <c r="G19" s="10" t="s">
        <v>26</v>
      </c>
      <c r="H19" s="10" t="s">
        <v>26</v>
      </c>
      <c r="I19" s="10" t="s">
        <v>26</v>
      </c>
      <c r="J19" s="10" t="s">
        <v>26</v>
      </c>
      <c r="K19" s="10" t="s">
        <v>26</v>
      </c>
      <c r="L19" s="10" t="s">
        <v>26</v>
      </c>
      <c r="M19" s="10" t="s">
        <v>26</v>
      </c>
      <c r="N19" s="10" t="s">
        <v>26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7" t="s">
        <v>26</v>
      </c>
      <c r="V19" s="7" t="s">
        <v>26</v>
      </c>
      <c r="W19" s="7" t="s">
        <v>26</v>
      </c>
    </row>
    <row r="20">
      <c r="A20" s="8">
        <v>40725.0</v>
      </c>
      <c r="B20" s="9"/>
      <c r="C20" s="10" t="s">
        <v>26</v>
      </c>
      <c r="D20" s="11" t="s">
        <v>26</v>
      </c>
      <c r="E20" s="11" t="s">
        <v>26</v>
      </c>
      <c r="F20" s="10" t="s">
        <v>26</v>
      </c>
      <c r="G20" s="10" t="s">
        <v>26</v>
      </c>
      <c r="H20" s="10" t="s">
        <v>26</v>
      </c>
      <c r="I20" s="10" t="s">
        <v>26</v>
      </c>
      <c r="J20" s="10" t="s">
        <v>26</v>
      </c>
      <c r="K20" s="10" t="s">
        <v>26</v>
      </c>
      <c r="L20" s="10" t="s">
        <v>26</v>
      </c>
      <c r="M20" s="10" t="s">
        <v>26</v>
      </c>
      <c r="N20" s="10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7" t="s">
        <v>26</v>
      </c>
      <c r="V20" s="7" t="s">
        <v>26</v>
      </c>
      <c r="W20" s="7" t="s">
        <v>26</v>
      </c>
    </row>
    <row r="21">
      <c r="A21" s="8">
        <v>40756.0</v>
      </c>
      <c r="B21" s="9">
        <f>IFERROR(__xludf.DUMMYFUNCTION("""COMPUTED_VALUE"""),22.0)</f>
        <v>22</v>
      </c>
      <c r="C21" s="12">
        <v>534.0</v>
      </c>
      <c r="D21" s="13">
        <v>512.780866011195</v>
      </c>
      <c r="E21" s="13">
        <v>534.000131356729</v>
      </c>
      <c r="F21" s="12">
        <v>381.939466657484</v>
      </c>
      <c r="G21" s="12">
        <v>534.000023945518</v>
      </c>
      <c r="H21" s="12">
        <v>316.346729813554</v>
      </c>
      <c r="I21" s="12">
        <v>551.580793342791</v>
      </c>
      <c r="J21" s="12">
        <v>245.275312254307</v>
      </c>
      <c r="K21" s="12">
        <v>534.0</v>
      </c>
      <c r="L21" s="12">
        <v>525.750209039171</v>
      </c>
      <c r="M21" s="12">
        <v>424.0</v>
      </c>
      <c r="N21" s="12">
        <v>546.600000557223</v>
      </c>
      <c r="O21" s="7">
        <v>401.523651933063</v>
      </c>
      <c r="P21" s="7">
        <v>534.0</v>
      </c>
      <c r="Q21" s="7">
        <v>0.0</v>
      </c>
      <c r="R21" s="7">
        <v>61.3121517429828</v>
      </c>
      <c r="S21" s="7">
        <v>413.0</v>
      </c>
      <c r="T21" s="7">
        <v>534.0</v>
      </c>
      <c r="U21" s="7">
        <v>571.188513377989</v>
      </c>
      <c r="V21" s="7">
        <v>534.0</v>
      </c>
      <c r="W21" s="7">
        <v>525.486066927165</v>
      </c>
    </row>
    <row r="22">
      <c r="A22" s="8">
        <v>40787.0</v>
      </c>
      <c r="B22" s="9"/>
      <c r="C22" s="12">
        <v>534.0</v>
      </c>
      <c r="D22" s="13">
        <v>509.982640702553</v>
      </c>
      <c r="E22" s="13">
        <v>457.0</v>
      </c>
      <c r="F22" s="12">
        <v>377.939466657484</v>
      </c>
      <c r="G22" s="12">
        <v>534.000023945518</v>
      </c>
      <c r="H22" s="12">
        <v>448.081974825388</v>
      </c>
      <c r="I22" s="12">
        <v>545.01973680108</v>
      </c>
      <c r="J22" s="12">
        <v>286.253032338325</v>
      </c>
      <c r="K22" s="12">
        <v>534.0</v>
      </c>
      <c r="L22" s="12">
        <v>525.750209039171</v>
      </c>
      <c r="M22" s="12">
        <v>424.0</v>
      </c>
      <c r="N22" s="12">
        <v>546.600000557223</v>
      </c>
      <c r="O22" s="7">
        <v>401.523651933063</v>
      </c>
      <c r="P22" s="7">
        <v>685.419424228117</v>
      </c>
      <c r="Q22" s="7">
        <v>0.0</v>
      </c>
      <c r="R22" s="7">
        <v>53.8704304697098</v>
      </c>
      <c r="S22" s="7">
        <v>413.0</v>
      </c>
      <c r="T22" s="7">
        <v>534.0</v>
      </c>
      <c r="U22" s="7">
        <v>571.188513377989</v>
      </c>
      <c r="V22" s="7">
        <v>534.0</v>
      </c>
      <c r="W22" s="7">
        <v>706.488717955164</v>
      </c>
    </row>
    <row r="23">
      <c r="A23" s="8">
        <v>40817.0</v>
      </c>
      <c r="B23" s="9">
        <f>IFERROR(__xludf.DUMMYFUNCTION("""COMPUTED_VALUE"""),76.0)</f>
        <v>76</v>
      </c>
      <c r="C23" s="12">
        <v>534.0</v>
      </c>
      <c r="D23" s="13">
        <v>515.067452945351</v>
      </c>
      <c r="E23" s="13">
        <v>118.0</v>
      </c>
      <c r="F23" s="12">
        <v>412.939466657484</v>
      </c>
      <c r="G23" s="12">
        <v>534.000023945518</v>
      </c>
      <c r="H23" s="12">
        <v>687.40288627163</v>
      </c>
      <c r="I23" s="12">
        <v>546.588209405381</v>
      </c>
      <c r="J23" s="12">
        <v>373.23676449999</v>
      </c>
      <c r="K23" s="12">
        <v>534.0</v>
      </c>
      <c r="L23" s="12">
        <v>525.750209039171</v>
      </c>
      <c r="M23" s="12">
        <v>424.0</v>
      </c>
      <c r="N23" s="12">
        <v>534.600000557223</v>
      </c>
      <c r="O23" s="7">
        <v>401.523651933063</v>
      </c>
      <c r="P23" s="7">
        <v>544.004451142352</v>
      </c>
      <c r="Q23" s="7">
        <v>0.0</v>
      </c>
      <c r="R23" s="7">
        <v>56.2265025476025</v>
      </c>
      <c r="S23" s="7">
        <v>413.0</v>
      </c>
      <c r="T23" s="7">
        <v>534.0</v>
      </c>
      <c r="U23" s="7">
        <v>571.188513377989</v>
      </c>
      <c r="V23" s="7">
        <v>534.0</v>
      </c>
      <c r="W23" s="7">
        <v>563.94188292746</v>
      </c>
    </row>
    <row r="24">
      <c r="A24" s="8">
        <v>40848.0</v>
      </c>
      <c r="B24" s="9">
        <f>IFERROR(__xludf.DUMMYFUNCTION("""COMPUTED_VALUE"""),196.0)</f>
        <v>196</v>
      </c>
      <c r="C24" s="12">
        <v>534.0</v>
      </c>
      <c r="D24" s="13">
        <v>469.503945572237</v>
      </c>
      <c r="E24" s="13">
        <v>224.0</v>
      </c>
      <c r="F24" s="12">
        <v>462.939466657484</v>
      </c>
      <c r="G24" s="12">
        <v>534.000023945518</v>
      </c>
      <c r="H24" s="12">
        <v>309.567900739188</v>
      </c>
      <c r="I24" s="12">
        <v>545.79818664615</v>
      </c>
      <c r="J24" s="12">
        <v>217.594631562297</v>
      </c>
      <c r="K24" s="12">
        <v>534.0</v>
      </c>
      <c r="L24" s="12">
        <v>525.750209039171</v>
      </c>
      <c r="M24" s="12">
        <v>424.0</v>
      </c>
      <c r="N24" s="12">
        <v>546.600000557223</v>
      </c>
      <c r="O24" s="7">
        <v>403.975311147266</v>
      </c>
      <c r="P24" s="7">
        <v>745.126910770999</v>
      </c>
      <c r="Q24" s="7">
        <v>0.0</v>
      </c>
      <c r="R24" s="7">
        <v>28.2807802653733</v>
      </c>
      <c r="S24" s="7">
        <v>413.0</v>
      </c>
      <c r="T24" s="7">
        <v>534.0</v>
      </c>
      <c r="U24" s="7">
        <v>571.188513377989</v>
      </c>
      <c r="V24" s="7">
        <v>534.0</v>
      </c>
      <c r="W24" s="7">
        <v>547.016807637592</v>
      </c>
    </row>
    <row r="25">
      <c r="A25" s="8">
        <v>40878.0</v>
      </c>
      <c r="B25" s="9"/>
      <c r="C25" s="12">
        <v>534.0</v>
      </c>
      <c r="D25" s="13">
        <v>446.002552396654</v>
      </c>
      <c r="E25" s="13">
        <v>237.0</v>
      </c>
      <c r="F25" s="12">
        <v>631.939466657484</v>
      </c>
      <c r="G25" s="12">
        <v>534.000023945518</v>
      </c>
      <c r="H25" s="12">
        <v>397.410227494507</v>
      </c>
      <c r="I25" s="12">
        <v>542.624984343108</v>
      </c>
      <c r="J25" s="12">
        <v>279.395030742896</v>
      </c>
      <c r="K25" s="12">
        <v>534.0</v>
      </c>
      <c r="L25" s="12">
        <v>555.808264819589</v>
      </c>
      <c r="M25" s="12">
        <v>424.0</v>
      </c>
      <c r="N25" s="12">
        <v>546.600000557223</v>
      </c>
      <c r="O25" s="7">
        <v>403.975311147266</v>
      </c>
      <c r="P25" s="7">
        <v>534.0</v>
      </c>
      <c r="Q25" s="7">
        <v>0.0</v>
      </c>
      <c r="R25" s="7">
        <v>109.897226655942</v>
      </c>
      <c r="S25" s="7">
        <v>420.430836586186</v>
      </c>
      <c r="T25" s="7">
        <v>534.0</v>
      </c>
      <c r="U25" s="7">
        <v>571.188513377989</v>
      </c>
      <c r="V25" s="7">
        <v>534.0</v>
      </c>
      <c r="W25" s="7">
        <v>533.101176279569</v>
      </c>
    </row>
    <row r="26">
      <c r="A26" s="8">
        <v>40909.0</v>
      </c>
      <c r="B26" s="9">
        <f>IFERROR(__xludf.DUMMYFUNCTION("""COMPUTED_VALUE"""),653.0)</f>
        <v>653</v>
      </c>
      <c r="C26" s="12">
        <v>534.0</v>
      </c>
      <c r="D26" s="13">
        <v>502.300884872649</v>
      </c>
      <c r="E26" s="13">
        <v>534.000131356729</v>
      </c>
      <c r="F26" s="12">
        <v>409.061964590505</v>
      </c>
      <c r="G26" s="12">
        <v>534.000023945518</v>
      </c>
      <c r="H26" s="12">
        <v>580.162798245234</v>
      </c>
      <c r="I26" s="12">
        <v>545.394644382726</v>
      </c>
      <c r="J26" s="12">
        <v>286.09944811044</v>
      </c>
      <c r="K26" s="12">
        <v>534.0</v>
      </c>
      <c r="L26" s="12">
        <v>525.750209039171</v>
      </c>
      <c r="M26" s="12">
        <v>424.0</v>
      </c>
      <c r="N26" s="12">
        <v>546.600000557223</v>
      </c>
      <c r="O26" s="7">
        <v>410.366325666829</v>
      </c>
      <c r="P26" s="7">
        <v>534.0</v>
      </c>
      <c r="Q26" s="7">
        <v>225.573243415526</v>
      </c>
      <c r="R26" s="7">
        <v>152.429771074027</v>
      </c>
      <c r="S26" s="7">
        <v>440.936141544706</v>
      </c>
      <c r="T26" s="7">
        <v>534.0</v>
      </c>
      <c r="U26" s="7">
        <v>571.188513377989</v>
      </c>
      <c r="V26" s="7">
        <v>534.0</v>
      </c>
      <c r="W26" s="7">
        <v>533.267538209398</v>
      </c>
    </row>
    <row r="27">
      <c r="A27" s="8">
        <v>40940.0</v>
      </c>
      <c r="B27" s="9">
        <f>IFERROR(__xludf.DUMMYFUNCTION("""COMPUTED_VALUE"""),706.0)</f>
        <v>706</v>
      </c>
      <c r="C27" s="12">
        <v>534.0</v>
      </c>
      <c r="D27" s="13">
        <v>495.91156731435</v>
      </c>
      <c r="E27" s="13">
        <v>534.000131356729</v>
      </c>
      <c r="F27" s="12">
        <v>163.554311386842</v>
      </c>
      <c r="G27" s="12">
        <v>534.000023945518</v>
      </c>
      <c r="H27" s="12">
        <v>217.418333279707</v>
      </c>
      <c r="I27" s="12">
        <v>546.682373994792</v>
      </c>
      <c r="J27" s="12">
        <v>259.858538903221</v>
      </c>
      <c r="K27" s="12">
        <v>534.0</v>
      </c>
      <c r="L27" s="12">
        <v>528.485271100073</v>
      </c>
      <c r="M27" s="12">
        <v>424.0</v>
      </c>
      <c r="N27" s="12">
        <v>546.600000557223</v>
      </c>
      <c r="O27" s="7">
        <v>208.251724724381</v>
      </c>
      <c r="P27" s="7">
        <v>534.0</v>
      </c>
      <c r="Q27" s="7">
        <v>0.0</v>
      </c>
      <c r="R27" s="7">
        <v>560.075755032055</v>
      </c>
      <c r="S27" s="7">
        <v>214.454422622015</v>
      </c>
      <c r="T27" s="7">
        <v>534.0</v>
      </c>
      <c r="U27" s="7">
        <v>571.188513377989</v>
      </c>
      <c r="V27" s="7">
        <v>534.0</v>
      </c>
      <c r="W27" s="7">
        <v>343.997101094476</v>
      </c>
    </row>
    <row r="28">
      <c r="A28" s="8">
        <v>40969.0</v>
      </c>
      <c r="B28" s="9">
        <f>IFERROR(__xludf.DUMMYFUNCTION("""COMPUTED_VALUE"""),257.0)</f>
        <v>257</v>
      </c>
      <c r="C28" s="12">
        <v>534.0</v>
      </c>
      <c r="D28" s="13">
        <v>503.703973435749</v>
      </c>
      <c r="E28" s="13">
        <v>534.000131356729</v>
      </c>
      <c r="F28" s="12">
        <v>257.120690019099</v>
      </c>
      <c r="G28" s="12">
        <v>534.000023945518</v>
      </c>
      <c r="H28" s="12">
        <v>386.346395655822</v>
      </c>
      <c r="I28" s="12">
        <v>523.316907564975</v>
      </c>
      <c r="J28" s="12">
        <v>289.8377565969</v>
      </c>
      <c r="K28" s="12">
        <v>534.0</v>
      </c>
      <c r="L28" s="12">
        <v>552.272022963069</v>
      </c>
      <c r="M28" s="12">
        <v>424.0</v>
      </c>
      <c r="N28" s="12">
        <v>546.600000557223</v>
      </c>
      <c r="O28" s="7">
        <v>282.210139624533</v>
      </c>
      <c r="P28" s="7">
        <v>534.0</v>
      </c>
      <c r="Q28" s="7">
        <v>1.6</v>
      </c>
      <c r="R28" s="7">
        <v>212.027867547819</v>
      </c>
      <c r="S28" s="7">
        <v>386.638148041389</v>
      </c>
      <c r="T28" s="7">
        <v>534.0</v>
      </c>
      <c r="U28" s="7">
        <v>571.188513377989</v>
      </c>
      <c r="V28" s="7">
        <v>534.0</v>
      </c>
      <c r="W28" s="7">
        <v>371.812875900992</v>
      </c>
    </row>
    <row r="29">
      <c r="A29" s="8">
        <v>41000.0</v>
      </c>
      <c r="B29" s="9">
        <f>IFERROR(__xludf.DUMMYFUNCTION("""COMPUTED_VALUE"""),142.0)</f>
        <v>142</v>
      </c>
      <c r="C29" s="12">
        <v>534.0</v>
      </c>
      <c r="D29" s="13">
        <v>522.337696858246</v>
      </c>
      <c r="E29" s="13">
        <v>534.000131356729</v>
      </c>
      <c r="F29" s="12">
        <v>-49.3816269633686</v>
      </c>
      <c r="G29" s="12">
        <v>534.000023945518</v>
      </c>
      <c r="H29" s="12">
        <v>-83.8065880978522</v>
      </c>
      <c r="I29" s="12">
        <v>546.163483212069</v>
      </c>
      <c r="J29" s="12">
        <v>245.697957133738</v>
      </c>
      <c r="K29" s="12">
        <v>534.0</v>
      </c>
      <c r="L29" s="12">
        <v>525.750209039171</v>
      </c>
      <c r="M29" s="12">
        <v>424.0</v>
      </c>
      <c r="N29" s="12">
        <v>497.600000557223</v>
      </c>
      <c r="O29" s="7">
        <v>-69.6460846055269</v>
      </c>
      <c r="P29" s="7">
        <v>534.0</v>
      </c>
      <c r="Q29" s="7">
        <v>12.0089450899926</v>
      </c>
      <c r="R29" s="7">
        <v>16.2314448872668</v>
      </c>
      <c r="S29" s="7">
        <v>294.28575666769</v>
      </c>
      <c r="T29" s="7">
        <v>534.0</v>
      </c>
      <c r="U29" s="7">
        <v>571.188513377989</v>
      </c>
      <c r="V29" s="7">
        <v>534.0</v>
      </c>
      <c r="W29" s="7">
        <v>-209.287720238296</v>
      </c>
    </row>
    <row r="30">
      <c r="A30" s="8">
        <v>41030.0</v>
      </c>
      <c r="B30" s="9">
        <f>IFERROR(__xludf.DUMMYFUNCTION("""COMPUTED_VALUE"""),226.0)</f>
        <v>226</v>
      </c>
      <c r="C30" s="12">
        <v>534.0</v>
      </c>
      <c r="D30" s="13">
        <v>457.197768446037</v>
      </c>
      <c r="E30" s="13">
        <v>534.000131356729</v>
      </c>
      <c r="F30" s="12">
        <v>126.493111202128</v>
      </c>
      <c r="G30" s="12">
        <v>534.000023945518</v>
      </c>
      <c r="H30" s="12">
        <v>131.321742642131</v>
      </c>
      <c r="I30" s="12">
        <v>290.449792923194</v>
      </c>
      <c r="J30" s="12">
        <v>326.135276182681</v>
      </c>
      <c r="K30" s="12">
        <v>568.370323299122</v>
      </c>
      <c r="L30" s="12">
        <v>554.150651449345</v>
      </c>
      <c r="M30" s="12">
        <v>424.0</v>
      </c>
      <c r="N30" s="12">
        <v>546.600000557223</v>
      </c>
      <c r="O30" s="7">
        <v>146.365015900724</v>
      </c>
      <c r="P30" s="7">
        <v>534.0</v>
      </c>
      <c r="Q30" s="7">
        <v>568.833333333333</v>
      </c>
      <c r="R30" s="7">
        <v>29.5141267820492</v>
      </c>
      <c r="S30" s="7">
        <v>241.397240001359</v>
      </c>
      <c r="T30" s="7">
        <v>534.0</v>
      </c>
      <c r="U30" s="7">
        <v>571.188513377989</v>
      </c>
      <c r="V30" s="7">
        <v>534.0</v>
      </c>
      <c r="W30" s="7">
        <v>8.03620460881027</v>
      </c>
    </row>
    <row r="31">
      <c r="A31" s="8">
        <v>41061.0</v>
      </c>
      <c r="B31" s="9">
        <f>IFERROR(__xludf.DUMMYFUNCTION("""COMPUTED_VALUE"""),76.0)</f>
        <v>76</v>
      </c>
      <c r="C31" s="12">
        <v>534.0</v>
      </c>
      <c r="D31" s="13">
        <v>508.970637373772</v>
      </c>
      <c r="E31" s="13">
        <v>534.000131356729</v>
      </c>
      <c r="F31" s="12">
        <v>346.763765807281</v>
      </c>
      <c r="G31" s="12">
        <v>534.000023945518</v>
      </c>
      <c r="H31" s="12">
        <v>259.815797863217</v>
      </c>
      <c r="I31" s="12">
        <v>467.394644382726</v>
      </c>
      <c r="J31" s="12">
        <v>221.015234733695</v>
      </c>
      <c r="K31" s="12">
        <v>609.772952715367</v>
      </c>
      <c r="L31" s="12">
        <v>529.396958453707</v>
      </c>
      <c r="M31" s="12">
        <v>424.0</v>
      </c>
      <c r="N31" s="12">
        <v>537.600000557223</v>
      </c>
      <c r="O31" s="7">
        <v>367.012512528984</v>
      </c>
      <c r="P31" s="7">
        <v>534.0</v>
      </c>
      <c r="Q31" s="7">
        <v>568.833333333333</v>
      </c>
      <c r="R31" s="7">
        <v>25.2814656106803</v>
      </c>
      <c r="S31" s="7">
        <v>448.692410473569</v>
      </c>
      <c r="T31" s="7">
        <v>534.0</v>
      </c>
      <c r="U31" s="7">
        <v>571.188513377989</v>
      </c>
      <c r="V31" s="7">
        <v>534.0</v>
      </c>
      <c r="W31" s="7">
        <v>279.812252810884</v>
      </c>
    </row>
    <row r="32">
      <c r="A32" s="8">
        <v>41091.0</v>
      </c>
      <c r="B32" s="9">
        <f>IFERROR(__xludf.DUMMYFUNCTION("""COMPUTED_VALUE"""),133.0)</f>
        <v>133</v>
      </c>
      <c r="C32" s="12">
        <v>534.0</v>
      </c>
      <c r="D32" s="13">
        <v>524.169754900084</v>
      </c>
      <c r="E32" s="13">
        <v>135.0</v>
      </c>
      <c r="F32" s="12">
        <v>314.937210456221</v>
      </c>
      <c r="G32" s="12">
        <v>534.000023945518</v>
      </c>
      <c r="H32" s="12">
        <v>265.978031959726</v>
      </c>
      <c r="I32" s="12">
        <v>517.518330591493</v>
      </c>
      <c r="J32" s="12">
        <v>264.825148908612</v>
      </c>
      <c r="K32" s="12">
        <v>836.967693882877</v>
      </c>
      <c r="L32" s="12">
        <v>531.938632288081</v>
      </c>
      <c r="M32" s="12">
        <v>424.0</v>
      </c>
      <c r="N32" s="12">
        <v>510.600000557223</v>
      </c>
      <c r="O32" s="7">
        <v>345.661188010724</v>
      </c>
      <c r="P32" s="7">
        <v>534.0</v>
      </c>
      <c r="Q32" s="7">
        <v>23.6</v>
      </c>
      <c r="R32" s="7">
        <v>21.1795997377002</v>
      </c>
      <c r="S32" s="7">
        <v>545.012919723348</v>
      </c>
      <c r="T32" s="7">
        <v>534.0</v>
      </c>
      <c r="U32" s="7">
        <v>571.188513377989</v>
      </c>
      <c r="V32" s="7">
        <v>534.0</v>
      </c>
      <c r="W32" s="7">
        <v>302.76292021101</v>
      </c>
    </row>
    <row r="33">
      <c r="A33" s="8">
        <v>41122.0</v>
      </c>
      <c r="B33" s="9">
        <f>IFERROR(__xludf.DUMMYFUNCTION("""COMPUTED_VALUE"""),163.0)</f>
        <v>163</v>
      </c>
      <c r="C33" s="12">
        <v>534.0</v>
      </c>
      <c r="D33" s="13">
        <v>519.74670451536</v>
      </c>
      <c r="E33" s="13">
        <v>243.0</v>
      </c>
      <c r="F33" s="12">
        <v>339.282840062598</v>
      </c>
      <c r="G33" s="12">
        <v>534.000023945518</v>
      </c>
      <c r="H33" s="12">
        <v>853.025304108163</v>
      </c>
      <c r="I33" s="12">
        <v>462.748364153117</v>
      </c>
      <c r="J33" s="12">
        <v>213.273241425311</v>
      </c>
      <c r="K33" s="12">
        <v>680.233348901686</v>
      </c>
      <c r="L33" s="12">
        <v>539.176877338145</v>
      </c>
      <c r="M33" s="12">
        <v>424.0</v>
      </c>
      <c r="N33" s="12">
        <v>532.600000557223</v>
      </c>
      <c r="O33" s="7">
        <v>377.821576812527</v>
      </c>
      <c r="P33" s="7">
        <v>534.0</v>
      </c>
      <c r="Q33" s="7">
        <v>145.5</v>
      </c>
      <c r="R33" s="7">
        <v>33.858094254184</v>
      </c>
      <c r="S33" s="7">
        <v>425.246543750301</v>
      </c>
      <c r="T33" s="7">
        <v>534.0</v>
      </c>
      <c r="U33" s="7">
        <v>571.188513377989</v>
      </c>
      <c r="V33" s="7">
        <v>534.0</v>
      </c>
      <c r="W33" s="7">
        <v>317.333184437531</v>
      </c>
    </row>
    <row r="34">
      <c r="A34" s="8">
        <v>41153.0</v>
      </c>
      <c r="B34" s="9">
        <f>IFERROR(__xludf.DUMMYFUNCTION("""COMPUTED_VALUE"""),4016.0)</f>
        <v>4016</v>
      </c>
      <c r="C34" s="12">
        <v>534.0</v>
      </c>
      <c r="D34" s="13">
        <v>516.278608222304</v>
      </c>
      <c r="E34" s="13">
        <v>4017.41636600535</v>
      </c>
      <c r="F34" s="12">
        <v>3903.33058498651</v>
      </c>
      <c r="G34" s="12">
        <v>534.000023945518</v>
      </c>
      <c r="H34" s="12">
        <v>3834.67610873171</v>
      </c>
      <c r="I34" s="12">
        <v>4063.60539695826</v>
      </c>
      <c r="J34" s="12">
        <v>1008.68979821802</v>
      </c>
      <c r="K34" s="12">
        <v>4105.3567891998</v>
      </c>
      <c r="L34" s="12">
        <v>3251.77325687203</v>
      </c>
      <c r="M34" s="12">
        <v>3856.69617293714</v>
      </c>
      <c r="N34" s="12">
        <v>3671.73344405361</v>
      </c>
      <c r="O34" s="7">
        <v>549.116290959864</v>
      </c>
      <c r="P34" s="7">
        <v>3616.16691470587</v>
      </c>
      <c r="Q34" s="7">
        <v>3797.03749141589</v>
      </c>
      <c r="R34" s="7">
        <v>3470.71087342649</v>
      </c>
      <c r="S34" s="7">
        <v>603.431187036644</v>
      </c>
      <c r="T34" s="7">
        <v>2557.99017024936</v>
      </c>
      <c r="U34" s="7">
        <v>4037.01056772206</v>
      </c>
      <c r="V34" s="7">
        <v>534.0</v>
      </c>
      <c r="W34" s="7">
        <v>421.208979863661</v>
      </c>
    </row>
    <row r="35">
      <c r="A35" s="8">
        <v>41183.0</v>
      </c>
      <c r="B35" s="9"/>
      <c r="C35" s="12">
        <v>534.0</v>
      </c>
      <c r="D35" s="13">
        <v>523.136329402827</v>
      </c>
      <c r="E35" s="13">
        <v>534.000131356729</v>
      </c>
      <c r="F35" s="12">
        <v>352.437716909141</v>
      </c>
      <c r="G35" s="12">
        <v>534.000023945518</v>
      </c>
      <c r="H35" s="12">
        <v>520.730300423901</v>
      </c>
      <c r="I35" s="12">
        <v>530.074299895359</v>
      </c>
      <c r="J35" s="12">
        <v>278.374138525037</v>
      </c>
      <c r="K35" s="12">
        <v>534.0</v>
      </c>
      <c r="L35" s="12">
        <v>525.750209039171</v>
      </c>
      <c r="M35" s="12">
        <v>424.0</v>
      </c>
      <c r="N35" s="12">
        <v>537.600000557223</v>
      </c>
      <c r="O35" s="7">
        <v>372.653969371805</v>
      </c>
      <c r="P35" s="7">
        <v>534.0</v>
      </c>
      <c r="Q35" s="7">
        <v>568.833333333333</v>
      </c>
      <c r="R35" s="7">
        <v>358.528287423728</v>
      </c>
      <c r="S35" s="7">
        <v>412.830849046557</v>
      </c>
      <c r="T35" s="7">
        <v>534.0</v>
      </c>
      <c r="U35" s="7">
        <v>571.188513377989</v>
      </c>
      <c r="V35" s="7">
        <v>534.0</v>
      </c>
      <c r="W35" s="7">
        <v>457.455280116289</v>
      </c>
    </row>
    <row r="36">
      <c r="A36" s="8">
        <v>41214.0</v>
      </c>
      <c r="B36" s="9"/>
      <c r="C36" s="12">
        <v>534.0</v>
      </c>
      <c r="D36" s="13">
        <v>487.615849721757</v>
      </c>
      <c r="E36" s="13">
        <v>534.000131356729</v>
      </c>
      <c r="F36" s="12">
        <v>334.719529601252</v>
      </c>
      <c r="G36" s="12">
        <v>534.000023945518</v>
      </c>
      <c r="H36" s="12">
        <v>266.937443359076</v>
      </c>
      <c r="I36" s="12">
        <v>537.092821582074</v>
      </c>
      <c r="J36" s="12">
        <v>299.997960096346</v>
      </c>
      <c r="K36" s="12">
        <v>534.0</v>
      </c>
      <c r="L36" s="12">
        <v>525.750209039171</v>
      </c>
      <c r="M36" s="12">
        <v>331.248592521482</v>
      </c>
      <c r="N36" s="12">
        <v>546.600000557223</v>
      </c>
      <c r="O36" s="7">
        <v>366.324488494928</v>
      </c>
      <c r="P36" s="7">
        <v>534.0</v>
      </c>
      <c r="Q36" s="7">
        <v>568.833333333333</v>
      </c>
      <c r="R36" s="7">
        <v>482.861443777463</v>
      </c>
      <c r="S36" s="7">
        <v>426.14240072024</v>
      </c>
      <c r="T36" s="7">
        <v>534.0</v>
      </c>
      <c r="U36" s="7">
        <v>571.188513377989</v>
      </c>
      <c r="V36" s="7">
        <v>534.0</v>
      </c>
      <c r="W36" s="7">
        <v>473.207073599512</v>
      </c>
    </row>
    <row r="37">
      <c r="A37" s="8">
        <v>41244.0</v>
      </c>
      <c r="B37" s="9"/>
      <c r="C37" s="12">
        <v>534.0</v>
      </c>
      <c r="D37" s="13">
        <v>474.35584029103</v>
      </c>
      <c r="E37" s="13">
        <v>534.000131356729</v>
      </c>
      <c r="F37" s="12">
        <v>425.039047256878</v>
      </c>
      <c r="G37" s="12">
        <v>534.000023945518</v>
      </c>
      <c r="H37" s="12">
        <v>456.975230272925</v>
      </c>
      <c r="I37" s="12">
        <v>493.180855522281</v>
      </c>
      <c r="J37" s="12">
        <v>343.276485919941</v>
      </c>
      <c r="K37" s="12">
        <v>534.0</v>
      </c>
      <c r="L37" s="12">
        <v>525.860716597187</v>
      </c>
      <c r="M37" s="12">
        <v>430.294774423902</v>
      </c>
      <c r="N37" s="12">
        <v>546.600000557223</v>
      </c>
      <c r="O37" s="7">
        <v>401.593773722465</v>
      </c>
      <c r="P37" s="7">
        <v>534.0</v>
      </c>
      <c r="Q37" s="7">
        <v>568.833333333333</v>
      </c>
      <c r="R37" s="7">
        <v>240.972162463713</v>
      </c>
      <c r="S37" s="7">
        <v>484.421812921939</v>
      </c>
      <c r="T37" s="7">
        <v>534.0</v>
      </c>
      <c r="U37" s="7">
        <v>554.812816789277</v>
      </c>
      <c r="V37" s="7">
        <v>534.0</v>
      </c>
      <c r="W37" s="7">
        <v>510.514482873765</v>
      </c>
    </row>
    <row r="38">
      <c r="A38" s="8">
        <v>41275.0</v>
      </c>
      <c r="B38" s="9"/>
      <c r="C38" s="12">
        <v>534.0</v>
      </c>
      <c r="D38" s="13">
        <v>121.934722152493</v>
      </c>
      <c r="E38" s="13">
        <v>534.000131356729</v>
      </c>
      <c r="F38" s="12">
        <v>400.929335627628</v>
      </c>
      <c r="G38" s="12">
        <v>534.000023945518</v>
      </c>
      <c r="H38" s="12">
        <v>387.742591723352</v>
      </c>
      <c r="I38" s="12">
        <v>370.990904288177</v>
      </c>
      <c r="J38" s="12">
        <v>339.728882431671</v>
      </c>
      <c r="K38" s="12">
        <v>534.0</v>
      </c>
      <c r="L38" s="12">
        <v>530.529660923374</v>
      </c>
      <c r="M38" s="12">
        <v>426.357708141391</v>
      </c>
      <c r="N38" s="12">
        <v>541.600000557223</v>
      </c>
      <c r="O38" s="7">
        <v>399.168674895489</v>
      </c>
      <c r="P38" s="7">
        <v>534.0</v>
      </c>
      <c r="Q38" s="7">
        <v>568.833333333333</v>
      </c>
      <c r="R38" s="7">
        <v>158.883615017651</v>
      </c>
      <c r="S38" s="7">
        <v>456.192064704736</v>
      </c>
      <c r="T38" s="7">
        <v>534.0</v>
      </c>
      <c r="U38" s="7">
        <v>569.878742066681</v>
      </c>
      <c r="V38" s="7">
        <v>534.0</v>
      </c>
      <c r="W38" s="7">
        <v>480.579629068034</v>
      </c>
    </row>
    <row r="39">
      <c r="A39" s="8">
        <v>41306.0</v>
      </c>
      <c r="B39" s="9">
        <f>IFERROR(__xludf.DUMMYFUNCTION("""COMPUTED_VALUE"""),20.0)</f>
        <v>20</v>
      </c>
      <c r="C39" s="12">
        <v>534.0</v>
      </c>
      <c r="D39" s="13">
        <v>474.094609279466</v>
      </c>
      <c r="E39" s="13">
        <v>534.000131356729</v>
      </c>
      <c r="F39" s="12">
        <v>272.82037145355</v>
      </c>
      <c r="G39" s="12">
        <v>534.000023945518</v>
      </c>
      <c r="H39" s="12">
        <v>274.93807917505</v>
      </c>
      <c r="I39" s="12">
        <v>421.853090646565</v>
      </c>
      <c r="J39" s="12">
        <v>440.038711948902</v>
      </c>
      <c r="K39" s="12">
        <v>534.0</v>
      </c>
      <c r="L39" s="12">
        <v>525.750209039171</v>
      </c>
      <c r="M39" s="12">
        <v>358.915954982733</v>
      </c>
      <c r="N39" s="12">
        <v>544.600000557223</v>
      </c>
      <c r="O39" s="7">
        <v>322.414016634464</v>
      </c>
      <c r="P39" s="7">
        <v>534.0</v>
      </c>
      <c r="Q39" s="7">
        <v>82.7237215046783</v>
      </c>
      <c r="R39" s="7">
        <v>329.155919729223</v>
      </c>
      <c r="S39" s="7">
        <v>337.826591943444</v>
      </c>
      <c r="T39" s="7">
        <v>534.0</v>
      </c>
      <c r="U39" s="7">
        <v>489.594823727373</v>
      </c>
      <c r="V39" s="7">
        <v>534.0</v>
      </c>
      <c r="W39" s="7">
        <v>304.011021708498</v>
      </c>
    </row>
    <row r="40">
      <c r="A40" s="8">
        <v>41334.0</v>
      </c>
      <c r="B40" s="9"/>
      <c r="C40" s="12">
        <v>534.0</v>
      </c>
      <c r="D40" s="13">
        <v>485.559428621632</v>
      </c>
      <c r="E40" s="13">
        <v>534.000131356729</v>
      </c>
      <c r="F40" s="12">
        <v>401.712121608641</v>
      </c>
      <c r="G40" s="12">
        <v>534.000023945518</v>
      </c>
      <c r="H40" s="12">
        <v>429.288486806621</v>
      </c>
      <c r="I40" s="12">
        <v>516.034772972391</v>
      </c>
      <c r="J40" s="12">
        <v>282.428645918912</v>
      </c>
      <c r="K40" s="12">
        <v>534.0</v>
      </c>
      <c r="L40" s="12">
        <v>526.413254387268</v>
      </c>
      <c r="M40" s="12">
        <v>417.123103837771</v>
      </c>
      <c r="N40" s="12">
        <v>546.600000557223</v>
      </c>
      <c r="O40" s="7">
        <v>403.388005055687</v>
      </c>
      <c r="P40" s="7">
        <v>534.0</v>
      </c>
      <c r="Q40" s="7">
        <v>250.592061413486</v>
      </c>
      <c r="R40" s="7">
        <v>153.123726401069</v>
      </c>
      <c r="S40" s="7">
        <v>439.441276656262</v>
      </c>
      <c r="T40" s="7">
        <v>534.0</v>
      </c>
      <c r="U40" s="7">
        <v>554.284286167304</v>
      </c>
      <c r="V40" s="7">
        <v>534.0</v>
      </c>
      <c r="W40" s="7">
        <v>449.084364599476</v>
      </c>
    </row>
    <row r="41">
      <c r="A41" s="8">
        <v>41365.0</v>
      </c>
      <c r="B41" s="9"/>
      <c r="C41" s="12">
        <v>534.0</v>
      </c>
      <c r="D41" s="13">
        <v>495.242879837207</v>
      </c>
      <c r="E41" s="13">
        <v>534.000131356729</v>
      </c>
      <c r="F41" s="12">
        <v>421.797984764108</v>
      </c>
      <c r="G41" s="12">
        <v>534.000023945518</v>
      </c>
      <c r="H41" s="12">
        <v>363.160250729303</v>
      </c>
      <c r="I41" s="12">
        <v>353.102296675357</v>
      </c>
      <c r="J41" s="12">
        <v>339.262804676677</v>
      </c>
      <c r="K41" s="12">
        <v>534.0</v>
      </c>
      <c r="L41" s="12">
        <v>537.408756409885</v>
      </c>
      <c r="M41" s="12">
        <v>448.324574420856</v>
      </c>
      <c r="N41" s="12">
        <v>546.600000557223</v>
      </c>
      <c r="O41" s="7">
        <v>440.508931608143</v>
      </c>
      <c r="P41" s="7">
        <v>534.0</v>
      </c>
      <c r="Q41" s="7">
        <v>568.833333333333</v>
      </c>
      <c r="R41" s="7">
        <v>52.9256649049659</v>
      </c>
      <c r="S41" s="7">
        <v>457.171949245022</v>
      </c>
      <c r="T41" s="7">
        <v>534.0</v>
      </c>
      <c r="U41" s="7">
        <v>565.003700890534</v>
      </c>
      <c r="V41" s="7">
        <v>534.0</v>
      </c>
      <c r="W41" s="7">
        <v>336.310272955774</v>
      </c>
    </row>
    <row r="42">
      <c r="A42" s="8">
        <v>41395.0</v>
      </c>
      <c r="B42" s="9"/>
      <c r="C42" s="12">
        <v>1153.75033514062</v>
      </c>
      <c r="D42" s="13">
        <v>626.099864410832</v>
      </c>
      <c r="E42" s="13">
        <v>534.000131356729</v>
      </c>
      <c r="F42" s="12">
        <v>403.654613890872</v>
      </c>
      <c r="G42" s="12">
        <v>534.000023945518</v>
      </c>
      <c r="H42" s="12">
        <v>466.646207274563</v>
      </c>
      <c r="I42" s="12">
        <v>544.434065086136</v>
      </c>
      <c r="J42" s="12">
        <v>942.31656072554</v>
      </c>
      <c r="K42" s="12">
        <v>969.899852285509</v>
      </c>
      <c r="L42" s="12">
        <v>526.96579217735</v>
      </c>
      <c r="M42" s="12">
        <v>987.453967154215</v>
      </c>
      <c r="N42" s="12">
        <v>546.600000557223</v>
      </c>
      <c r="O42" s="7">
        <v>394.362091435264</v>
      </c>
      <c r="P42" s="7">
        <v>534.0</v>
      </c>
      <c r="Q42" s="7">
        <v>568.833333333333</v>
      </c>
      <c r="R42" s="7">
        <v>401.977514591701</v>
      </c>
      <c r="S42" s="7">
        <v>396.777237911462</v>
      </c>
      <c r="T42" s="7">
        <v>534.0</v>
      </c>
      <c r="U42" s="7">
        <v>560.720593814548</v>
      </c>
      <c r="V42" s="7">
        <v>534.0</v>
      </c>
      <c r="W42" s="7">
        <v>589.959341658734</v>
      </c>
    </row>
    <row r="43">
      <c r="A43" s="8">
        <v>41426.0</v>
      </c>
      <c r="B43" s="9"/>
      <c r="C43" s="12">
        <v>534.0</v>
      </c>
      <c r="D43" s="13">
        <v>262.712534920408</v>
      </c>
      <c r="E43" s="13">
        <v>534.000131356729</v>
      </c>
      <c r="F43" s="12">
        <v>588.624285288444</v>
      </c>
      <c r="G43" s="12">
        <v>534.000023945518</v>
      </c>
      <c r="H43" s="12">
        <v>444.407742092375</v>
      </c>
      <c r="I43" s="12">
        <v>533.674490653755</v>
      </c>
      <c r="J43" s="12">
        <v>383.383122442925</v>
      </c>
      <c r="K43" s="12">
        <v>534.0</v>
      </c>
      <c r="L43" s="12">
        <v>525.888343486691</v>
      </c>
      <c r="M43" s="12">
        <v>431.883728875504</v>
      </c>
      <c r="N43" s="12">
        <v>546.600000557223</v>
      </c>
      <c r="O43" s="7">
        <v>443.822295972522</v>
      </c>
      <c r="P43" s="7">
        <v>534.0</v>
      </c>
      <c r="Q43" s="7">
        <v>568.833333333333</v>
      </c>
      <c r="R43" s="7">
        <v>230.539117733664</v>
      </c>
      <c r="S43" s="7">
        <v>612.188740503358</v>
      </c>
      <c r="T43" s="7">
        <v>534.0</v>
      </c>
      <c r="U43" s="7">
        <v>506.287772875435</v>
      </c>
      <c r="V43" s="7">
        <v>534.0</v>
      </c>
      <c r="W43" s="7">
        <v>455.937021449758</v>
      </c>
    </row>
    <row r="44">
      <c r="A44" s="8">
        <v>41456.0</v>
      </c>
      <c r="B44" s="9"/>
      <c r="C44" s="12">
        <v>534.0</v>
      </c>
      <c r="D44" s="13">
        <v>411.833032208081</v>
      </c>
      <c r="E44" s="13">
        <v>534.000131356729</v>
      </c>
      <c r="F44" s="12">
        <v>391.66738291536</v>
      </c>
      <c r="G44" s="12">
        <v>534.000023945518</v>
      </c>
      <c r="H44" s="12">
        <v>305.666074676619</v>
      </c>
      <c r="I44" s="12">
        <v>490.622349369232</v>
      </c>
      <c r="J44" s="12">
        <v>280.54301877778</v>
      </c>
      <c r="K44" s="12">
        <v>534.0</v>
      </c>
      <c r="L44" s="12">
        <v>525.750209039171</v>
      </c>
      <c r="M44" s="12">
        <v>330.142753455321</v>
      </c>
      <c r="N44" s="12">
        <v>530.600000557223</v>
      </c>
      <c r="O44" s="7">
        <v>394.325973706102</v>
      </c>
      <c r="P44" s="7">
        <v>534.0</v>
      </c>
      <c r="Q44" s="7">
        <v>568.833333333333</v>
      </c>
      <c r="R44" s="7">
        <v>54.4398798778015</v>
      </c>
      <c r="S44" s="7">
        <v>20835.8765949154</v>
      </c>
      <c r="T44" s="7">
        <v>534.0</v>
      </c>
      <c r="U44" s="7">
        <v>512.484418687681</v>
      </c>
      <c r="V44" s="7">
        <v>534.0</v>
      </c>
      <c r="W44" s="7">
        <v>382.950681527295</v>
      </c>
    </row>
    <row r="45">
      <c r="A45" s="8">
        <v>41487.0</v>
      </c>
      <c r="B45" s="9"/>
      <c r="C45" s="12">
        <v>534.0</v>
      </c>
      <c r="D45" s="13">
        <v>435.215776488911</v>
      </c>
      <c r="E45" s="13">
        <v>534.000131356729</v>
      </c>
      <c r="F45" s="12">
        <v>374.629996191453</v>
      </c>
      <c r="G45" s="12">
        <v>534.000023945518</v>
      </c>
      <c r="H45" s="12">
        <v>384.279826813745</v>
      </c>
      <c r="I45" s="12">
        <v>545.444649348469</v>
      </c>
      <c r="J45" s="12">
        <v>306.141566680885</v>
      </c>
      <c r="K45" s="12">
        <v>534.0</v>
      </c>
      <c r="L45" s="12">
        <v>525.943597265699</v>
      </c>
      <c r="M45" s="12">
        <v>386.158625912766</v>
      </c>
      <c r="N45" s="12">
        <v>528.600000557223</v>
      </c>
      <c r="O45" s="7">
        <v>297.131816097902</v>
      </c>
      <c r="P45" s="7">
        <v>534.0</v>
      </c>
      <c r="Q45" s="7">
        <v>568.833333333333</v>
      </c>
      <c r="R45" s="7">
        <v>256.985008159363</v>
      </c>
      <c r="S45" s="7">
        <v>2581.59968446086</v>
      </c>
      <c r="T45" s="7">
        <v>534.0</v>
      </c>
      <c r="U45" s="7">
        <v>515.124847536914</v>
      </c>
      <c r="V45" s="7">
        <v>534.0</v>
      </c>
      <c r="W45" s="7">
        <v>368.538456213867</v>
      </c>
    </row>
    <row r="46">
      <c r="A46" s="8">
        <v>41518.0</v>
      </c>
      <c r="B46" s="9">
        <f>IFERROR(__xludf.DUMMYFUNCTION("""COMPUTED_VALUE"""),318.0)</f>
        <v>318</v>
      </c>
      <c r="C46" s="12">
        <v>534.0</v>
      </c>
      <c r="D46" s="13">
        <v>422.420640869109</v>
      </c>
      <c r="E46" s="13">
        <v>534.000131356729</v>
      </c>
      <c r="F46" s="12">
        <v>502.799825167424</v>
      </c>
      <c r="G46" s="12">
        <v>534.000023945518</v>
      </c>
      <c r="H46" s="12">
        <v>203.407215344516</v>
      </c>
      <c r="I46" s="12">
        <v>445.447771977119</v>
      </c>
      <c r="J46" s="12">
        <v>262.963903553624</v>
      </c>
      <c r="K46" s="12">
        <v>534.0</v>
      </c>
      <c r="L46" s="12">
        <v>525.750209039171</v>
      </c>
      <c r="M46" s="12">
        <v>298.762329109812</v>
      </c>
      <c r="N46" s="12">
        <v>534.600000557223</v>
      </c>
      <c r="O46" s="7">
        <v>303.009492542344</v>
      </c>
      <c r="P46" s="7">
        <v>534.0</v>
      </c>
      <c r="Q46" s="7">
        <v>568.833333333333</v>
      </c>
      <c r="R46" s="7">
        <v>335.426994235177</v>
      </c>
      <c r="S46" s="7">
        <v>563.49098178897</v>
      </c>
      <c r="T46" s="7">
        <v>534.0</v>
      </c>
      <c r="U46" s="7">
        <v>487.476920879972</v>
      </c>
      <c r="V46" s="7">
        <v>534.0</v>
      </c>
      <c r="W46" s="7">
        <v>390.121618429007</v>
      </c>
    </row>
    <row r="47">
      <c r="A47" s="8">
        <v>41548.0</v>
      </c>
      <c r="B47" s="9"/>
      <c r="C47" s="12">
        <v>534.0</v>
      </c>
      <c r="D47" s="13">
        <v>471.137433014932</v>
      </c>
      <c r="E47" s="13">
        <v>534.000131356729</v>
      </c>
      <c r="F47" s="12">
        <v>357.938415014135</v>
      </c>
      <c r="G47" s="12">
        <v>534.000023945518</v>
      </c>
      <c r="H47" s="12">
        <v>293.062348258086</v>
      </c>
      <c r="I47" s="12">
        <v>484.833520306888</v>
      </c>
      <c r="J47" s="12">
        <v>663.343549003078</v>
      </c>
      <c r="K47" s="12">
        <v>534.0</v>
      </c>
      <c r="L47" s="12">
        <v>532.214901183121</v>
      </c>
      <c r="M47" s="12">
        <v>394.201182906476</v>
      </c>
      <c r="N47" s="12">
        <v>517.600000557223</v>
      </c>
      <c r="O47" s="7">
        <v>398.434003075571</v>
      </c>
      <c r="P47" s="7">
        <v>534.0</v>
      </c>
      <c r="Q47" s="7">
        <v>568.833333333333</v>
      </c>
      <c r="R47" s="7">
        <v>190.579332252755</v>
      </c>
      <c r="S47" s="7">
        <v>416.764972178406</v>
      </c>
      <c r="T47" s="7">
        <v>534.0</v>
      </c>
      <c r="U47" s="7">
        <v>549.257699187574</v>
      </c>
      <c r="V47" s="7">
        <v>534.0</v>
      </c>
      <c r="W47" s="7">
        <v>308.398127716993</v>
      </c>
    </row>
    <row r="48">
      <c r="A48" s="8">
        <v>41579.0</v>
      </c>
      <c r="B48" s="9"/>
      <c r="C48" s="12">
        <v>534.0</v>
      </c>
      <c r="D48" s="13">
        <v>358.73403348738</v>
      </c>
      <c r="E48" s="13">
        <v>534.000131356729</v>
      </c>
      <c r="F48" s="12">
        <v>335.863866983936</v>
      </c>
      <c r="G48" s="12">
        <v>534.000023945518</v>
      </c>
      <c r="H48" s="12">
        <v>324.36690598104</v>
      </c>
      <c r="I48" s="12">
        <v>362.980835933996</v>
      </c>
      <c r="J48" s="12">
        <v>457.259421687104</v>
      </c>
      <c r="K48" s="12">
        <v>534.0</v>
      </c>
      <c r="L48" s="12">
        <v>528.347136652553</v>
      </c>
      <c r="M48" s="12">
        <v>353.125838206848</v>
      </c>
      <c r="N48" s="12">
        <v>546.600000557223</v>
      </c>
      <c r="O48" s="7">
        <v>371.039957815758</v>
      </c>
      <c r="P48" s="7">
        <v>534.0</v>
      </c>
      <c r="Q48" s="7">
        <v>568.833333333333</v>
      </c>
      <c r="R48" s="7">
        <v>187.112395921012</v>
      </c>
      <c r="S48" s="7">
        <v>395.778402467963</v>
      </c>
      <c r="T48" s="7">
        <v>534.0</v>
      </c>
      <c r="U48" s="7">
        <v>531.364581120937</v>
      </c>
      <c r="V48" s="7">
        <v>534.0</v>
      </c>
      <c r="W48" s="7">
        <v>104.250084953476</v>
      </c>
    </row>
    <row r="49">
      <c r="A49" s="8">
        <v>41609.0</v>
      </c>
      <c r="B49" s="9">
        <f>IFERROR(__xludf.DUMMYFUNCTION("""COMPUTED_VALUE"""),185.0)</f>
        <v>185</v>
      </c>
      <c r="C49" s="12">
        <v>534.0</v>
      </c>
      <c r="D49" s="13">
        <v>331.284694005811</v>
      </c>
      <c r="E49" s="13">
        <v>534.000131356729</v>
      </c>
      <c r="F49" s="12">
        <v>849.645958436906</v>
      </c>
      <c r="G49" s="12">
        <v>534.000023945518</v>
      </c>
      <c r="H49" s="12">
        <v>413.560023121735</v>
      </c>
      <c r="I49" s="12">
        <v>541.605714608083</v>
      </c>
      <c r="J49" s="12">
        <v>473.938683491383</v>
      </c>
      <c r="K49" s="12">
        <v>534.0</v>
      </c>
      <c r="L49" s="12">
        <v>526.882911508837</v>
      </c>
      <c r="M49" s="12">
        <v>545.725244311743</v>
      </c>
      <c r="N49" s="12">
        <v>546.600000557223</v>
      </c>
      <c r="O49" s="7">
        <v>389.594379687237</v>
      </c>
      <c r="P49" s="7">
        <v>534.0</v>
      </c>
      <c r="Q49" s="7">
        <v>568.833333333333</v>
      </c>
      <c r="R49" s="7">
        <v>174.822779167757</v>
      </c>
      <c r="S49" s="7">
        <v>857.089641503729</v>
      </c>
      <c r="T49" s="7">
        <v>534.0</v>
      </c>
      <c r="U49" s="7">
        <v>520.132285707084</v>
      </c>
      <c r="V49" s="7">
        <v>534.0</v>
      </c>
      <c r="W49" s="7">
        <v>396.505176413183</v>
      </c>
    </row>
    <row r="50">
      <c r="A50" s="8">
        <v>41640.0</v>
      </c>
      <c r="B50" s="9">
        <f>IFERROR(__xludf.DUMMYFUNCTION("""COMPUTED_VALUE"""),264.0)</f>
        <v>264</v>
      </c>
      <c r="C50" s="12">
        <v>534.0</v>
      </c>
      <c r="D50" s="13">
        <v>338.315684332226</v>
      </c>
      <c r="E50" s="13">
        <v>534.000131356729</v>
      </c>
      <c r="F50" s="12">
        <v>605.065156594433</v>
      </c>
      <c r="G50" s="12">
        <v>534.000023945518</v>
      </c>
      <c r="H50" s="12">
        <v>463.942732176926</v>
      </c>
      <c r="I50" s="12">
        <v>389.355779931523</v>
      </c>
      <c r="J50" s="12">
        <v>660.429957652792</v>
      </c>
      <c r="K50" s="12">
        <v>534.0</v>
      </c>
      <c r="L50" s="12">
        <v>534.922336354519</v>
      </c>
      <c r="M50" s="12">
        <v>396.057716040241</v>
      </c>
      <c r="N50" s="12">
        <v>546.600000557223</v>
      </c>
      <c r="O50" s="7">
        <v>618.136592514373</v>
      </c>
      <c r="P50" s="7">
        <v>534.0</v>
      </c>
      <c r="Q50" s="7">
        <v>568.833333333333</v>
      </c>
      <c r="R50" s="7">
        <v>502.405604392754</v>
      </c>
      <c r="S50" s="7">
        <v>627.212286556</v>
      </c>
      <c r="T50" s="7">
        <v>534.0</v>
      </c>
      <c r="U50" s="7">
        <v>479.280902072921</v>
      </c>
      <c r="V50" s="7">
        <v>534.0</v>
      </c>
      <c r="W50" s="7">
        <v>186.199842195646</v>
      </c>
    </row>
    <row r="51">
      <c r="A51" s="8">
        <v>41671.0</v>
      </c>
      <c r="B51" s="9"/>
      <c r="C51" s="12">
        <v>534.0</v>
      </c>
      <c r="D51" s="13">
        <v>515.830554813136</v>
      </c>
      <c r="E51" s="13">
        <v>1522.4167141652</v>
      </c>
      <c r="F51" s="12">
        <v>343.270128262722</v>
      </c>
      <c r="G51" s="12">
        <v>534.000023945518</v>
      </c>
      <c r="H51" s="12">
        <v>224.251212148585</v>
      </c>
      <c r="I51" s="12">
        <v>539.733691765014</v>
      </c>
      <c r="J51" s="12">
        <v>693.596561437463</v>
      </c>
      <c r="K51" s="12">
        <v>2282.92190167306</v>
      </c>
      <c r="L51" s="12">
        <v>525.750209039171</v>
      </c>
      <c r="M51" s="12">
        <v>313.488853836291</v>
      </c>
      <c r="N51" s="12">
        <v>533.600000557223</v>
      </c>
      <c r="O51" s="7">
        <v>407.073119924851</v>
      </c>
      <c r="P51" s="7">
        <v>534.0</v>
      </c>
      <c r="Q51" s="7">
        <v>24.7897244906404</v>
      </c>
      <c r="R51" s="7">
        <v>801.575468376613</v>
      </c>
      <c r="S51" s="7">
        <v>331.312043257379</v>
      </c>
      <c r="T51" s="7">
        <v>534.0</v>
      </c>
      <c r="U51" s="7">
        <v>1532.7927309464</v>
      </c>
      <c r="V51" s="7">
        <v>2370.69318007644</v>
      </c>
      <c r="W51" s="7">
        <v>550.78620613526</v>
      </c>
    </row>
    <row r="52">
      <c r="A52" s="8">
        <v>41699.0</v>
      </c>
      <c r="B52" s="9">
        <f>IFERROR(__xludf.DUMMYFUNCTION("""COMPUTED_VALUE"""),1800.0)</f>
        <v>1800</v>
      </c>
      <c r="C52" s="12">
        <v>534.0</v>
      </c>
      <c r="D52" s="13">
        <v>439.560291642872</v>
      </c>
      <c r="E52" s="13">
        <v>534.000131356729</v>
      </c>
      <c r="F52" s="12">
        <v>339.955758928916</v>
      </c>
      <c r="G52" s="12">
        <v>534.000023945518</v>
      </c>
      <c r="H52" s="12">
        <v>1085.41147008164</v>
      </c>
      <c r="I52" s="12">
        <v>1222.19635228861</v>
      </c>
      <c r="J52" s="12">
        <v>305.699262747567</v>
      </c>
      <c r="K52" s="12">
        <v>1316.55007567698</v>
      </c>
      <c r="L52" s="12">
        <v>526.413254387268</v>
      </c>
      <c r="M52" s="12">
        <v>350.985139877586</v>
      </c>
      <c r="N52" s="12">
        <v>546.600000557223</v>
      </c>
      <c r="O52" s="7">
        <v>360.790174631255</v>
      </c>
      <c r="P52" s="7">
        <v>534.0</v>
      </c>
      <c r="Q52" s="7">
        <v>177.256935280777</v>
      </c>
      <c r="R52" s="7">
        <v>1030.88916113648</v>
      </c>
      <c r="S52" s="7">
        <v>388.825407960247</v>
      </c>
      <c r="T52" s="7">
        <v>1221.93225835125</v>
      </c>
      <c r="U52" s="7">
        <v>519.304303954155</v>
      </c>
      <c r="V52" s="7">
        <v>600.722749809598</v>
      </c>
      <c r="W52" s="7">
        <v>421.165375390573</v>
      </c>
    </row>
    <row r="53">
      <c r="A53" s="8">
        <v>41730.0</v>
      </c>
      <c r="B53" s="9"/>
      <c r="C53" s="12">
        <v>534.0</v>
      </c>
      <c r="D53" s="13">
        <v>343.799223921631</v>
      </c>
      <c r="E53" s="13">
        <v>534.000131356729</v>
      </c>
      <c r="F53" s="12">
        <v>322.01380635967</v>
      </c>
      <c r="G53" s="12">
        <v>534.000023945518</v>
      </c>
      <c r="H53" s="12">
        <v>373.383572978185</v>
      </c>
      <c r="I53" s="12">
        <v>536.727984012205</v>
      </c>
      <c r="J53" s="12">
        <v>536.251711072559</v>
      </c>
      <c r="K53" s="12">
        <v>534.0</v>
      </c>
      <c r="L53" s="12">
        <v>525.750209039171</v>
      </c>
      <c r="M53" s="12">
        <v>216.767426934291</v>
      </c>
      <c r="N53" s="12">
        <v>546.600000557223</v>
      </c>
      <c r="O53" s="7">
        <v>350.54281726173</v>
      </c>
      <c r="P53" s="7">
        <v>534.0</v>
      </c>
      <c r="Q53" s="7">
        <v>568.833333333333</v>
      </c>
      <c r="R53" s="7">
        <v>445.193587765839</v>
      </c>
      <c r="S53" s="7">
        <v>366.450428875414</v>
      </c>
      <c r="T53" s="7">
        <v>534.0</v>
      </c>
      <c r="U53" s="7">
        <v>385.99356524707</v>
      </c>
      <c r="V53" s="7">
        <v>534.0</v>
      </c>
      <c r="W53" s="7">
        <v>436.44746612724</v>
      </c>
    </row>
    <row r="54">
      <c r="A54" s="8">
        <v>41760.0</v>
      </c>
      <c r="B54" s="9">
        <f>IFERROR(__xludf.DUMMYFUNCTION("""COMPUTED_VALUE"""),117.0)</f>
        <v>117</v>
      </c>
      <c r="C54" s="12">
        <v>534.0</v>
      </c>
      <c r="D54" s="13">
        <v>82.5078852982404</v>
      </c>
      <c r="E54" s="13">
        <v>534.000131356729</v>
      </c>
      <c r="F54" s="12">
        <v>-816.896138808975</v>
      </c>
      <c r="G54" s="12">
        <v>534.000023945518</v>
      </c>
      <c r="H54" s="12">
        <v>-560.831063701528</v>
      </c>
      <c r="I54" s="12">
        <v>158.108336677693</v>
      </c>
      <c r="J54" s="12">
        <v>234.114246566718</v>
      </c>
      <c r="K54" s="12">
        <v>534.0</v>
      </c>
      <c r="L54" s="12">
        <v>555.310980808516</v>
      </c>
      <c r="M54" s="12">
        <v>-374.63883089353</v>
      </c>
      <c r="N54" s="12">
        <v>520.600000557223</v>
      </c>
      <c r="O54" s="7">
        <v>-781.362545821617</v>
      </c>
      <c r="P54" s="7">
        <v>534.0</v>
      </c>
      <c r="Q54" s="7">
        <v>568.833333333333</v>
      </c>
      <c r="R54" s="7">
        <v>68.2040272259915</v>
      </c>
      <c r="S54" s="7">
        <v>-824.775565623062</v>
      </c>
      <c r="T54" s="7">
        <v>534.0</v>
      </c>
      <c r="U54" s="7">
        <v>218.067158204985</v>
      </c>
      <c r="V54" s="7">
        <v>534.0</v>
      </c>
      <c r="W54" s="7">
        <v>-744.47025427212</v>
      </c>
    </row>
    <row r="55">
      <c r="A55" s="8">
        <v>41791.0</v>
      </c>
      <c r="B55" s="9">
        <f>IFERROR(__xludf.DUMMYFUNCTION("""COMPUTED_VALUE"""),579.0)</f>
        <v>579</v>
      </c>
      <c r="C55" s="12">
        <v>534.0</v>
      </c>
      <c r="D55" s="13">
        <v>300.210784228921</v>
      </c>
      <c r="E55" s="13">
        <v>534.000131356729</v>
      </c>
      <c r="F55" s="12">
        <v>370.686137935197</v>
      </c>
      <c r="G55" s="12">
        <v>534.000023945518</v>
      </c>
      <c r="H55" s="12">
        <v>1527.81080237433</v>
      </c>
      <c r="I55" s="12">
        <v>833.555168172083</v>
      </c>
      <c r="J55" s="12">
        <v>426.374385735461</v>
      </c>
      <c r="K55" s="12">
        <v>534.0</v>
      </c>
      <c r="L55" s="12">
        <v>630.179851364521</v>
      </c>
      <c r="M55" s="12">
        <v>132.228867827816</v>
      </c>
      <c r="N55" s="12">
        <v>529.600000557223</v>
      </c>
      <c r="O55" s="7">
        <v>392.431604282983</v>
      </c>
      <c r="P55" s="7">
        <v>534.0</v>
      </c>
      <c r="Q55" s="7">
        <v>568.833333333333</v>
      </c>
      <c r="R55" s="7">
        <v>426.554832479077</v>
      </c>
      <c r="S55" s="7">
        <v>420.047795733112</v>
      </c>
      <c r="T55" s="7">
        <v>534.0</v>
      </c>
      <c r="U55" s="7">
        <v>302.64717218392</v>
      </c>
      <c r="V55" s="7">
        <v>534.0</v>
      </c>
      <c r="W55" s="7">
        <v>385.168955256647</v>
      </c>
    </row>
    <row r="56">
      <c r="A56" s="8">
        <v>41821.0</v>
      </c>
      <c r="B56" s="9">
        <f>IFERROR(__xludf.DUMMYFUNCTION("""COMPUTED_VALUE"""),156.0)</f>
        <v>156</v>
      </c>
      <c r="C56" s="12">
        <v>534.0</v>
      </c>
      <c r="D56" s="13">
        <v>442.073927649907</v>
      </c>
      <c r="E56" s="13">
        <v>534.000131356729</v>
      </c>
      <c r="F56" s="12">
        <v>380.542137733771</v>
      </c>
      <c r="G56" s="12">
        <v>534.000023945518</v>
      </c>
      <c r="H56" s="12">
        <v>315.658129372722</v>
      </c>
      <c r="I56" s="12">
        <v>544.688166344436</v>
      </c>
      <c r="J56" s="12">
        <v>242.750412507048</v>
      </c>
      <c r="K56" s="12">
        <v>534.0</v>
      </c>
      <c r="L56" s="12">
        <v>525.750209039171</v>
      </c>
      <c r="M56" s="12">
        <v>366.039731759428</v>
      </c>
      <c r="N56" s="12">
        <v>546.600000557223</v>
      </c>
      <c r="O56" s="7">
        <v>399.140052318195</v>
      </c>
      <c r="P56" s="7">
        <v>534.0</v>
      </c>
      <c r="Q56" s="7">
        <v>568.833333333333</v>
      </c>
      <c r="R56" s="7">
        <v>107.530393610345</v>
      </c>
      <c r="S56" s="7">
        <v>410.48508143778</v>
      </c>
      <c r="T56" s="7">
        <v>534.0</v>
      </c>
      <c r="U56" s="7">
        <v>514.139322471811</v>
      </c>
      <c r="V56" s="7">
        <v>534.0</v>
      </c>
      <c r="W56" s="7">
        <v>460.86493814734</v>
      </c>
    </row>
    <row r="57">
      <c r="A57" s="8">
        <v>41852.0</v>
      </c>
      <c r="B57" s="9">
        <f>IFERROR(__xludf.DUMMYFUNCTION("""COMPUTED_VALUE"""),234.0)</f>
        <v>234</v>
      </c>
      <c r="C57" s="12">
        <v>534.0</v>
      </c>
      <c r="D57" s="13">
        <v>269.399841737132</v>
      </c>
      <c r="E57" s="13">
        <v>534.000131356729</v>
      </c>
      <c r="F57" s="12">
        <v>318.236681824906</v>
      </c>
      <c r="G57" s="12">
        <v>534.000023945518</v>
      </c>
      <c r="H57" s="12">
        <v>260.070456432505</v>
      </c>
      <c r="I57" s="12">
        <v>544.688166344436</v>
      </c>
      <c r="J57" s="12">
        <v>216.750412507048</v>
      </c>
      <c r="K57" s="12">
        <v>534.0</v>
      </c>
      <c r="L57" s="12">
        <v>525.750209039171</v>
      </c>
      <c r="M57" s="12">
        <v>163.09159278905</v>
      </c>
      <c r="N57" s="12">
        <v>546.600000557223</v>
      </c>
      <c r="O57" s="7">
        <v>337.191414715925</v>
      </c>
      <c r="P57" s="7">
        <v>534.0</v>
      </c>
      <c r="Q57" s="7">
        <v>568.833333333333</v>
      </c>
      <c r="R57" s="7">
        <v>101.84937228794</v>
      </c>
      <c r="S57" s="7">
        <v>345.123525898688</v>
      </c>
      <c r="T57" s="7">
        <v>534.0</v>
      </c>
      <c r="U57" s="7">
        <v>398.278554239444</v>
      </c>
      <c r="V57" s="7">
        <v>534.0</v>
      </c>
      <c r="W57" s="7">
        <v>452.304621291164</v>
      </c>
    </row>
    <row r="58">
      <c r="A58" s="8">
        <v>41883.0</v>
      </c>
      <c r="B58" s="9">
        <f>IFERROR(__xludf.DUMMYFUNCTION("""COMPUTED_VALUE"""),2938.0)</f>
        <v>2938</v>
      </c>
      <c r="C58" s="12">
        <v>534.0</v>
      </c>
      <c r="D58" s="13">
        <v>320.667995514831</v>
      </c>
      <c r="E58" s="13">
        <v>534.000131356729</v>
      </c>
      <c r="F58" s="12">
        <v>123.013868614623</v>
      </c>
      <c r="G58" s="12">
        <v>534.000023945518</v>
      </c>
      <c r="H58" s="12">
        <v>58.7415561451531</v>
      </c>
      <c r="I58" s="12">
        <v>544.688166344436</v>
      </c>
      <c r="J58" s="12">
        <v>321.849714826896</v>
      </c>
      <c r="K58" s="12">
        <v>534.0</v>
      </c>
      <c r="L58" s="12">
        <v>525.750209039171</v>
      </c>
      <c r="M58" s="12">
        <v>171.165948507844</v>
      </c>
      <c r="N58" s="12">
        <v>546.600000557223</v>
      </c>
      <c r="O58" s="7">
        <v>148.367568466801</v>
      </c>
      <c r="P58" s="7">
        <v>1417.18793301823</v>
      </c>
      <c r="Q58" s="7">
        <v>568.833333333333</v>
      </c>
      <c r="R58" s="7">
        <v>345.536314453261</v>
      </c>
      <c r="S58" s="7">
        <v>145.856124988576</v>
      </c>
      <c r="T58" s="7">
        <v>534.0</v>
      </c>
      <c r="U58" s="7">
        <v>376.691177367958</v>
      </c>
      <c r="V58" s="7">
        <v>534.0</v>
      </c>
      <c r="W58" s="7">
        <v>264.023127059991</v>
      </c>
    </row>
    <row r="59">
      <c r="A59" s="8">
        <v>41913.0</v>
      </c>
      <c r="B59" s="9">
        <f>IFERROR(__xludf.DUMMYFUNCTION("""COMPUTED_VALUE"""),4294.0)</f>
        <v>4294</v>
      </c>
      <c r="C59" s="12">
        <v>4605.98464213106</v>
      </c>
      <c r="D59" s="13">
        <v>6634.89267255005</v>
      </c>
      <c r="E59" s="13">
        <v>2873.67953386841</v>
      </c>
      <c r="F59" s="12">
        <v>4226.05730518464</v>
      </c>
      <c r="G59" s="12">
        <v>4025.12525003936</v>
      </c>
      <c r="H59" s="12">
        <v>3728.15986415922</v>
      </c>
      <c r="I59" s="12">
        <v>510.798914655462</v>
      </c>
      <c r="J59" s="12">
        <v>7397.73438982786</v>
      </c>
      <c r="K59" s="12">
        <v>4067.51613504656</v>
      </c>
      <c r="L59" s="12">
        <v>527.131553514374</v>
      </c>
      <c r="M59" s="12">
        <v>5045.34888150604</v>
      </c>
      <c r="N59" s="12">
        <v>1096.35728932262</v>
      </c>
      <c r="O59" s="7">
        <v>4157.61407753705</v>
      </c>
      <c r="P59" s="7">
        <v>4247.6864565644</v>
      </c>
      <c r="Q59" s="7">
        <v>4848.92637299529</v>
      </c>
      <c r="R59" s="7">
        <v>3928.36344766666</v>
      </c>
      <c r="S59" s="7">
        <v>6805.706175701</v>
      </c>
      <c r="T59" s="7">
        <v>929.920418367797</v>
      </c>
      <c r="U59" s="7">
        <v>3602.41077171447</v>
      </c>
      <c r="V59" s="7">
        <v>4117.98429467796</v>
      </c>
      <c r="W59" s="7">
        <v>4307.62487870359</v>
      </c>
    </row>
    <row r="60">
      <c r="A60" s="8">
        <v>41944.0</v>
      </c>
      <c r="B60" s="9">
        <f>IFERROR(__xludf.DUMMYFUNCTION("""COMPUTED_VALUE"""),783.0)</f>
        <v>783</v>
      </c>
      <c r="C60" s="12">
        <v>696.876489433068</v>
      </c>
      <c r="D60" s="13">
        <v>1313.64805217002</v>
      </c>
      <c r="E60" s="13">
        <v>534.000131356729</v>
      </c>
      <c r="F60" s="12">
        <v>596.382429595703</v>
      </c>
      <c r="G60" s="12">
        <v>534.000023945518</v>
      </c>
      <c r="H60" s="12">
        <v>1085.58430222581</v>
      </c>
      <c r="I60" s="12">
        <v>521.309973291664</v>
      </c>
      <c r="J60" s="12">
        <v>1692.11480501315</v>
      </c>
      <c r="K60" s="12">
        <v>534.0</v>
      </c>
      <c r="L60" s="12">
        <v>526.275119939748</v>
      </c>
      <c r="M60" s="12">
        <v>893.165394448292</v>
      </c>
      <c r="N60" s="12">
        <v>546.600000557223</v>
      </c>
      <c r="O60" s="7">
        <v>616.077209897896</v>
      </c>
      <c r="P60" s="7">
        <v>957.110372192247</v>
      </c>
      <c r="Q60" s="7">
        <v>568.833333333333</v>
      </c>
      <c r="R60" s="7">
        <v>428.683762161521</v>
      </c>
      <c r="S60" s="7">
        <v>1409.77054314027</v>
      </c>
      <c r="T60" s="7">
        <v>534.0</v>
      </c>
      <c r="U60" s="7">
        <v>372.171298776055</v>
      </c>
      <c r="V60" s="7">
        <v>534.0</v>
      </c>
      <c r="W60" s="7">
        <v>740.927597247581</v>
      </c>
    </row>
    <row r="61">
      <c r="A61" s="8">
        <v>41974.0</v>
      </c>
      <c r="B61" s="9">
        <f>IFERROR(__xludf.DUMMYFUNCTION("""COMPUTED_VALUE"""),729.0)</f>
        <v>729</v>
      </c>
      <c r="C61" s="12">
        <v>1420.76977721048</v>
      </c>
      <c r="D61" s="13">
        <v>932.802381385403</v>
      </c>
      <c r="E61" s="13">
        <v>534.000131356729</v>
      </c>
      <c r="F61" s="12">
        <v>701.862517259574</v>
      </c>
      <c r="G61" s="12">
        <v>534.000023945518</v>
      </c>
      <c r="H61" s="12">
        <v>1915.90375780333</v>
      </c>
      <c r="I61" s="12">
        <v>545.758722551736</v>
      </c>
      <c r="J61" s="12">
        <v>636.214996460815</v>
      </c>
      <c r="K61" s="12">
        <v>534.0</v>
      </c>
      <c r="L61" s="12">
        <v>525.750209039171</v>
      </c>
      <c r="M61" s="12">
        <v>1375.44320140551</v>
      </c>
      <c r="N61" s="12">
        <v>546.600000557223</v>
      </c>
      <c r="O61" s="7">
        <v>740.430638992835</v>
      </c>
      <c r="P61" s="7">
        <v>534.0</v>
      </c>
      <c r="Q61" s="7">
        <v>568.833333333333</v>
      </c>
      <c r="R61" s="7">
        <v>725.118707993687</v>
      </c>
      <c r="S61" s="7">
        <v>673.564297657197</v>
      </c>
      <c r="T61" s="7">
        <v>534.0</v>
      </c>
      <c r="U61" s="7">
        <v>1166.39073894711</v>
      </c>
      <c r="V61" s="7">
        <v>624.044311090051</v>
      </c>
      <c r="W61" s="7">
        <v>787.919877111978</v>
      </c>
    </row>
    <row r="62">
      <c r="A62" s="8">
        <v>42005.0</v>
      </c>
      <c r="B62" s="9">
        <f>IFERROR(__xludf.DUMMYFUNCTION("""COMPUTED_VALUE"""),346.0)</f>
        <v>346</v>
      </c>
      <c r="C62" s="12">
        <v>534.0</v>
      </c>
      <c r="D62" s="13">
        <v>265.646501451922</v>
      </c>
      <c r="E62" s="13">
        <v>534.000131356729</v>
      </c>
      <c r="F62" s="12">
        <v>404.63637716337</v>
      </c>
      <c r="G62" s="12">
        <v>534.000023945518</v>
      </c>
      <c r="H62" s="12">
        <v>276.320436673404</v>
      </c>
      <c r="I62" s="12">
        <v>582.15108670272</v>
      </c>
      <c r="J62" s="12">
        <v>753.08508173405</v>
      </c>
      <c r="K62" s="12">
        <v>684.474116071662</v>
      </c>
      <c r="L62" s="12">
        <v>525.750209039171</v>
      </c>
      <c r="M62" s="12">
        <v>20.5888965832083</v>
      </c>
      <c r="N62" s="12">
        <v>546.600000557223</v>
      </c>
      <c r="O62" s="7">
        <v>706.586767056811</v>
      </c>
      <c r="P62" s="7">
        <v>534.0</v>
      </c>
      <c r="Q62" s="7">
        <v>568.833333333333</v>
      </c>
      <c r="R62" s="7">
        <v>884.633058785935</v>
      </c>
      <c r="S62" s="7">
        <v>392.75008869382</v>
      </c>
      <c r="T62" s="7">
        <v>534.0</v>
      </c>
      <c r="U62" s="7">
        <v>457.628166203943</v>
      </c>
      <c r="V62" s="7">
        <v>534.0</v>
      </c>
      <c r="W62" s="7">
        <v>777.369731065825</v>
      </c>
    </row>
    <row r="63">
      <c r="A63" s="8">
        <v>42036.0</v>
      </c>
      <c r="B63" s="9">
        <f>IFERROR(__xludf.DUMMYFUNCTION("""COMPUTED_VALUE"""),438.0)</f>
        <v>438</v>
      </c>
      <c r="C63" s="12">
        <v>534.0</v>
      </c>
      <c r="D63" s="13">
        <v>529.455254952297</v>
      </c>
      <c r="E63" s="13">
        <v>534.000131356729</v>
      </c>
      <c r="F63" s="12">
        <v>667.726164716313</v>
      </c>
      <c r="G63" s="12">
        <v>534.000023945518</v>
      </c>
      <c r="H63" s="12">
        <v>376.093119744319</v>
      </c>
      <c r="I63" s="12">
        <v>541.527165632264</v>
      </c>
      <c r="J63" s="12">
        <v>405.908643663104</v>
      </c>
      <c r="K63" s="12">
        <v>534.0</v>
      </c>
      <c r="L63" s="12">
        <v>525.750209039171</v>
      </c>
      <c r="M63" s="12">
        <v>459.143279448903</v>
      </c>
      <c r="N63" s="12">
        <v>524.600000557223</v>
      </c>
      <c r="O63" s="7">
        <v>442.903599822281</v>
      </c>
      <c r="P63" s="7">
        <v>534.0</v>
      </c>
      <c r="Q63" s="7">
        <v>568.833333333333</v>
      </c>
      <c r="R63" s="7">
        <v>388.850896954385</v>
      </c>
      <c r="S63" s="7">
        <v>709.768317156006</v>
      </c>
      <c r="T63" s="7">
        <v>534.0</v>
      </c>
      <c r="U63" s="7">
        <v>571.188513377989</v>
      </c>
      <c r="V63" s="7">
        <v>534.0</v>
      </c>
      <c r="W63" s="7">
        <v>814.765866152122</v>
      </c>
    </row>
    <row r="64">
      <c r="A64" s="8">
        <v>42064.0</v>
      </c>
      <c r="B64" s="9">
        <f>IFERROR(__xludf.DUMMYFUNCTION("""COMPUTED_VALUE"""),813.0)</f>
        <v>813</v>
      </c>
      <c r="C64" s="12">
        <v>534.0</v>
      </c>
      <c r="D64" s="13">
        <v>533.715101112063</v>
      </c>
      <c r="E64" s="13">
        <v>534.000131356729</v>
      </c>
      <c r="F64" s="12">
        <v>622.699209324358</v>
      </c>
      <c r="G64" s="12">
        <v>534.000023945518</v>
      </c>
      <c r="H64" s="12">
        <v>1370.10323704386</v>
      </c>
      <c r="I64" s="12">
        <v>575.801867349314</v>
      </c>
      <c r="J64" s="12">
        <v>682.297117112668</v>
      </c>
      <c r="K64" s="12">
        <v>534.0</v>
      </c>
      <c r="L64" s="12">
        <v>528.236629094536</v>
      </c>
      <c r="M64" s="12">
        <v>893.672925607811</v>
      </c>
      <c r="N64" s="12">
        <v>540.600000557223</v>
      </c>
      <c r="O64" s="7">
        <v>837.26003437522</v>
      </c>
      <c r="P64" s="7">
        <v>534.0</v>
      </c>
      <c r="Q64" s="7">
        <v>4.25337986058546</v>
      </c>
      <c r="R64" s="7">
        <v>87.6521308853625</v>
      </c>
      <c r="S64" s="7">
        <v>705.906998195597</v>
      </c>
      <c r="T64" s="7">
        <v>534.0</v>
      </c>
      <c r="U64" s="7">
        <v>571.188513377989</v>
      </c>
      <c r="V64" s="7">
        <v>534.0</v>
      </c>
      <c r="W64" s="7">
        <v>541.936826806319</v>
      </c>
    </row>
    <row r="65">
      <c r="A65" s="8">
        <v>42095.0</v>
      </c>
      <c r="B65" s="9">
        <f>IFERROR(__xludf.DUMMYFUNCTION("""COMPUTED_VALUE"""),306.0)</f>
        <v>306</v>
      </c>
      <c r="C65" s="12">
        <v>984.027427496336</v>
      </c>
      <c r="D65" s="13">
        <v>954.709391075375</v>
      </c>
      <c r="E65" s="13">
        <v>534.000131356729</v>
      </c>
      <c r="F65" s="12">
        <v>440.354525881823</v>
      </c>
      <c r="G65" s="12">
        <v>534.000023945518</v>
      </c>
      <c r="H65" s="12">
        <v>4834.33387600018</v>
      </c>
      <c r="I65" s="12">
        <v>545.282741564769</v>
      </c>
      <c r="J65" s="12">
        <v>265.369791604087</v>
      </c>
      <c r="K65" s="12">
        <v>813.615463242663</v>
      </c>
      <c r="L65" s="12">
        <v>525.750209039171</v>
      </c>
      <c r="M65" s="12">
        <v>5360.47658564981</v>
      </c>
      <c r="N65" s="12">
        <v>543.506938065026</v>
      </c>
      <c r="O65" s="7">
        <v>871.374581439419</v>
      </c>
      <c r="P65" s="7">
        <v>534.0</v>
      </c>
      <c r="Q65" s="7">
        <v>2998.26376391976</v>
      </c>
      <c r="R65" s="7">
        <v>510.389796288222</v>
      </c>
      <c r="S65" s="7">
        <v>447.47687517877</v>
      </c>
      <c r="T65" s="7">
        <v>534.0</v>
      </c>
      <c r="U65" s="7">
        <v>973.811851333096</v>
      </c>
      <c r="V65" s="7">
        <v>534.0</v>
      </c>
      <c r="W65" s="7">
        <v>1134.48363337331</v>
      </c>
    </row>
    <row r="66">
      <c r="A66" s="8">
        <v>42125.0</v>
      </c>
      <c r="B66" s="9">
        <f>IFERROR(__xludf.DUMMYFUNCTION("""COMPUTED_VALUE"""),363.0)</f>
        <v>363</v>
      </c>
      <c r="C66" s="12">
        <v>1085.27693695708</v>
      </c>
      <c r="D66" s="13">
        <v>495.807239213808</v>
      </c>
      <c r="E66" s="13">
        <v>534.000131356729</v>
      </c>
      <c r="F66" s="12">
        <v>373.175827510122</v>
      </c>
      <c r="G66" s="12">
        <v>534.000023945518</v>
      </c>
      <c r="H66" s="12">
        <v>294.503202309938</v>
      </c>
      <c r="I66" s="12">
        <v>542.811127701651</v>
      </c>
      <c r="J66" s="12">
        <v>244.871924871176</v>
      </c>
      <c r="K66" s="12">
        <v>534.0</v>
      </c>
      <c r="L66" s="12">
        <v>525.750209039171</v>
      </c>
      <c r="M66" s="12">
        <v>424.0</v>
      </c>
      <c r="N66" s="12">
        <v>527.600000557223</v>
      </c>
      <c r="O66" s="7">
        <v>398.775839923568</v>
      </c>
      <c r="P66" s="7">
        <v>534.0</v>
      </c>
      <c r="Q66" s="7">
        <v>568.833333333333</v>
      </c>
      <c r="R66" s="7">
        <v>102.397431159993</v>
      </c>
      <c r="S66" s="7">
        <v>459.084110976515</v>
      </c>
      <c r="T66" s="7">
        <v>534.0</v>
      </c>
      <c r="U66" s="7">
        <v>571.188513377989</v>
      </c>
      <c r="V66" s="7">
        <v>534.0</v>
      </c>
      <c r="W66" s="7">
        <v>518.19459211721</v>
      </c>
    </row>
    <row r="67">
      <c r="A67" s="8">
        <v>42156.0</v>
      </c>
      <c r="B67" s="9">
        <f>IFERROR(__xludf.DUMMYFUNCTION("""COMPUTED_VALUE"""),243.0)</f>
        <v>243</v>
      </c>
      <c r="C67" s="12">
        <v>534.0</v>
      </c>
      <c r="D67" s="13">
        <v>499.325747698438</v>
      </c>
      <c r="E67" s="13">
        <v>534.000131356729</v>
      </c>
      <c r="F67" s="12">
        <v>384.289817192217</v>
      </c>
      <c r="G67" s="12">
        <v>534.000023945518</v>
      </c>
      <c r="H67" s="12">
        <v>732.78087799426</v>
      </c>
      <c r="I67" s="12">
        <v>895.19883370171</v>
      </c>
      <c r="J67" s="12">
        <v>248.372856111569</v>
      </c>
      <c r="K67" s="12">
        <v>534.0</v>
      </c>
      <c r="L67" s="12">
        <v>526.026477934212</v>
      </c>
      <c r="M67" s="12">
        <v>426.096754132178</v>
      </c>
      <c r="N67" s="12">
        <v>533.600000557223</v>
      </c>
      <c r="O67" s="7">
        <v>406.336978720064</v>
      </c>
      <c r="P67" s="7">
        <v>534.0</v>
      </c>
      <c r="Q67" s="7">
        <v>568.833333333333</v>
      </c>
      <c r="R67" s="7">
        <v>193.185509355267</v>
      </c>
      <c r="S67" s="7">
        <v>524.742300144525</v>
      </c>
      <c r="T67" s="7">
        <v>685.249810896022</v>
      </c>
      <c r="U67" s="7">
        <v>571.188513377989</v>
      </c>
      <c r="V67" s="7">
        <v>534.0</v>
      </c>
      <c r="W67" s="7">
        <v>526.791836725511</v>
      </c>
    </row>
    <row r="68">
      <c r="A68" s="8">
        <v>42186.0</v>
      </c>
      <c r="B68" s="9">
        <f>IFERROR(__xludf.DUMMYFUNCTION("""COMPUTED_VALUE"""),1769.0)</f>
        <v>1769</v>
      </c>
      <c r="C68" s="12">
        <v>1569.05511986986</v>
      </c>
      <c r="D68" s="13">
        <v>1547.74668917737</v>
      </c>
      <c r="E68" s="13">
        <v>970.785953944951</v>
      </c>
      <c r="F68" s="12">
        <v>1811.01765842003</v>
      </c>
      <c r="G68" s="12">
        <v>1014.9704162987</v>
      </c>
      <c r="H68" s="12">
        <v>531.229521594417</v>
      </c>
      <c r="I68" s="12">
        <v>813.498166635055</v>
      </c>
      <c r="J68" s="12">
        <v>910.656839734829</v>
      </c>
      <c r="K68" s="12">
        <v>1547.04916349262</v>
      </c>
      <c r="L68" s="12">
        <v>526.330373718756</v>
      </c>
      <c r="M68" s="12">
        <v>894.02238462984</v>
      </c>
      <c r="N68" s="12">
        <v>546.600000557223</v>
      </c>
      <c r="O68" s="7">
        <v>1813.01802739009</v>
      </c>
      <c r="P68" s="7">
        <v>1810.66084604252</v>
      </c>
      <c r="Q68" s="7">
        <v>568.833333333333</v>
      </c>
      <c r="R68" s="7">
        <v>1759.71328667716</v>
      </c>
      <c r="S68" s="7">
        <v>1882.71922588801</v>
      </c>
      <c r="T68" s="7">
        <v>607.442324430998</v>
      </c>
      <c r="U68" s="7">
        <v>1566.06500082185</v>
      </c>
      <c r="V68" s="7">
        <v>1019.84277796447</v>
      </c>
      <c r="W68" s="7">
        <v>1618.04512913583</v>
      </c>
    </row>
    <row r="69">
      <c r="A69" s="8">
        <v>42217.0</v>
      </c>
      <c r="B69" s="9">
        <f>IFERROR(__xludf.DUMMYFUNCTION("""COMPUTED_VALUE"""),1000.0)</f>
        <v>1000</v>
      </c>
      <c r="C69" s="12">
        <v>534.0</v>
      </c>
      <c r="D69" s="13">
        <v>518.716308398026</v>
      </c>
      <c r="E69" s="13">
        <v>534.000131356729</v>
      </c>
      <c r="F69" s="12">
        <v>380.208564957425</v>
      </c>
      <c r="G69" s="12">
        <v>534.000023945518</v>
      </c>
      <c r="H69" s="12">
        <v>418.269539809449</v>
      </c>
      <c r="I69" s="12">
        <v>543.988367238281</v>
      </c>
      <c r="J69" s="12">
        <v>858.948015309234</v>
      </c>
      <c r="K69" s="12">
        <v>534.0</v>
      </c>
      <c r="L69" s="12">
        <v>525.750209039171</v>
      </c>
      <c r="M69" s="12">
        <v>424.798763478925</v>
      </c>
      <c r="N69" s="12">
        <v>545.600000557223</v>
      </c>
      <c r="O69" s="7">
        <v>400.953567408278</v>
      </c>
      <c r="P69" s="7">
        <v>534.0</v>
      </c>
      <c r="Q69" s="7">
        <v>139.689170913727</v>
      </c>
      <c r="R69" s="7">
        <v>1595.50495430922</v>
      </c>
      <c r="S69" s="7">
        <v>536.741414344627</v>
      </c>
      <c r="T69" s="7">
        <v>534.0</v>
      </c>
      <c r="U69" s="7">
        <v>571.188513377989</v>
      </c>
      <c r="V69" s="7">
        <v>534.0</v>
      </c>
      <c r="W69" s="7">
        <v>521.684094466956</v>
      </c>
    </row>
    <row r="70">
      <c r="A70" s="8">
        <v>42248.0</v>
      </c>
      <c r="B70" s="9">
        <f>IFERROR(__xludf.DUMMYFUNCTION("""COMPUTED_VALUE"""),585.0)</f>
        <v>585</v>
      </c>
      <c r="C70" s="12">
        <v>534.0</v>
      </c>
      <c r="D70" s="13">
        <v>519.541610938489</v>
      </c>
      <c r="E70" s="13">
        <v>534.000131356729</v>
      </c>
      <c r="F70" s="12">
        <v>378.727907044543</v>
      </c>
      <c r="G70" s="12">
        <v>534.000023945518</v>
      </c>
      <c r="H70" s="12">
        <v>314.482085908965</v>
      </c>
      <c r="I70" s="12">
        <v>540.886746383017</v>
      </c>
      <c r="J70" s="12">
        <v>637.461289268092</v>
      </c>
      <c r="K70" s="12">
        <v>534.0</v>
      </c>
      <c r="L70" s="12">
        <v>692.126291493173</v>
      </c>
      <c r="M70" s="12">
        <v>431.388562180055</v>
      </c>
      <c r="N70" s="12">
        <v>543.600000557223</v>
      </c>
      <c r="O70" s="7">
        <v>439.988311717394</v>
      </c>
      <c r="P70" s="7">
        <v>534.0</v>
      </c>
      <c r="Q70" s="7">
        <v>568.833333333333</v>
      </c>
      <c r="R70" s="7">
        <v>799.39850184264</v>
      </c>
      <c r="S70" s="7">
        <v>526.452007698843</v>
      </c>
      <c r="T70" s="7">
        <v>534.0</v>
      </c>
      <c r="U70" s="7">
        <v>571.188513377989</v>
      </c>
      <c r="V70" s="7">
        <v>534.0</v>
      </c>
      <c r="W70" s="7">
        <v>550.313443277593</v>
      </c>
    </row>
    <row r="71">
      <c r="A71" s="8">
        <v>42278.0</v>
      </c>
      <c r="B71" s="9">
        <f>IFERROR(__xludf.DUMMYFUNCTION("""COMPUTED_VALUE"""),1105.0)</f>
        <v>1105</v>
      </c>
      <c r="C71" s="12">
        <v>1285.72512443421</v>
      </c>
      <c r="D71" s="13">
        <v>1298.51912350362</v>
      </c>
      <c r="E71" s="13">
        <v>534.000131356729</v>
      </c>
      <c r="F71" s="12">
        <v>1494.78665862474</v>
      </c>
      <c r="G71" s="12">
        <v>634.453754981692</v>
      </c>
      <c r="H71" s="12">
        <v>555.15706581347</v>
      </c>
      <c r="I71" s="12">
        <v>838.717637071034</v>
      </c>
      <c r="J71" s="12">
        <v>674.007338145233</v>
      </c>
      <c r="K71" s="12">
        <v>1111.55682024704</v>
      </c>
      <c r="L71" s="12">
        <v>529.093062669162</v>
      </c>
      <c r="M71" s="12">
        <v>796.323626613845</v>
      </c>
      <c r="N71" s="12">
        <v>544.600000557223</v>
      </c>
      <c r="O71" s="7">
        <v>1528.73195583906</v>
      </c>
      <c r="P71" s="7">
        <v>1328.15388614723</v>
      </c>
      <c r="Q71" s="7">
        <v>568.833333333333</v>
      </c>
      <c r="R71" s="7">
        <v>1002.66832952464</v>
      </c>
      <c r="S71" s="7">
        <v>1522.44618867415</v>
      </c>
      <c r="T71" s="7">
        <v>534.0</v>
      </c>
      <c r="U71" s="7">
        <v>1139.49518214448</v>
      </c>
      <c r="V71" s="7">
        <v>725.506838186116</v>
      </c>
      <c r="W71" s="7">
        <v>1144.02568666554</v>
      </c>
    </row>
    <row r="72">
      <c r="A72" s="8">
        <v>42309.0</v>
      </c>
      <c r="B72" s="9">
        <f>IFERROR(__xludf.DUMMYFUNCTION("""COMPUTED_VALUE"""),4135.0)</f>
        <v>4135</v>
      </c>
      <c r="C72" s="12">
        <v>4099.09878537533</v>
      </c>
      <c r="D72" s="13">
        <v>4120.88541647549</v>
      </c>
      <c r="E72" s="13">
        <v>2770.70479347829</v>
      </c>
      <c r="F72" s="12">
        <v>4100.14568997994</v>
      </c>
      <c r="G72" s="12">
        <v>3844.14229051651</v>
      </c>
      <c r="H72" s="12">
        <v>2546.70178032846</v>
      </c>
      <c r="I72" s="12">
        <v>2711.95267276375</v>
      </c>
      <c r="J72" s="12">
        <v>4104.81830889015</v>
      </c>
      <c r="K72" s="12">
        <v>4062.78459009946</v>
      </c>
      <c r="L72" s="12">
        <v>1037.86985977595</v>
      </c>
      <c r="M72" s="12">
        <v>4150.98046994591</v>
      </c>
      <c r="N72" s="12">
        <v>541.600000557223</v>
      </c>
      <c r="O72" s="7">
        <v>4133.28494658456</v>
      </c>
      <c r="P72" s="7">
        <v>4258.61411661561</v>
      </c>
      <c r="Q72" s="7">
        <v>4073.45848508633</v>
      </c>
      <c r="R72" s="7">
        <v>4264.4954553277</v>
      </c>
      <c r="S72" s="7">
        <v>3900.1130246664</v>
      </c>
      <c r="T72" s="7">
        <v>2464.3312337462</v>
      </c>
      <c r="U72" s="7">
        <v>4139.30191667039</v>
      </c>
      <c r="V72" s="7">
        <v>3794.58870003205</v>
      </c>
      <c r="W72" s="7">
        <v>4260.65666673361</v>
      </c>
    </row>
    <row r="73">
      <c r="A73" s="8">
        <v>42339.0</v>
      </c>
      <c r="B73" s="9">
        <f>IFERROR(__xludf.DUMMYFUNCTION("""COMPUTED_VALUE"""),707.0)</f>
        <v>707</v>
      </c>
      <c r="C73" s="12">
        <v>534.0</v>
      </c>
      <c r="D73" s="13">
        <v>499.394163871449</v>
      </c>
      <c r="E73" s="13">
        <v>534.000131356729</v>
      </c>
      <c r="F73" s="12">
        <v>35.9561689461567</v>
      </c>
      <c r="G73" s="12">
        <v>534.000023945518</v>
      </c>
      <c r="H73" s="12">
        <v>-17.212442313927</v>
      </c>
      <c r="I73" s="12">
        <v>544.920840557206</v>
      </c>
      <c r="J73" s="12">
        <v>245.855440951107</v>
      </c>
      <c r="K73" s="12">
        <v>534.0</v>
      </c>
      <c r="L73" s="12">
        <v>525.750209039171</v>
      </c>
      <c r="M73" s="12">
        <v>424.0</v>
      </c>
      <c r="N73" s="12">
        <v>525.600000557223</v>
      </c>
      <c r="O73" s="7">
        <v>65.1141841700106</v>
      </c>
      <c r="P73" s="7">
        <v>534.0</v>
      </c>
      <c r="Q73" s="7">
        <v>568.833333333333</v>
      </c>
      <c r="R73" s="7">
        <v>185.546441891152</v>
      </c>
      <c r="S73" s="7">
        <v>226.320238671626</v>
      </c>
      <c r="T73" s="7">
        <v>534.0</v>
      </c>
      <c r="U73" s="7">
        <v>571.188513377989</v>
      </c>
      <c r="V73" s="7">
        <v>534.0</v>
      </c>
      <c r="W73" s="7">
        <v>237.451166338964</v>
      </c>
    </row>
    <row r="74">
      <c r="A74" s="8">
        <v>42370.0</v>
      </c>
      <c r="B74" s="9">
        <f>IFERROR(__xludf.DUMMYFUNCTION("""COMPUTED_VALUE"""),699.0)</f>
        <v>699</v>
      </c>
      <c r="C74" s="12">
        <v>534.0</v>
      </c>
      <c r="D74" s="13">
        <v>512.17733827938</v>
      </c>
      <c r="E74" s="13">
        <v>534.000131356729</v>
      </c>
      <c r="F74" s="12">
        <v>584.768960676888</v>
      </c>
      <c r="G74" s="12">
        <v>534.000023945518</v>
      </c>
      <c r="H74" s="12">
        <v>469.20984577515</v>
      </c>
      <c r="I74" s="12">
        <v>653.981111679015</v>
      </c>
      <c r="J74" s="12">
        <v>536.316135037667</v>
      </c>
      <c r="K74" s="12">
        <v>534.0</v>
      </c>
      <c r="L74" s="12">
        <v>525.998851044708</v>
      </c>
      <c r="M74" s="12">
        <v>480.662284286231</v>
      </c>
      <c r="N74" s="12">
        <v>545.600000557223</v>
      </c>
      <c r="O74" s="7">
        <v>600.64786956555</v>
      </c>
      <c r="P74" s="7">
        <v>534.0</v>
      </c>
      <c r="Q74" s="7">
        <v>568.833333333333</v>
      </c>
      <c r="R74" s="7">
        <v>658.636248982129</v>
      </c>
      <c r="S74" s="7">
        <v>596.302815338082</v>
      </c>
      <c r="T74" s="7">
        <v>534.0</v>
      </c>
      <c r="U74" s="7">
        <v>571.188513377989</v>
      </c>
      <c r="V74" s="7">
        <v>534.0</v>
      </c>
      <c r="W74" s="7">
        <v>625.387857465066</v>
      </c>
    </row>
    <row r="75">
      <c r="A75" s="8">
        <v>42401.0</v>
      </c>
      <c r="B75" s="9">
        <f>IFERROR(__xludf.DUMMYFUNCTION("""COMPUTED_VALUE"""),572.0)</f>
        <v>572</v>
      </c>
      <c r="C75" s="12">
        <v>534.0</v>
      </c>
      <c r="D75" s="13">
        <v>514.428799824638</v>
      </c>
      <c r="E75" s="13">
        <v>534.000131356729</v>
      </c>
      <c r="F75" s="12">
        <v>336.665292954942</v>
      </c>
      <c r="G75" s="12">
        <v>534.000023945518</v>
      </c>
      <c r="H75" s="12">
        <v>494.014500260965</v>
      </c>
      <c r="I75" s="12">
        <v>785.499701087308</v>
      </c>
      <c r="J75" s="12">
        <v>520.476620937993</v>
      </c>
      <c r="K75" s="12">
        <v>534.0</v>
      </c>
      <c r="L75" s="12">
        <v>525.971224155203</v>
      </c>
      <c r="M75" s="12">
        <v>435.981452183873</v>
      </c>
      <c r="N75" s="12">
        <v>541.600000557223</v>
      </c>
      <c r="O75" s="7">
        <v>561.406782577489</v>
      </c>
      <c r="P75" s="7">
        <v>534.0</v>
      </c>
      <c r="Q75" s="7">
        <v>568.833333333333</v>
      </c>
      <c r="R75" s="7">
        <v>498.729221673534</v>
      </c>
      <c r="S75" s="7">
        <v>384.073074706306</v>
      </c>
      <c r="T75" s="7">
        <v>549.14864999822</v>
      </c>
      <c r="U75" s="7">
        <v>571.188513377989</v>
      </c>
      <c r="V75" s="7">
        <v>534.0</v>
      </c>
      <c r="W75" s="7">
        <v>561.836086704617</v>
      </c>
    </row>
    <row r="76">
      <c r="A76" s="8">
        <v>42430.0</v>
      </c>
      <c r="B76" s="9">
        <f>IFERROR(__xludf.DUMMYFUNCTION("""COMPUTED_VALUE"""),389.0)</f>
        <v>389</v>
      </c>
      <c r="C76" s="12">
        <v>534.0</v>
      </c>
      <c r="D76" s="13">
        <v>523.291753696322</v>
      </c>
      <c r="E76" s="13">
        <v>534.000131356729</v>
      </c>
      <c r="F76" s="12">
        <v>439.083352378534</v>
      </c>
      <c r="G76" s="12">
        <v>534.000023945518</v>
      </c>
      <c r="H76" s="12">
        <v>800.676481226388</v>
      </c>
      <c r="I76" s="12">
        <v>1664.05435114304</v>
      </c>
      <c r="J76" s="12">
        <v>468.380178080945</v>
      </c>
      <c r="K76" s="12">
        <v>534.0</v>
      </c>
      <c r="L76" s="12">
        <v>527.24206107239</v>
      </c>
      <c r="M76" s="12">
        <v>439.725655991333</v>
      </c>
      <c r="N76" s="12">
        <v>544.600000557223</v>
      </c>
      <c r="O76" s="7">
        <v>452.48194840491</v>
      </c>
      <c r="P76" s="7">
        <v>534.0</v>
      </c>
      <c r="Q76" s="7">
        <v>32.4594735043191</v>
      </c>
      <c r="R76" s="7">
        <v>375.186428299173</v>
      </c>
      <c r="S76" s="7">
        <v>453.895575199531</v>
      </c>
      <c r="T76" s="7">
        <v>782.060431105862</v>
      </c>
      <c r="U76" s="7">
        <v>571.188513377989</v>
      </c>
      <c r="V76" s="7">
        <v>534.0</v>
      </c>
      <c r="W76" s="7">
        <v>525.326896904097</v>
      </c>
    </row>
    <row r="77">
      <c r="A77" s="8">
        <v>42461.0</v>
      </c>
      <c r="B77" s="9">
        <f>IFERROR(__xludf.DUMMYFUNCTION("""COMPUTED_VALUE"""),645.0)</f>
        <v>645</v>
      </c>
      <c r="C77" s="12">
        <v>973.368956793283</v>
      </c>
      <c r="D77" s="13">
        <v>882.835915775962</v>
      </c>
      <c r="E77" s="13">
        <v>534.000131356729</v>
      </c>
      <c r="F77" s="12">
        <v>578.306785636509</v>
      </c>
      <c r="G77" s="12">
        <v>534.000023945518</v>
      </c>
      <c r="H77" s="12">
        <v>667.078369487813</v>
      </c>
      <c r="I77" s="12">
        <v>545.937778265074</v>
      </c>
      <c r="J77" s="12">
        <v>494.906577535991</v>
      </c>
      <c r="K77" s="12">
        <v>949.029144042894</v>
      </c>
      <c r="L77" s="12">
        <v>539.839922686242</v>
      </c>
      <c r="M77" s="12">
        <v>629.18236864882</v>
      </c>
      <c r="N77" s="12">
        <v>427.729790921995</v>
      </c>
      <c r="O77" s="7">
        <v>841.147033804536</v>
      </c>
      <c r="P77" s="7">
        <v>534.0</v>
      </c>
      <c r="Q77" s="7">
        <v>871.396433308135</v>
      </c>
      <c r="R77" s="7">
        <v>770.472614266503</v>
      </c>
      <c r="S77" s="7">
        <v>440.619352071481</v>
      </c>
      <c r="T77" s="7">
        <v>534.0</v>
      </c>
      <c r="U77" s="7">
        <v>725.944097983109</v>
      </c>
      <c r="V77" s="7">
        <v>534.0</v>
      </c>
      <c r="W77" s="7">
        <v>1183.03121543728</v>
      </c>
    </row>
    <row r="78">
      <c r="A78" s="8">
        <v>42491.0</v>
      </c>
      <c r="B78" s="9">
        <f>IFERROR(__xludf.DUMMYFUNCTION("""COMPUTED_VALUE"""),2389.0)</f>
        <v>2389</v>
      </c>
      <c r="C78" s="12">
        <v>2762.06932737804</v>
      </c>
      <c r="D78" s="13">
        <v>839.72420387419</v>
      </c>
      <c r="E78" s="13">
        <v>1241.50327104931</v>
      </c>
      <c r="F78" s="12">
        <v>1087.80696451786</v>
      </c>
      <c r="G78" s="12">
        <v>534.000023945518</v>
      </c>
      <c r="H78" s="12">
        <v>734.276605337583</v>
      </c>
      <c r="I78" s="12">
        <v>541.385908151552</v>
      </c>
      <c r="J78" s="12">
        <v>302.847434921956</v>
      </c>
      <c r="K78" s="12">
        <v>2177.64341272677</v>
      </c>
      <c r="L78" s="12">
        <v>527.131553514374</v>
      </c>
      <c r="M78" s="12">
        <v>183.21892647844</v>
      </c>
      <c r="N78" s="12">
        <v>450.600000557223</v>
      </c>
      <c r="O78" s="7">
        <v>1068.60473415893</v>
      </c>
      <c r="P78" s="7">
        <v>2186.23337222227</v>
      </c>
      <c r="Q78" s="7">
        <v>5352.00663332973</v>
      </c>
      <c r="R78" s="7">
        <v>2545.24038738675</v>
      </c>
      <c r="S78" s="7">
        <v>815.79465515376</v>
      </c>
      <c r="T78" s="7">
        <v>534.0</v>
      </c>
      <c r="U78" s="7">
        <v>790.092873182618</v>
      </c>
      <c r="V78" s="7">
        <v>534.0</v>
      </c>
      <c r="W78" s="7">
        <v>1185.79620276682</v>
      </c>
    </row>
    <row r="79">
      <c r="A79" s="8">
        <v>42522.0</v>
      </c>
      <c r="B79" s="9">
        <f>IFERROR(__xludf.DUMMYFUNCTION("""COMPUTED_VALUE"""),562.0)</f>
        <v>562</v>
      </c>
      <c r="C79" s="12">
        <v>1348.91247966369</v>
      </c>
      <c r="D79" s="13">
        <v>591.943834250505</v>
      </c>
      <c r="E79" s="13">
        <v>534.000131356729</v>
      </c>
      <c r="F79" s="12">
        <v>911.215022466584</v>
      </c>
      <c r="G79" s="12">
        <v>534.000023945518</v>
      </c>
      <c r="H79" s="12">
        <v>458.231094238117</v>
      </c>
      <c r="I79" s="12">
        <v>1186.34413165337</v>
      </c>
      <c r="J79" s="12">
        <v>413.413299677171</v>
      </c>
      <c r="K79" s="12">
        <v>534.0</v>
      </c>
      <c r="L79" s="12">
        <v>540.77923692938</v>
      </c>
      <c r="M79" s="12">
        <v>451.58096696309</v>
      </c>
      <c r="N79" s="12">
        <v>535.600000557223</v>
      </c>
      <c r="O79" s="7">
        <v>937.611511612908</v>
      </c>
      <c r="P79" s="7">
        <v>534.0</v>
      </c>
      <c r="Q79" s="7">
        <v>6943.94396860462</v>
      </c>
      <c r="R79" s="7">
        <v>437.773356708939</v>
      </c>
      <c r="S79" s="7">
        <v>879.971900111433</v>
      </c>
      <c r="T79" s="7">
        <v>534.0</v>
      </c>
      <c r="U79" s="7">
        <v>507.441653581602</v>
      </c>
      <c r="V79" s="7">
        <v>534.0</v>
      </c>
      <c r="W79" s="7">
        <v>759.024506742711</v>
      </c>
    </row>
    <row r="80">
      <c r="A80" s="8">
        <v>42552.0</v>
      </c>
      <c r="B80" s="9">
        <f>IFERROR(__xludf.DUMMYFUNCTION("""COMPUTED_VALUE"""),751.0)</f>
        <v>751</v>
      </c>
      <c r="C80" s="12">
        <v>534.0</v>
      </c>
      <c r="D80" s="13">
        <v>480.312609682905</v>
      </c>
      <c r="E80" s="13">
        <v>534.000131356729</v>
      </c>
      <c r="F80" s="12">
        <v>440.682788442852</v>
      </c>
      <c r="G80" s="12">
        <v>534.000023945518</v>
      </c>
      <c r="H80" s="12">
        <v>735.041986570707</v>
      </c>
      <c r="I80" s="12">
        <v>894.41738841621</v>
      </c>
      <c r="J80" s="12">
        <v>724.848244929537</v>
      </c>
      <c r="K80" s="12">
        <v>534.0</v>
      </c>
      <c r="L80" s="12">
        <v>529.728481127756</v>
      </c>
      <c r="M80" s="12">
        <v>643.397566125909</v>
      </c>
      <c r="N80" s="12">
        <v>546.600000557223</v>
      </c>
      <c r="O80" s="7">
        <v>470.295150428715</v>
      </c>
      <c r="P80" s="7">
        <v>534.0</v>
      </c>
      <c r="Q80" s="7">
        <v>568.833333333333</v>
      </c>
      <c r="R80" s="7">
        <v>622.216206962416</v>
      </c>
      <c r="S80" s="7">
        <v>611.961769281609</v>
      </c>
      <c r="T80" s="7">
        <v>534.0</v>
      </c>
      <c r="U80" s="7">
        <v>529.617332709308</v>
      </c>
      <c r="V80" s="7">
        <v>534.0</v>
      </c>
      <c r="W80" s="7">
        <v>528.333360718611</v>
      </c>
    </row>
    <row r="81">
      <c r="A81" s="8">
        <v>42583.0</v>
      </c>
      <c r="B81" s="9">
        <f>IFERROR(__xludf.DUMMYFUNCTION("""COMPUTED_VALUE"""),730.0)</f>
        <v>730</v>
      </c>
      <c r="C81" s="12">
        <v>534.0</v>
      </c>
      <c r="D81" s="13">
        <v>721.993125983549</v>
      </c>
      <c r="E81" s="13">
        <v>965.898230142077</v>
      </c>
      <c r="F81" s="12">
        <v>616.096254871533</v>
      </c>
      <c r="G81" s="12">
        <v>534.000023945518</v>
      </c>
      <c r="H81" s="12">
        <v>808.752178913706</v>
      </c>
      <c r="I81" s="12">
        <v>535.146607573573</v>
      </c>
      <c r="J81" s="12">
        <v>808.6152428965</v>
      </c>
      <c r="K81" s="12">
        <v>534.0</v>
      </c>
      <c r="L81" s="12">
        <v>530.833556707918</v>
      </c>
      <c r="M81" s="12">
        <v>510.006929213147</v>
      </c>
      <c r="N81" s="12">
        <v>546.600000557223</v>
      </c>
      <c r="O81" s="7">
        <v>700.496532303055</v>
      </c>
      <c r="P81" s="7">
        <v>534.0</v>
      </c>
      <c r="Q81" s="7">
        <v>568.833333333333</v>
      </c>
      <c r="R81" s="7">
        <v>623.703030707361</v>
      </c>
      <c r="S81" s="7">
        <v>838.488955411488</v>
      </c>
      <c r="T81" s="7">
        <v>534.0</v>
      </c>
      <c r="U81" s="7">
        <v>465.735666383292</v>
      </c>
      <c r="V81" s="7">
        <v>534.0</v>
      </c>
      <c r="W81" s="7">
        <v>740.359648255351</v>
      </c>
    </row>
    <row r="82">
      <c r="A82" s="8">
        <v>42614.0</v>
      </c>
      <c r="B82" s="9">
        <f>IFERROR(__xludf.DUMMYFUNCTION("""COMPUTED_VALUE"""),457.0)</f>
        <v>457</v>
      </c>
      <c r="C82" s="12">
        <v>534.0</v>
      </c>
      <c r="D82" s="13">
        <v>475.271681756272</v>
      </c>
      <c r="E82" s="13">
        <v>534.000131356729</v>
      </c>
      <c r="F82" s="12">
        <v>663.61864899651</v>
      </c>
      <c r="G82" s="12">
        <v>534.000023945518</v>
      </c>
      <c r="H82" s="12">
        <v>544.668561928611</v>
      </c>
      <c r="I82" s="12">
        <v>538.614028128324</v>
      </c>
      <c r="J82" s="12">
        <v>353.007471753849</v>
      </c>
      <c r="K82" s="12">
        <v>534.0</v>
      </c>
      <c r="L82" s="12">
        <v>525.750209039171</v>
      </c>
      <c r="M82" s="12">
        <v>-258.984728986558</v>
      </c>
      <c r="N82" s="12">
        <v>543.600000557223</v>
      </c>
      <c r="O82" s="7">
        <v>433.839827611495</v>
      </c>
      <c r="P82" s="7">
        <v>534.0</v>
      </c>
      <c r="Q82" s="7">
        <v>18.9595471059465</v>
      </c>
      <c r="R82" s="7">
        <v>550.872654056585</v>
      </c>
      <c r="S82" s="7">
        <v>760.2116651138</v>
      </c>
      <c r="T82" s="7">
        <v>534.0</v>
      </c>
      <c r="U82" s="7">
        <v>489.433175446224</v>
      </c>
      <c r="V82" s="7">
        <v>534.0</v>
      </c>
      <c r="W82" s="7">
        <v>662.514116622899</v>
      </c>
    </row>
    <row r="83">
      <c r="A83" s="8">
        <v>42644.0</v>
      </c>
      <c r="B83" s="9">
        <f>IFERROR(__xludf.DUMMYFUNCTION("""COMPUTED_VALUE"""),330.0)</f>
        <v>330</v>
      </c>
      <c r="C83" s="12">
        <v>534.0</v>
      </c>
      <c r="D83" s="13">
        <v>521.510043394597</v>
      </c>
      <c r="E83" s="13">
        <v>534.000131356729</v>
      </c>
      <c r="F83" s="12">
        <v>381.939466657484</v>
      </c>
      <c r="G83" s="12">
        <v>534.000023945518</v>
      </c>
      <c r="H83" s="12">
        <v>333.077561915818</v>
      </c>
      <c r="I83" s="12">
        <v>544.886746383017</v>
      </c>
      <c r="J83" s="12">
        <v>299.639277442979</v>
      </c>
      <c r="K83" s="12">
        <v>534.0</v>
      </c>
      <c r="L83" s="12">
        <v>531.220333160975</v>
      </c>
      <c r="M83" s="12">
        <v>424.0</v>
      </c>
      <c r="N83" s="12">
        <v>546.600000557223</v>
      </c>
      <c r="O83" s="7">
        <v>410.366325666829</v>
      </c>
      <c r="P83" s="7">
        <v>534.0</v>
      </c>
      <c r="Q83" s="7">
        <v>568.833333333333</v>
      </c>
      <c r="R83" s="7">
        <v>257.507349743249</v>
      </c>
      <c r="S83" s="7">
        <v>464.647506109203</v>
      </c>
      <c r="T83" s="7">
        <v>534.0</v>
      </c>
      <c r="U83" s="7">
        <v>571.188513377989</v>
      </c>
      <c r="V83" s="7">
        <v>534.0</v>
      </c>
      <c r="W83" s="7">
        <v>500.030365771104</v>
      </c>
    </row>
    <row r="84">
      <c r="A84" s="8">
        <v>42675.0</v>
      </c>
      <c r="B84" s="9">
        <f>IFERROR(__xludf.DUMMYFUNCTION("""COMPUTED_VALUE"""),624.0)</f>
        <v>624</v>
      </c>
      <c r="C84" s="12">
        <v>534.0</v>
      </c>
      <c r="D84" s="13">
        <v>508.591324326805</v>
      </c>
      <c r="E84" s="13">
        <v>534.000131356729</v>
      </c>
      <c r="F84" s="12">
        <v>545.42847923996</v>
      </c>
      <c r="G84" s="12">
        <v>534.000023945518</v>
      </c>
      <c r="H84" s="12">
        <v>2654.02802787467</v>
      </c>
      <c r="I84" s="12">
        <v>818.797508484119</v>
      </c>
      <c r="J84" s="12">
        <v>869.894541860977</v>
      </c>
      <c r="K84" s="12">
        <v>534.0</v>
      </c>
      <c r="L84" s="12">
        <v>529.617973569739</v>
      </c>
      <c r="M84" s="12">
        <v>909.248813446845</v>
      </c>
      <c r="N84" s="12">
        <v>546.600000557223</v>
      </c>
      <c r="O84" s="7">
        <v>567.400333317579</v>
      </c>
      <c r="P84" s="7">
        <v>534.0</v>
      </c>
      <c r="Q84" s="7">
        <v>1.09567843052554</v>
      </c>
      <c r="R84" s="7">
        <v>484.330114267565</v>
      </c>
      <c r="S84" s="7">
        <v>692.413124531501</v>
      </c>
      <c r="T84" s="7">
        <v>534.0</v>
      </c>
      <c r="U84" s="7">
        <v>571.188513377989</v>
      </c>
      <c r="V84" s="7">
        <v>534.0</v>
      </c>
      <c r="W84" s="7">
        <v>596.314044079624</v>
      </c>
    </row>
    <row r="85">
      <c r="A85" s="8">
        <v>42705.0</v>
      </c>
      <c r="B85" s="9">
        <f>IFERROR(__xludf.DUMMYFUNCTION("""COMPUTED_VALUE"""),793.0)</f>
        <v>793</v>
      </c>
      <c r="C85" s="12">
        <v>534.0</v>
      </c>
      <c r="D85" s="13">
        <v>508.937339306745</v>
      </c>
      <c r="E85" s="13">
        <v>534.000131356729</v>
      </c>
      <c r="F85" s="12">
        <v>235.243406668387</v>
      </c>
      <c r="G85" s="12">
        <v>534.000023945518</v>
      </c>
      <c r="H85" s="12">
        <v>194.131288367147</v>
      </c>
      <c r="I85" s="12">
        <v>549.701543471396</v>
      </c>
      <c r="J85" s="12">
        <v>273.695842824834</v>
      </c>
      <c r="K85" s="12">
        <v>2601.0507040451</v>
      </c>
      <c r="L85" s="12">
        <v>529.949496243788</v>
      </c>
      <c r="M85" s="12">
        <v>424.0</v>
      </c>
      <c r="N85" s="12">
        <v>546.600000557223</v>
      </c>
      <c r="O85" s="7">
        <v>274.558896951201</v>
      </c>
      <c r="P85" s="7">
        <v>534.0</v>
      </c>
      <c r="Q85" s="7">
        <v>0.0</v>
      </c>
      <c r="R85" s="7">
        <v>77.81520211827</v>
      </c>
      <c r="S85" s="7">
        <v>364.800649808346</v>
      </c>
      <c r="T85" s="7">
        <v>534.0</v>
      </c>
      <c r="U85" s="7">
        <v>571.188513377989</v>
      </c>
      <c r="V85" s="7">
        <v>534.0</v>
      </c>
      <c r="W85" s="7">
        <v>402.547406020999</v>
      </c>
    </row>
    <row r="86">
      <c r="A86" s="8">
        <v>42736.0</v>
      </c>
      <c r="B86" s="9">
        <f>IFERROR(__xludf.DUMMYFUNCTION("""COMPUTED_VALUE"""),1396.0)</f>
        <v>1396</v>
      </c>
      <c r="C86" s="12">
        <v>1630.13620661553</v>
      </c>
      <c r="D86" s="13">
        <v>1266.34600492938</v>
      </c>
      <c r="E86" s="13">
        <v>1551.0416022983</v>
      </c>
      <c r="F86" s="12">
        <v>1406.8777505209</v>
      </c>
      <c r="G86" s="12">
        <v>557.37368858349</v>
      </c>
      <c r="H86" s="12">
        <v>450.657386034528</v>
      </c>
      <c r="I86" s="12">
        <v>767.6354312722</v>
      </c>
      <c r="J86" s="12">
        <v>429.115554446588</v>
      </c>
      <c r="K86" s="12">
        <v>1131.18525552296</v>
      </c>
      <c r="L86" s="12">
        <v>539.674161349218</v>
      </c>
      <c r="M86" s="12">
        <v>614.205553418979</v>
      </c>
      <c r="N86" s="12">
        <v>889.221531323718</v>
      </c>
      <c r="O86" s="7">
        <v>1416.1095810229</v>
      </c>
      <c r="P86" s="7">
        <v>534.0</v>
      </c>
      <c r="Q86" s="7">
        <v>568.833333333333</v>
      </c>
      <c r="R86" s="7">
        <v>1032.04709532773</v>
      </c>
      <c r="S86" s="7">
        <v>1495.64374122959</v>
      </c>
      <c r="T86" s="7">
        <v>853.529889527181</v>
      </c>
      <c r="U86" s="7">
        <v>1210.53524438647</v>
      </c>
      <c r="V86" s="7">
        <v>568.226384761699</v>
      </c>
      <c r="W86" s="7">
        <v>1526.56350246577</v>
      </c>
    </row>
    <row r="87">
      <c r="A87" s="8">
        <v>42767.0</v>
      </c>
      <c r="B87" s="9">
        <f>IFERROR(__xludf.DUMMYFUNCTION("""COMPUTED_VALUE"""),3122.0)</f>
        <v>3122</v>
      </c>
      <c r="C87" s="12">
        <v>3181.53505598252</v>
      </c>
      <c r="D87" s="13">
        <v>3216.8553123014</v>
      </c>
      <c r="E87" s="13">
        <v>3152.79415214864</v>
      </c>
      <c r="F87" s="12">
        <v>3129.25558357187</v>
      </c>
      <c r="G87" s="12">
        <v>2760.42575760309</v>
      </c>
      <c r="H87" s="12">
        <v>3126.05228377383</v>
      </c>
      <c r="I87" s="12">
        <v>3122.0012868275</v>
      </c>
      <c r="J87" s="12">
        <v>3087.55835886138</v>
      </c>
      <c r="K87" s="12">
        <v>3122.78464597736</v>
      </c>
      <c r="L87" s="12">
        <v>3121.98715018328</v>
      </c>
      <c r="M87" s="12">
        <v>3233.90667109047</v>
      </c>
      <c r="N87" s="12">
        <v>3987.63966017473</v>
      </c>
      <c r="O87" s="7">
        <v>3122.36557242823</v>
      </c>
      <c r="P87" s="7">
        <v>2256.21476816671</v>
      </c>
      <c r="Q87" s="7">
        <v>568.833333333333</v>
      </c>
      <c r="R87" s="7">
        <v>1524.70328247451</v>
      </c>
      <c r="S87" s="7">
        <v>2181.66913628073</v>
      </c>
      <c r="T87" s="7">
        <v>898.873468759028</v>
      </c>
      <c r="U87" s="7">
        <v>3212.40800786036</v>
      </c>
      <c r="V87" s="7">
        <v>2728.84473654203</v>
      </c>
      <c r="W87" s="7">
        <v>3023.16129719888</v>
      </c>
    </row>
    <row r="88">
      <c r="A88" s="8">
        <v>42795.0</v>
      </c>
      <c r="B88" s="9">
        <f>IFERROR(__xludf.DUMMYFUNCTION("""COMPUTED_VALUE"""),3050.0)</f>
        <v>3050</v>
      </c>
      <c r="C88" s="12">
        <v>3512.83569771938</v>
      </c>
      <c r="D88" s="13">
        <v>2245.60593673519</v>
      </c>
      <c r="E88" s="13">
        <v>3330.86081399161</v>
      </c>
      <c r="F88" s="12">
        <v>2792.32324216329</v>
      </c>
      <c r="G88" s="12">
        <v>2732.39018494404</v>
      </c>
      <c r="H88" s="12">
        <v>3182.69353687654</v>
      </c>
      <c r="I88" s="12">
        <v>925.511533115127</v>
      </c>
      <c r="J88" s="12">
        <v>239.63767416824</v>
      </c>
      <c r="K88" s="12">
        <v>2901.18073520043</v>
      </c>
      <c r="L88" s="12">
        <v>525.750209039171</v>
      </c>
      <c r="M88" s="12">
        <v>424.0</v>
      </c>
      <c r="N88" s="12">
        <v>2974.5222904749</v>
      </c>
      <c r="O88" s="7">
        <v>2928.0507909165</v>
      </c>
      <c r="P88" s="7">
        <v>1579.58990229972</v>
      </c>
      <c r="Q88" s="7">
        <v>568.833333333333</v>
      </c>
      <c r="R88" s="7">
        <v>2872.41403881962</v>
      </c>
      <c r="S88" s="7">
        <v>4189.57353691806</v>
      </c>
      <c r="T88" s="7">
        <v>2978.33734192844</v>
      </c>
      <c r="U88" s="7">
        <v>2890.25198811005</v>
      </c>
      <c r="V88" s="7">
        <v>2642.89011076282</v>
      </c>
      <c r="W88" s="7">
        <v>3047.09970494263</v>
      </c>
    </row>
    <row r="89">
      <c r="A89" s="8">
        <v>42826.0</v>
      </c>
      <c r="B89" s="9">
        <f>IFERROR(__xludf.DUMMYFUNCTION("""COMPUTED_VALUE"""),2000.0)</f>
        <v>2000</v>
      </c>
      <c r="C89" s="12">
        <v>2552.45385436449</v>
      </c>
      <c r="D89" s="13">
        <v>2038.24127002837</v>
      </c>
      <c r="E89" s="13">
        <v>1699.96803949968</v>
      </c>
      <c r="F89" s="12">
        <v>1970.23223534938</v>
      </c>
      <c r="G89" s="12">
        <v>1870.521626945</v>
      </c>
      <c r="H89" s="12">
        <v>1729.45680219246</v>
      </c>
      <c r="I89" s="12">
        <v>1709.00474718929</v>
      </c>
      <c r="J89" s="12">
        <v>1715.9262304399</v>
      </c>
      <c r="K89" s="12">
        <v>1843.41233966225</v>
      </c>
      <c r="L89" s="12">
        <v>525.750209039171</v>
      </c>
      <c r="M89" s="12">
        <v>1713.758989886</v>
      </c>
      <c r="N89" s="12">
        <v>1678.55696328184</v>
      </c>
      <c r="O89" s="7">
        <v>1869.7657883741</v>
      </c>
      <c r="P89" s="7">
        <v>2230.12681998097</v>
      </c>
      <c r="Q89" s="7">
        <v>1566.88114815828</v>
      </c>
      <c r="R89" s="7">
        <v>2390.9752388944</v>
      </c>
      <c r="S89" s="7">
        <v>2621.47169044366</v>
      </c>
      <c r="T89" s="7">
        <v>1540.01583000037</v>
      </c>
      <c r="U89" s="7">
        <v>1969.46625714058</v>
      </c>
      <c r="V89" s="7">
        <v>1894.58302252964</v>
      </c>
      <c r="W89" s="7">
        <v>1907.86601621905</v>
      </c>
    </row>
    <row r="90">
      <c r="A90" s="8">
        <v>42856.0</v>
      </c>
      <c r="B90" s="9">
        <f>IFERROR(__xludf.DUMMYFUNCTION("""COMPUTED_VALUE"""),626.0)</f>
        <v>626</v>
      </c>
      <c r="C90" s="12">
        <v>534.0</v>
      </c>
      <c r="D90" s="13">
        <v>539.880435198438</v>
      </c>
      <c r="E90" s="13">
        <v>534.000131356729</v>
      </c>
      <c r="F90" s="12">
        <v>-627.721758212772</v>
      </c>
      <c r="G90" s="12">
        <v>534.000023945518</v>
      </c>
      <c r="H90" s="12">
        <v>-579.863789317638</v>
      </c>
      <c r="I90" s="12">
        <v>470.839083731692</v>
      </c>
      <c r="J90" s="12">
        <v>594.322429073475</v>
      </c>
      <c r="K90" s="12">
        <v>534.0</v>
      </c>
      <c r="L90" s="12">
        <v>525.750209039171</v>
      </c>
      <c r="M90" s="12">
        <v>424.0</v>
      </c>
      <c r="N90" s="12">
        <v>-144.399999442777</v>
      </c>
      <c r="O90" s="7">
        <v>-556.617772854082</v>
      </c>
      <c r="P90" s="7">
        <v>534.0</v>
      </c>
      <c r="Q90" s="7">
        <v>568.833333333333</v>
      </c>
      <c r="R90" s="7">
        <v>1343.26012237605</v>
      </c>
      <c r="S90" s="7">
        <v>-230.919088680869</v>
      </c>
      <c r="T90" s="7">
        <v>534.0</v>
      </c>
      <c r="U90" s="7">
        <v>571.188513377989</v>
      </c>
      <c r="V90" s="7">
        <v>534.0</v>
      </c>
      <c r="W90" s="7">
        <v>-667.250296668382</v>
      </c>
    </row>
    <row r="91">
      <c r="A91" s="8">
        <v>42887.0</v>
      </c>
      <c r="B91" s="9">
        <f>IFERROR(__xludf.DUMMYFUNCTION("""COMPUTED_VALUE"""),295.0)</f>
        <v>295</v>
      </c>
      <c r="C91" s="12">
        <v>534.0</v>
      </c>
      <c r="D91" s="13">
        <v>498.801924395968</v>
      </c>
      <c r="E91" s="13">
        <v>534.000131356729</v>
      </c>
      <c r="F91" s="12">
        <v>381.729871382954</v>
      </c>
      <c r="G91" s="12">
        <v>534.000023945518</v>
      </c>
      <c r="H91" s="12">
        <v>311.411737344131</v>
      </c>
      <c r="I91" s="12">
        <v>330.388184897628</v>
      </c>
      <c r="J91" s="12">
        <v>347.966928803553</v>
      </c>
      <c r="K91" s="12">
        <v>534.0</v>
      </c>
      <c r="L91" s="12">
        <v>525.750209039171</v>
      </c>
      <c r="M91" s="12">
        <v>424.0</v>
      </c>
      <c r="N91" s="12">
        <v>150.600000557223</v>
      </c>
      <c r="O91" s="7">
        <v>396.226060346063</v>
      </c>
      <c r="P91" s="7">
        <v>534.0</v>
      </c>
      <c r="Q91" s="7">
        <v>568.833333333333</v>
      </c>
      <c r="R91" s="7">
        <v>288.156466311609</v>
      </c>
      <c r="S91" s="7">
        <v>901.588319156734</v>
      </c>
      <c r="T91" s="7">
        <v>534.0</v>
      </c>
      <c r="U91" s="7">
        <v>571.188513377989</v>
      </c>
      <c r="V91" s="7">
        <v>534.0</v>
      </c>
      <c r="W91" s="7">
        <v>362.894153937778</v>
      </c>
    </row>
    <row r="92">
      <c r="A92" s="33">
        <v>42917.0</v>
      </c>
      <c r="B92" s="9">
        <f>IFERROR(__xludf.DUMMYFUNCTION("""COMPUTED_VALUE"""),204.0)</f>
        <v>204</v>
      </c>
      <c r="C92" s="12">
        <v>534.0</v>
      </c>
      <c r="D92" s="13">
        <v>507.343301710783</v>
      </c>
      <c r="E92" s="13">
        <v>534.000131356729</v>
      </c>
      <c r="F92" s="12">
        <v>355.974344009261</v>
      </c>
      <c r="G92" s="12">
        <v>534.000023945518</v>
      </c>
      <c r="H92" s="12">
        <v>348.201200461606</v>
      </c>
      <c r="I92" s="12">
        <v>201.687992683143</v>
      </c>
      <c r="J92" s="12">
        <v>382.52360576608</v>
      </c>
      <c r="K92" s="12">
        <v>534.0</v>
      </c>
      <c r="L92" s="12">
        <v>525.750209039171</v>
      </c>
      <c r="M92" s="12">
        <v>424.0</v>
      </c>
      <c r="N92" s="12">
        <v>180.600000557223</v>
      </c>
      <c r="O92" s="7">
        <v>445.548257419395</v>
      </c>
      <c r="P92" s="7">
        <v>1159.921343508</v>
      </c>
      <c r="Q92" s="7">
        <v>568.833333333333</v>
      </c>
      <c r="R92" s="7">
        <v>304.43879570226</v>
      </c>
      <c r="S92" s="7">
        <v>382.398720164588</v>
      </c>
      <c r="T92" s="7">
        <v>534.0</v>
      </c>
      <c r="U92" s="7">
        <v>571.188513377989</v>
      </c>
      <c r="V92" s="7">
        <v>534.0</v>
      </c>
      <c r="W92" s="7">
        <v>418.26167969936</v>
      </c>
    </row>
    <row r="93">
      <c r="A93" s="8">
        <v>42948.0</v>
      </c>
      <c r="B93" s="9">
        <f>IFERROR(__xludf.DUMMYFUNCTION("""COMPUTED_VALUE"""),368.0)</f>
        <v>368</v>
      </c>
      <c r="C93" s="12">
        <v>534.0</v>
      </c>
      <c r="D93" s="13">
        <v>513.038582060577</v>
      </c>
      <c r="E93" s="13">
        <v>534.000131356729</v>
      </c>
      <c r="F93" s="12">
        <v>573.539293224903</v>
      </c>
      <c r="G93" s="12">
        <v>534.000023945518</v>
      </c>
      <c r="H93" s="12">
        <v>706.524833285569</v>
      </c>
      <c r="I93" s="12">
        <v>508.026205394977</v>
      </c>
      <c r="J93" s="12">
        <v>440.13062622091</v>
      </c>
      <c r="K93" s="12">
        <v>534.0</v>
      </c>
      <c r="L93" s="12">
        <v>525.750209039171</v>
      </c>
      <c r="M93" s="12">
        <v>424.0</v>
      </c>
      <c r="N93" s="12">
        <v>-1051.39999944278</v>
      </c>
      <c r="O93" s="7">
        <v>414.85148454956</v>
      </c>
      <c r="P93" s="7">
        <v>1547.91580721349</v>
      </c>
      <c r="Q93" s="7">
        <v>97.9326382343412</v>
      </c>
      <c r="R93" s="7">
        <v>208.992334022523</v>
      </c>
      <c r="S93" s="7">
        <v>413.0</v>
      </c>
      <c r="T93" s="7">
        <v>534.0</v>
      </c>
      <c r="U93" s="7">
        <v>571.188513377989</v>
      </c>
      <c r="V93" s="7">
        <v>534.0</v>
      </c>
      <c r="W93" s="7">
        <v>312.466651397343</v>
      </c>
    </row>
    <row r="94">
      <c r="A94" s="14">
        <v>42979.0</v>
      </c>
      <c r="B94" s="9">
        <f>IFERROR(__xludf.DUMMYFUNCTION("""COMPUTED_VALUE"""),412.0)</f>
        <v>412</v>
      </c>
      <c r="C94" s="12">
        <v>553.748373724766</v>
      </c>
      <c r="D94" s="13">
        <v>537.316534687062</v>
      </c>
      <c r="E94" s="13">
        <v>534.000131356729</v>
      </c>
      <c r="F94" s="12">
        <v>490.548040623795</v>
      </c>
      <c r="G94" s="12">
        <v>534.000023945518</v>
      </c>
      <c r="H94" s="12">
        <v>412.347567823559</v>
      </c>
      <c r="I94" s="12">
        <v>547.937095033389</v>
      </c>
      <c r="J94" s="12">
        <v>601.778427139786</v>
      </c>
      <c r="K94" s="12">
        <v>534.0</v>
      </c>
      <c r="L94" s="12">
        <v>576.196909273586</v>
      </c>
      <c r="M94" s="12">
        <v>563.938948887998</v>
      </c>
      <c r="N94" s="12">
        <v>-421.399999442777</v>
      </c>
      <c r="O94" s="7">
        <v>547.869282673247</v>
      </c>
      <c r="P94" s="7">
        <v>534.0</v>
      </c>
      <c r="Q94" s="7">
        <v>296.4</v>
      </c>
      <c r="R94" s="7">
        <v>291.453667739626</v>
      </c>
      <c r="S94" s="7">
        <v>794.423111579962</v>
      </c>
      <c r="T94" s="7">
        <v>534.0</v>
      </c>
      <c r="U94" s="7">
        <v>571.188513377989</v>
      </c>
      <c r="V94" s="7">
        <v>534.0</v>
      </c>
      <c r="W94" s="7">
        <v>-165.114339379815</v>
      </c>
    </row>
    <row r="95">
      <c r="A95" s="14">
        <v>43009.0</v>
      </c>
      <c r="B95" s="9">
        <f>IFERROR(__xludf.DUMMYFUNCTION("""COMPUTED_VALUE"""),677.0)</f>
        <v>677</v>
      </c>
      <c r="C95" s="12">
        <v>534.0</v>
      </c>
      <c r="D95" s="13">
        <v>1934.63358689311</v>
      </c>
      <c r="E95" s="13">
        <v>1434.42735748665</v>
      </c>
      <c r="F95" s="12">
        <v>1626.53514191191</v>
      </c>
      <c r="G95" s="12">
        <v>1858.06398042984</v>
      </c>
      <c r="H95" s="12">
        <v>489.888325564485</v>
      </c>
      <c r="I95" s="12">
        <v>1633.78406414644</v>
      </c>
      <c r="J95" s="12">
        <v>1488.64740290972</v>
      </c>
      <c r="K95" s="12">
        <v>534.0</v>
      </c>
      <c r="L95" s="12">
        <v>1243.1538754931</v>
      </c>
      <c r="M95" s="12">
        <v>1691.98102103048</v>
      </c>
      <c r="N95" s="12">
        <v>398.600000557223</v>
      </c>
      <c r="O95" s="7">
        <v>1640.82928188979</v>
      </c>
      <c r="P95" s="7">
        <v>16267.3644061671</v>
      </c>
      <c r="Q95" s="7">
        <v>568.833333333333</v>
      </c>
      <c r="R95" s="7">
        <v>612.944668557352</v>
      </c>
      <c r="S95" s="7">
        <v>1299.56195854932</v>
      </c>
      <c r="T95" s="7">
        <v>534.0</v>
      </c>
      <c r="U95" s="7">
        <v>1680.73291344344</v>
      </c>
      <c r="V95" s="7">
        <v>1813.08470042883</v>
      </c>
      <c r="W95" s="7">
        <v>440.345090260018</v>
      </c>
    </row>
    <row r="96">
      <c r="A96" s="14">
        <v>43040.0</v>
      </c>
      <c r="B96" s="9">
        <f>IFERROR(__xludf.DUMMYFUNCTION("""COMPUTED_VALUE"""),3027.0)</f>
        <v>3027</v>
      </c>
      <c r="C96" s="12">
        <v>534.0</v>
      </c>
      <c r="D96" s="13">
        <v>520.579948658657</v>
      </c>
      <c r="E96" s="13">
        <v>1022.74548494803</v>
      </c>
      <c r="F96" s="12">
        <v>422.699629705747</v>
      </c>
      <c r="G96" s="12">
        <v>534.000023945518</v>
      </c>
      <c r="H96" s="12">
        <v>423.160722431319</v>
      </c>
      <c r="I96" s="12">
        <v>2425.42262234997</v>
      </c>
      <c r="J96" s="12">
        <v>527.735629610556</v>
      </c>
      <c r="K96" s="12">
        <v>534.0</v>
      </c>
      <c r="L96" s="12">
        <v>529.562719790731</v>
      </c>
      <c r="M96" s="12">
        <v>439.076660664706</v>
      </c>
      <c r="N96" s="12">
        <v>304.600000557223</v>
      </c>
      <c r="O96" s="7">
        <v>452.542069160535</v>
      </c>
      <c r="P96" s="7">
        <v>534.0</v>
      </c>
      <c r="Q96" s="7">
        <v>568.833333333333</v>
      </c>
      <c r="R96" s="7">
        <v>484.882969267118</v>
      </c>
      <c r="S96" s="7">
        <v>937.24262680866</v>
      </c>
      <c r="T96" s="7">
        <v>534.0</v>
      </c>
      <c r="U96" s="7">
        <v>571.188513377989</v>
      </c>
      <c r="V96" s="7">
        <v>534.0</v>
      </c>
      <c r="W96" s="7">
        <v>495.580576207967</v>
      </c>
    </row>
    <row r="97">
      <c r="A97" s="14">
        <v>43070.0</v>
      </c>
      <c r="B97" s="43">
        <f>IFERROR(__xludf.DUMMYFUNCTION("""COMPUTED_VALUE"""),508.0)</f>
        <v>508</v>
      </c>
      <c r="C97" s="12">
        <v>534.0</v>
      </c>
      <c r="D97" s="12">
        <v>1272.78836745733</v>
      </c>
      <c r="E97" s="12">
        <v>2027.41966852299</v>
      </c>
      <c r="F97" s="12">
        <v>1525.16970251347</v>
      </c>
      <c r="G97" s="12">
        <v>2773.15230947685</v>
      </c>
      <c r="H97" s="12">
        <v>490.338493091614</v>
      </c>
      <c r="I97" s="12">
        <v>2083.94780793392</v>
      </c>
      <c r="J97" s="12">
        <v>678.270775357614</v>
      </c>
      <c r="K97" s="12">
        <v>534.0</v>
      </c>
      <c r="L97" s="12">
        <v>641.423995392674</v>
      </c>
      <c r="M97" s="12">
        <v>801.116207487394</v>
      </c>
      <c r="N97" s="12">
        <v>271.600000557223</v>
      </c>
      <c r="O97" s="7">
        <v>1553.02983834479</v>
      </c>
      <c r="P97" s="7">
        <v>1462.61463535866</v>
      </c>
      <c r="Q97" s="7">
        <v>568.833333333333</v>
      </c>
      <c r="R97" s="7">
        <v>408.543102220505</v>
      </c>
      <c r="S97" s="7">
        <v>1778.37539963253</v>
      </c>
      <c r="T97" s="7">
        <v>534.0</v>
      </c>
      <c r="U97" s="7">
        <v>945.794258897936</v>
      </c>
      <c r="V97" s="7">
        <v>2927.15123608904</v>
      </c>
      <c r="W97" s="7">
        <v>1114.32957635004</v>
      </c>
    </row>
    <row r="98">
      <c r="A98" s="19">
        <v>43101.0</v>
      </c>
      <c r="B98" s="43">
        <f>IFERROR(__xludf.DUMMYFUNCTION("""COMPUTED_VALUE"""),660.0)</f>
        <v>660</v>
      </c>
      <c r="C98" s="12">
        <v>534.0</v>
      </c>
      <c r="D98" s="12">
        <v>502.114963413131</v>
      </c>
      <c r="E98" s="12">
        <v>534.000131356729</v>
      </c>
      <c r="F98" s="12">
        <v>385.271130272181</v>
      </c>
      <c r="G98" s="12">
        <v>534.000023945518</v>
      </c>
      <c r="H98" s="12">
        <v>450.91022714014</v>
      </c>
      <c r="I98" s="12">
        <v>3687.04529706589</v>
      </c>
      <c r="J98" s="12">
        <v>580.394880919017</v>
      </c>
      <c r="K98" s="12">
        <v>534.0</v>
      </c>
      <c r="L98" s="12">
        <v>525.750209039171</v>
      </c>
      <c r="M98" s="12">
        <v>424.0</v>
      </c>
      <c r="N98" s="12">
        <v>365.600000557223</v>
      </c>
      <c r="O98" s="7">
        <v>484.151704792038</v>
      </c>
      <c r="P98" s="7">
        <v>1122.87527939709</v>
      </c>
      <c r="Q98" s="7">
        <v>568.833333333333</v>
      </c>
      <c r="R98" s="7">
        <v>507.340013797926</v>
      </c>
      <c r="S98" s="7">
        <v>1057.24841522109</v>
      </c>
      <c r="T98" s="7">
        <v>534.0</v>
      </c>
      <c r="U98" s="7">
        <v>571.188513377989</v>
      </c>
      <c r="V98" s="7">
        <v>534.0</v>
      </c>
      <c r="W98" s="7">
        <v>549.550499908681</v>
      </c>
    </row>
    <row r="99">
      <c r="A99" s="19">
        <v>43132.0</v>
      </c>
      <c r="B99" s="43">
        <f>IFERROR(__xludf.DUMMYFUNCTION("""COMPUTED_VALUE"""),537.0)</f>
        <v>537</v>
      </c>
      <c r="C99" s="12">
        <v>1042.25747711249</v>
      </c>
      <c r="D99" s="12">
        <v>804.11889860726</v>
      </c>
      <c r="E99" s="12">
        <v>2759.55783761293</v>
      </c>
      <c r="F99" s="12">
        <v>941.087743565987</v>
      </c>
      <c r="G99" s="12">
        <v>534.000023945518</v>
      </c>
      <c r="H99" s="12">
        <v>492.437157615672</v>
      </c>
      <c r="I99" s="12">
        <v>2729.5243831122</v>
      </c>
      <c r="J99" s="12">
        <v>466.153646395242</v>
      </c>
      <c r="K99" s="12">
        <v>3484.47279309543</v>
      </c>
      <c r="L99" s="12">
        <v>525.750209039171</v>
      </c>
      <c r="M99" s="12">
        <v>424.0</v>
      </c>
      <c r="N99" s="12">
        <v>287.600000557223</v>
      </c>
      <c r="O99" s="7">
        <v>414.789939303524</v>
      </c>
      <c r="P99" s="7">
        <v>1754.58378351697</v>
      </c>
      <c r="Q99" s="7">
        <v>182.704378290134</v>
      </c>
      <c r="R99" s="7">
        <v>2479.0</v>
      </c>
      <c r="S99" s="7">
        <v>747.756702614668</v>
      </c>
      <c r="T99" s="7">
        <v>534.0</v>
      </c>
      <c r="U99" s="7">
        <v>571.188513377989</v>
      </c>
      <c r="V99" s="7">
        <v>534.0</v>
      </c>
      <c r="W99" s="7">
        <v>707.506051180604</v>
      </c>
    </row>
    <row r="100">
      <c r="A100" s="15">
        <v>43160.0</v>
      </c>
      <c r="B100" s="43">
        <f>IFERROR(__xludf.DUMMYFUNCTION("""COMPUTED_VALUE"""),822.0)</f>
        <v>822</v>
      </c>
      <c r="C100" s="12">
        <v>1509.76741249075</v>
      </c>
      <c r="D100" s="12">
        <v>1422.15950549612</v>
      </c>
      <c r="E100" s="12">
        <v>947.885447543562</v>
      </c>
      <c r="F100" s="12">
        <v>970.156151224832</v>
      </c>
      <c r="G100" s="12">
        <v>534.000023945518</v>
      </c>
      <c r="H100" s="12">
        <v>411.629064775063</v>
      </c>
      <c r="I100" s="12">
        <v>851.993869836781</v>
      </c>
      <c r="J100" s="12">
        <v>984.354188756945</v>
      </c>
      <c r="K100" s="12">
        <v>977.515362662858</v>
      </c>
      <c r="L100" s="12">
        <v>525.750209039171</v>
      </c>
      <c r="M100" s="12">
        <v>616.638920530806</v>
      </c>
      <c r="N100" s="12">
        <v>-1246.39999944278</v>
      </c>
      <c r="O100" s="7">
        <v>599.811672384885</v>
      </c>
      <c r="P100" s="7">
        <v>6569.26579637704</v>
      </c>
      <c r="Q100" s="7">
        <v>384.01759782217</v>
      </c>
      <c r="R100" s="7">
        <v>1022.36958531025</v>
      </c>
      <c r="S100" s="7">
        <v>1156.94135199296</v>
      </c>
      <c r="T100" s="7">
        <v>534.0</v>
      </c>
      <c r="U100" s="7">
        <v>621.643805026178</v>
      </c>
      <c r="V100" s="7">
        <v>853.425030093313</v>
      </c>
      <c r="W100" s="7">
        <v>1052.08178950243</v>
      </c>
    </row>
    <row r="101">
      <c r="A101" s="15">
        <v>43191.0</v>
      </c>
      <c r="B101" s="43">
        <f>IFERROR(__xludf.DUMMYFUNCTION("""COMPUTED_VALUE"""),8955.0)</f>
        <v>8955</v>
      </c>
      <c r="C101" s="12">
        <v>1047.13774833555</v>
      </c>
      <c r="D101" s="12">
        <v>748.111746572155</v>
      </c>
      <c r="E101" s="12">
        <v>1211.17770545833</v>
      </c>
      <c r="F101" s="12">
        <v>817.629787335133</v>
      </c>
      <c r="G101" s="12">
        <v>534.000023945518</v>
      </c>
      <c r="H101" s="12">
        <v>670.067864301085</v>
      </c>
      <c r="I101" s="12">
        <v>1545.47109248222</v>
      </c>
      <c r="J101" s="12">
        <v>1222.19640847996</v>
      </c>
      <c r="K101" s="12">
        <v>534.0</v>
      </c>
      <c r="L101" s="12">
        <v>543.928702332843</v>
      </c>
      <c r="M101" s="12">
        <v>733.021620909051</v>
      </c>
      <c r="N101" s="12">
        <v>-1106.39999944278</v>
      </c>
      <c r="O101" s="7">
        <v>873.272925996961</v>
      </c>
      <c r="P101" s="7">
        <v>1362.4419990093</v>
      </c>
      <c r="Q101" s="7">
        <v>314.541456421094</v>
      </c>
      <c r="R101" s="7">
        <v>1101.34705643292</v>
      </c>
      <c r="S101" s="7">
        <v>950.055794387877</v>
      </c>
      <c r="T101" s="7">
        <v>534.0</v>
      </c>
      <c r="U101" s="7">
        <v>571.188513377989</v>
      </c>
      <c r="V101" s="7">
        <v>534.0</v>
      </c>
      <c r="W101" s="7">
        <v>691.127292858187</v>
      </c>
    </row>
    <row r="102">
      <c r="A102" s="48">
        <v>43221.0</v>
      </c>
      <c r="B102" s="43">
        <f>IFERROR(__xludf.DUMMYFUNCTION("""COMPUTED_VALUE"""),12295.0)</f>
        <v>12295</v>
      </c>
      <c r="C102" s="12">
        <v>534.0</v>
      </c>
      <c r="D102" s="12">
        <v>15830.4459369385</v>
      </c>
      <c r="E102" s="12">
        <v>15305.1238624987</v>
      </c>
      <c r="F102" s="12">
        <v>14666.4284358527</v>
      </c>
      <c r="G102" s="12">
        <v>16469.0134730426</v>
      </c>
      <c r="H102" s="12">
        <v>377.847277448188</v>
      </c>
      <c r="I102" s="12">
        <v>774.760970025383</v>
      </c>
      <c r="J102" s="12">
        <v>897.133623709907</v>
      </c>
      <c r="K102" s="12">
        <v>6106.74519393651</v>
      </c>
      <c r="L102" s="12">
        <v>525.750209039171</v>
      </c>
      <c r="M102" s="12">
        <v>495.226150081345</v>
      </c>
      <c r="N102" s="12">
        <v>389.600000557223</v>
      </c>
      <c r="O102" s="7">
        <v>505.532443323655</v>
      </c>
      <c r="P102" s="7">
        <v>22136.0946777047</v>
      </c>
      <c r="Q102" s="7">
        <v>520.888250932584</v>
      </c>
      <c r="R102" s="7">
        <v>1056.66506756651</v>
      </c>
      <c r="S102" s="7">
        <v>12217.9492239445</v>
      </c>
      <c r="T102" s="7">
        <v>534.0</v>
      </c>
      <c r="U102" s="7">
        <v>9143.89525491494</v>
      </c>
      <c r="V102" s="7">
        <v>16287.2502545121</v>
      </c>
      <c r="W102" s="7">
        <v>8842.03197346757</v>
      </c>
    </row>
    <row r="103">
      <c r="A103" s="15">
        <v>43252.0</v>
      </c>
      <c r="B103" s="43">
        <f>IFERROR(__xludf.DUMMYFUNCTION("""COMPUTED_VALUE"""),380.0)</f>
        <v>380</v>
      </c>
      <c r="C103" s="7">
        <v>534.0</v>
      </c>
      <c r="D103" s="7">
        <v>1903.59258924937</v>
      </c>
      <c r="E103" s="7">
        <v>3293.34139261023</v>
      </c>
      <c r="F103" s="7">
        <v>1902.81366161065</v>
      </c>
      <c r="G103" s="7">
        <v>810.232193801073</v>
      </c>
      <c r="H103" s="7">
        <v>351.018323630246</v>
      </c>
      <c r="I103" s="7">
        <v>2042.78016146912</v>
      </c>
      <c r="J103" s="7">
        <v>409.705819942277</v>
      </c>
      <c r="K103" s="7">
        <v>534.0</v>
      </c>
      <c r="L103" s="7">
        <v>525.750209039171</v>
      </c>
      <c r="M103" s="7">
        <v>422.827526829099</v>
      </c>
      <c r="N103" s="7">
        <v>-2924.39999944278</v>
      </c>
      <c r="O103" s="7">
        <v>573.948084192526</v>
      </c>
      <c r="P103" s="7">
        <v>534.0</v>
      </c>
      <c r="Q103" s="7">
        <v>568.833333333333</v>
      </c>
      <c r="R103" s="7">
        <v>358.411266690134</v>
      </c>
      <c r="S103" s="7">
        <v>1835.44917080011</v>
      </c>
      <c r="T103" s="7">
        <v>534.0</v>
      </c>
      <c r="U103" s="7">
        <v>977.61454925964</v>
      </c>
      <c r="V103" s="7">
        <v>534.0</v>
      </c>
      <c r="W103" s="7">
        <v>2218.89304644654</v>
      </c>
    </row>
    <row r="104">
      <c r="A104" s="15">
        <v>43282.0</v>
      </c>
      <c r="B104" s="43">
        <f>IFERROR(__xludf.DUMMYFUNCTION("""COMPUTED_VALUE"""),421.0)</f>
        <v>421</v>
      </c>
      <c r="C104" s="7">
        <v>534.0</v>
      </c>
      <c r="D104" s="7">
        <v>1332.15371154208</v>
      </c>
      <c r="E104" s="7">
        <v>1783.3313889204</v>
      </c>
      <c r="F104" s="7">
        <v>1314.27044785613</v>
      </c>
      <c r="G104" s="7">
        <v>534.000023945518</v>
      </c>
      <c r="H104" s="7">
        <v>383.969543438939</v>
      </c>
      <c r="I104" s="7">
        <v>1924.12642257963</v>
      </c>
      <c r="J104" s="7">
        <v>467.276390181146</v>
      </c>
      <c r="K104" s="7">
        <v>534.0</v>
      </c>
      <c r="L104" s="7">
        <v>525.750209039171</v>
      </c>
      <c r="M104" s="7">
        <v>439.949761967929</v>
      </c>
      <c r="N104" s="7">
        <v>254.506703271845</v>
      </c>
      <c r="O104" s="7">
        <v>452.664413431096</v>
      </c>
      <c r="P104" s="7">
        <v>534.0</v>
      </c>
      <c r="Q104" s="7">
        <v>568.833333333333</v>
      </c>
      <c r="R104" s="7">
        <v>931.471413217952</v>
      </c>
      <c r="S104" s="7">
        <v>1311.16668374178</v>
      </c>
      <c r="T104" s="7">
        <v>534.0</v>
      </c>
      <c r="U104" s="7">
        <v>569.03447691146</v>
      </c>
      <c r="V104" s="7">
        <v>775.109014128524</v>
      </c>
      <c r="W104" s="7">
        <v>1925.27282227747</v>
      </c>
    </row>
    <row r="105">
      <c r="A105" s="17">
        <v>43313.0</v>
      </c>
      <c r="C105" s="7">
        <v>534.0</v>
      </c>
      <c r="D105" s="7">
        <v>539.296361368732</v>
      </c>
      <c r="E105" s="7">
        <v>534.000131356729</v>
      </c>
      <c r="F105" s="7">
        <v>362.0977552299</v>
      </c>
      <c r="G105" s="7">
        <v>534.000023945518</v>
      </c>
      <c r="H105" s="7">
        <v>1993.42155473176</v>
      </c>
      <c r="I105" s="7">
        <v>1344.91442763416</v>
      </c>
      <c r="J105" s="7">
        <v>305.226520591088</v>
      </c>
      <c r="K105" s="7">
        <v>534.0</v>
      </c>
      <c r="L105" s="7">
        <v>525.750209039171</v>
      </c>
      <c r="M105" s="7">
        <v>438.563540348929</v>
      </c>
      <c r="N105" s="7">
        <v>-2703.39999944278</v>
      </c>
      <c r="O105" s="7">
        <v>420.668785002967</v>
      </c>
      <c r="P105" s="7">
        <v>534.0</v>
      </c>
      <c r="Q105" s="7">
        <v>568.833333333333</v>
      </c>
      <c r="R105" s="7">
        <v>990.82444170184</v>
      </c>
      <c r="S105" s="7">
        <v>493.246276143607</v>
      </c>
      <c r="T105" s="7">
        <v>534.0</v>
      </c>
      <c r="U105" s="7">
        <v>568.53841180718</v>
      </c>
      <c r="V105" s="7">
        <v>534.0</v>
      </c>
      <c r="W105" s="7">
        <v>546.816763931775</v>
      </c>
    </row>
    <row r="106">
      <c r="A106" s="15">
        <v>43344.0</v>
      </c>
    </row>
    <row r="107">
      <c r="A107" s="15">
        <v>43374.0</v>
      </c>
    </row>
    <row r="108">
      <c r="A108" s="15">
        <v>43405.0</v>
      </c>
    </row>
  </sheetData>
  <drawing r:id="rId1"/>
</worksheet>
</file>