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3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avatoBarcelos\Desktop\av final fois\v6\"/>
    </mc:Choice>
  </mc:AlternateContent>
  <xr:revisionPtr revIDLastSave="0" documentId="13_ncr:1_{C5F21A99-123D-4FB9-9DC3-F8C9EF371EC1}" xr6:coauthVersionLast="47" xr6:coauthVersionMax="47" xr10:uidLastSave="{00000000-0000-0000-0000-000000000000}"/>
  <bookViews>
    <workbookView xWindow="-120" yWindow="-120" windowWidth="29040" windowHeight="15840" firstSheet="3" activeTab="9" xr2:uid="{3321FA74-F9D1-4CA9-A820-F54A56E51B8A}"/>
  </bookViews>
  <sheets>
    <sheet name="matrixes_an" sheetId="2" r:id="rId1"/>
    <sheet name="matrixes_an_norm" sheetId="5" r:id="rId2"/>
    <sheet name="matrixes_ac" sheetId="1" r:id="rId3"/>
    <sheet name="matrixes_ac_norm" sheetId="7" r:id="rId4"/>
    <sheet name="Graphs" sheetId="8" r:id="rId5"/>
    <sheet name="leaves_an" sheetId="9" r:id="rId6"/>
    <sheet name="leaves_an_norm" sheetId="10" r:id="rId7"/>
    <sheet name="leaves_ac" sheetId="11" r:id="rId8"/>
    <sheet name="leaves_ac_norm" sheetId="13" r:id="rId9"/>
    <sheet name="Graphs Leaves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0" l="1"/>
  <c r="B3" i="16" s="1"/>
  <c r="H8" i="10" l="1"/>
  <c r="E9" i="16" s="1"/>
  <c r="G8" i="10"/>
  <c r="D9" i="16" s="1"/>
  <c r="C8" i="10"/>
  <c r="G2" i="13"/>
  <c r="D16" i="16" s="1"/>
  <c r="J11" i="11"/>
  <c r="I11" i="11"/>
  <c r="H11" i="11"/>
  <c r="G11" i="11"/>
  <c r="F11" i="11"/>
  <c r="E11" i="11"/>
  <c r="D11" i="11"/>
  <c r="C11" i="11"/>
  <c r="B11" i="11"/>
  <c r="K10" i="11"/>
  <c r="L10" i="11" s="1"/>
  <c r="K9" i="11"/>
  <c r="L9" i="11" s="1"/>
  <c r="K8" i="11"/>
  <c r="L8" i="11" s="1"/>
  <c r="K7" i="11"/>
  <c r="L7" i="11" s="1"/>
  <c r="K6" i="11"/>
  <c r="L6" i="11" s="1"/>
  <c r="K5" i="11"/>
  <c r="L5" i="11" s="1"/>
  <c r="K4" i="11"/>
  <c r="L4" i="11" s="1"/>
  <c r="K3" i="11"/>
  <c r="D3" i="13" s="1"/>
  <c r="K2" i="11"/>
  <c r="L2" i="11" s="1"/>
  <c r="J11" i="9"/>
  <c r="I11" i="9"/>
  <c r="H11" i="9"/>
  <c r="G11" i="9"/>
  <c r="F11" i="9"/>
  <c r="E11" i="9"/>
  <c r="D11" i="9"/>
  <c r="C11" i="9"/>
  <c r="B11" i="9"/>
  <c r="K10" i="9"/>
  <c r="L10" i="9" s="1"/>
  <c r="K9" i="9"/>
  <c r="L9" i="9" s="1"/>
  <c r="K8" i="9"/>
  <c r="L8" i="9" s="1"/>
  <c r="K7" i="9"/>
  <c r="L7" i="9" s="1"/>
  <c r="K6" i="9"/>
  <c r="L6" i="9" s="1"/>
  <c r="K5" i="9"/>
  <c r="L5" i="9" s="1"/>
  <c r="K4" i="9"/>
  <c r="L4" i="9" s="1"/>
  <c r="K3" i="9"/>
  <c r="L3" i="9" s="1"/>
  <c r="K2" i="9"/>
  <c r="L2" i="9" s="1"/>
  <c r="U29" i="5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Q2" i="1"/>
  <c r="R2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2" i="2"/>
  <c r="P2" i="5" s="1"/>
  <c r="W2" i="5" s="1"/>
  <c r="Q3" i="2"/>
  <c r="R3" i="2" s="1"/>
  <c r="Q4" i="2"/>
  <c r="N4" i="5" s="1"/>
  <c r="Q5" i="2"/>
  <c r="R5" i="2" s="1"/>
  <c r="Q6" i="2"/>
  <c r="P6" i="5" s="1"/>
  <c r="W6" i="5" s="1"/>
  <c r="R6" i="2"/>
  <c r="Q7" i="2"/>
  <c r="R7" i="2" s="1"/>
  <c r="Q8" i="2"/>
  <c r="N8" i="5" s="1"/>
  <c r="Q9" i="2"/>
  <c r="R9" i="2" s="1"/>
  <c r="Q10" i="2"/>
  <c r="P10" i="5" s="1"/>
  <c r="W10" i="5" s="1"/>
  <c r="G3" i="13" l="1"/>
  <c r="D17" i="16" s="1"/>
  <c r="H6" i="13"/>
  <c r="E20" i="16" s="1"/>
  <c r="B3" i="10"/>
  <c r="C3" i="10"/>
  <c r="H4" i="10"/>
  <c r="E5" i="16" s="1"/>
  <c r="D8" i="10"/>
  <c r="I9" i="13"/>
  <c r="C2" i="13"/>
  <c r="E9" i="13"/>
  <c r="D6" i="13"/>
  <c r="C3" i="13"/>
  <c r="H10" i="13"/>
  <c r="E24" i="16" s="1"/>
  <c r="G7" i="13"/>
  <c r="D21" i="16" s="1"/>
  <c r="I5" i="13"/>
  <c r="D10" i="13"/>
  <c r="C7" i="13"/>
  <c r="E5" i="13"/>
  <c r="J7" i="10"/>
  <c r="E6" i="10"/>
  <c r="C7" i="10"/>
  <c r="D4" i="10"/>
  <c r="F7" i="10"/>
  <c r="G4" i="10"/>
  <c r="D5" i="16" s="1"/>
  <c r="I10" i="10"/>
  <c r="J3" i="10"/>
  <c r="E2" i="10"/>
  <c r="G7" i="10"/>
  <c r="D8" i="16" s="1"/>
  <c r="B7" i="10"/>
  <c r="C4" i="10"/>
  <c r="E10" i="10"/>
  <c r="F3" i="10"/>
  <c r="G3" i="10"/>
  <c r="D4" i="16" s="1"/>
  <c r="I6" i="10"/>
  <c r="I2" i="10"/>
  <c r="J8" i="13"/>
  <c r="B8" i="13"/>
  <c r="B22" i="16" s="1"/>
  <c r="F4" i="13"/>
  <c r="J2" i="13"/>
  <c r="F2" i="13"/>
  <c r="B2" i="13"/>
  <c r="G10" i="13"/>
  <c r="D24" i="16" s="1"/>
  <c r="C10" i="13"/>
  <c r="H9" i="13"/>
  <c r="E23" i="16" s="1"/>
  <c r="D9" i="13"/>
  <c r="I8" i="13"/>
  <c r="E8" i="13"/>
  <c r="J7" i="13"/>
  <c r="F7" i="13"/>
  <c r="B7" i="13"/>
  <c r="G6" i="13"/>
  <c r="D20" i="16" s="1"/>
  <c r="C6" i="13"/>
  <c r="H5" i="13"/>
  <c r="E19" i="16" s="1"/>
  <c r="D5" i="13"/>
  <c r="I4" i="13"/>
  <c r="E4" i="13"/>
  <c r="J3" i="13"/>
  <c r="F3" i="13"/>
  <c r="B3" i="13"/>
  <c r="F8" i="13"/>
  <c r="J4" i="13"/>
  <c r="B4" i="13"/>
  <c r="I2" i="13"/>
  <c r="N2" i="13" s="1"/>
  <c r="E2" i="13"/>
  <c r="J10" i="13"/>
  <c r="F10" i="13"/>
  <c r="B10" i="13"/>
  <c r="G9" i="13"/>
  <c r="D23" i="16" s="1"/>
  <c r="C9" i="13"/>
  <c r="H8" i="13"/>
  <c r="E22" i="16" s="1"/>
  <c r="D8" i="13"/>
  <c r="D11" i="13" s="1"/>
  <c r="D17" i="10" s="1"/>
  <c r="I7" i="13"/>
  <c r="E7" i="13"/>
  <c r="J6" i="13"/>
  <c r="F6" i="13"/>
  <c r="F11" i="13" s="1"/>
  <c r="F17" i="10" s="1"/>
  <c r="B6" i="13"/>
  <c r="G5" i="13"/>
  <c r="C5" i="13"/>
  <c r="H4" i="13"/>
  <c r="E18" i="16" s="1"/>
  <c r="D4" i="13"/>
  <c r="I3" i="13"/>
  <c r="E3" i="13"/>
  <c r="L3" i="11"/>
  <c r="H2" i="13"/>
  <c r="E16" i="16" s="1"/>
  <c r="D2" i="13"/>
  <c r="I10" i="13"/>
  <c r="E10" i="13"/>
  <c r="J9" i="13"/>
  <c r="F9" i="13"/>
  <c r="B9" i="13"/>
  <c r="G8" i="13"/>
  <c r="D22" i="16" s="1"/>
  <c r="C8" i="13"/>
  <c r="H7" i="13"/>
  <c r="E21" i="16" s="1"/>
  <c r="D7" i="13"/>
  <c r="I6" i="13"/>
  <c r="E6" i="13"/>
  <c r="J5" i="13"/>
  <c r="F5" i="13"/>
  <c r="B5" i="13"/>
  <c r="G4" i="13"/>
  <c r="D18" i="16" s="1"/>
  <c r="C4" i="13"/>
  <c r="H3" i="13"/>
  <c r="E17" i="16" s="1"/>
  <c r="D9" i="10"/>
  <c r="H5" i="10"/>
  <c r="E6" i="16" s="1"/>
  <c r="B10" i="10"/>
  <c r="E5" i="10"/>
  <c r="F6" i="10"/>
  <c r="I9" i="10"/>
  <c r="J10" i="10"/>
  <c r="J6" i="10"/>
  <c r="B9" i="10"/>
  <c r="B5" i="10"/>
  <c r="C10" i="10"/>
  <c r="C6" i="10"/>
  <c r="C7" i="16" s="1"/>
  <c r="C2" i="10"/>
  <c r="D7" i="10"/>
  <c r="D3" i="10"/>
  <c r="C30" i="10" s="1"/>
  <c r="E8" i="10"/>
  <c r="C35" i="10" s="1"/>
  <c r="E4" i="10"/>
  <c r="F9" i="10"/>
  <c r="F5" i="10"/>
  <c r="G10" i="10"/>
  <c r="D11" i="16" s="1"/>
  <c r="G6" i="10"/>
  <c r="D7" i="16" s="1"/>
  <c r="G2" i="10"/>
  <c r="D3" i="16" s="1"/>
  <c r="H7" i="10"/>
  <c r="E8" i="16" s="1"/>
  <c r="H3" i="10"/>
  <c r="E4" i="16" s="1"/>
  <c r="I8" i="10"/>
  <c r="I4" i="10"/>
  <c r="J9" i="10"/>
  <c r="J5" i="10"/>
  <c r="D5" i="10"/>
  <c r="H9" i="10"/>
  <c r="E10" i="16" s="1"/>
  <c r="B6" i="10"/>
  <c r="E9" i="10"/>
  <c r="F10" i="10"/>
  <c r="F2" i="10"/>
  <c r="I5" i="10"/>
  <c r="J2" i="10"/>
  <c r="F3" i="16" s="1"/>
  <c r="B8" i="10"/>
  <c r="B4" i="10"/>
  <c r="C9" i="10"/>
  <c r="C5" i="10"/>
  <c r="D10" i="10"/>
  <c r="D6" i="10"/>
  <c r="D2" i="10"/>
  <c r="E7" i="10"/>
  <c r="E3" i="10"/>
  <c r="F8" i="10"/>
  <c r="F4" i="10"/>
  <c r="G9" i="10"/>
  <c r="D10" i="16" s="1"/>
  <c r="G5" i="10"/>
  <c r="D6" i="16" s="1"/>
  <c r="H10" i="10"/>
  <c r="E11" i="16" s="1"/>
  <c r="H6" i="10"/>
  <c r="E7" i="16" s="1"/>
  <c r="H2" i="10"/>
  <c r="E3" i="16" s="1"/>
  <c r="E12" i="16" s="1"/>
  <c r="I7" i="10"/>
  <c r="I3" i="10"/>
  <c r="J8" i="10"/>
  <c r="J4" i="10"/>
  <c r="N9" i="13"/>
  <c r="E11" i="10"/>
  <c r="E16" i="10" s="1"/>
  <c r="H4" i="7"/>
  <c r="P4" i="7"/>
  <c r="W4" i="7" s="1"/>
  <c r="B2" i="5"/>
  <c r="U2" i="5" s="1"/>
  <c r="D8" i="7"/>
  <c r="E9" i="7"/>
  <c r="G7" i="7"/>
  <c r="I5" i="7"/>
  <c r="L8" i="7"/>
  <c r="M9" i="7"/>
  <c r="O7" i="7"/>
  <c r="D7" i="7"/>
  <c r="E8" i="7"/>
  <c r="G3" i="7"/>
  <c r="H3" i="7"/>
  <c r="I4" i="7"/>
  <c r="L7" i="7"/>
  <c r="M8" i="7"/>
  <c r="O3" i="7"/>
  <c r="P3" i="7"/>
  <c r="W3" i="7" s="1"/>
  <c r="C7" i="7"/>
  <c r="D4" i="7"/>
  <c r="E5" i="7"/>
  <c r="H8" i="7"/>
  <c r="I9" i="7"/>
  <c r="K7" i="7"/>
  <c r="L4" i="7"/>
  <c r="M5" i="7"/>
  <c r="P8" i="7"/>
  <c r="W8" i="7" s="1"/>
  <c r="C3" i="7"/>
  <c r="D3" i="7"/>
  <c r="E4" i="7"/>
  <c r="H7" i="7"/>
  <c r="I8" i="7"/>
  <c r="K3" i="7"/>
  <c r="L3" i="7"/>
  <c r="M4" i="7"/>
  <c r="P7" i="7"/>
  <c r="W7" i="7" s="1"/>
  <c r="B10" i="7"/>
  <c r="U10" i="7" s="1"/>
  <c r="B2" i="7"/>
  <c r="U2" i="7" s="1"/>
  <c r="F10" i="7"/>
  <c r="F2" i="7"/>
  <c r="J6" i="7"/>
  <c r="N10" i="7"/>
  <c r="N2" i="7"/>
  <c r="B9" i="7"/>
  <c r="U9" i="7" s="1"/>
  <c r="B5" i="7"/>
  <c r="U5" i="7" s="1"/>
  <c r="C10" i="7"/>
  <c r="C6" i="7"/>
  <c r="F9" i="7"/>
  <c r="F5" i="7"/>
  <c r="G6" i="7"/>
  <c r="J5" i="7"/>
  <c r="K6" i="7"/>
  <c r="N9" i="7"/>
  <c r="O10" i="7"/>
  <c r="O2" i="7"/>
  <c r="B8" i="7"/>
  <c r="U8" i="7" s="1"/>
  <c r="B4" i="7"/>
  <c r="U4" i="7" s="1"/>
  <c r="C9" i="7"/>
  <c r="C5" i="7"/>
  <c r="D10" i="7"/>
  <c r="D6" i="7"/>
  <c r="D2" i="7"/>
  <c r="E7" i="7"/>
  <c r="E3" i="7"/>
  <c r="F8" i="7"/>
  <c r="F4" i="7"/>
  <c r="G9" i="7"/>
  <c r="G5" i="7"/>
  <c r="H10" i="7"/>
  <c r="H6" i="7"/>
  <c r="H2" i="7"/>
  <c r="I7" i="7"/>
  <c r="I3" i="7"/>
  <c r="J8" i="7"/>
  <c r="J4" i="7"/>
  <c r="K9" i="7"/>
  <c r="K5" i="7"/>
  <c r="L10" i="7"/>
  <c r="L6" i="7"/>
  <c r="L2" i="7"/>
  <c r="M7" i="7"/>
  <c r="M3" i="7"/>
  <c r="N8" i="7"/>
  <c r="N4" i="7"/>
  <c r="O9" i="7"/>
  <c r="O5" i="7"/>
  <c r="P10" i="7"/>
  <c r="W10" i="7" s="1"/>
  <c r="AB10" i="8" s="1"/>
  <c r="P6" i="7"/>
  <c r="W6" i="7" s="1"/>
  <c r="AB6" i="8" s="1"/>
  <c r="P2" i="7"/>
  <c r="B6" i="7"/>
  <c r="F6" i="7"/>
  <c r="J10" i="7"/>
  <c r="J2" i="7"/>
  <c r="N6" i="7"/>
  <c r="C2" i="7"/>
  <c r="G10" i="7"/>
  <c r="G2" i="7"/>
  <c r="J9" i="7"/>
  <c r="K10" i="7"/>
  <c r="K2" i="7"/>
  <c r="N5" i="7"/>
  <c r="O6" i="7"/>
  <c r="B7" i="7"/>
  <c r="U7" i="7" s="1"/>
  <c r="B3" i="7"/>
  <c r="C8" i="7"/>
  <c r="C4" i="7"/>
  <c r="D9" i="7"/>
  <c r="D5" i="7"/>
  <c r="E10" i="7"/>
  <c r="E6" i="7"/>
  <c r="E2" i="7"/>
  <c r="F7" i="7"/>
  <c r="F3" i="7"/>
  <c r="G8" i="7"/>
  <c r="G4" i="7"/>
  <c r="H9" i="7"/>
  <c r="H5" i="7"/>
  <c r="I10" i="7"/>
  <c r="I6" i="7"/>
  <c r="I2" i="7"/>
  <c r="J7" i="7"/>
  <c r="J3" i="7"/>
  <c r="K8" i="7"/>
  <c r="K4" i="7"/>
  <c r="L9" i="7"/>
  <c r="L5" i="7"/>
  <c r="M10" i="7"/>
  <c r="M6" i="7"/>
  <c r="M2" i="7"/>
  <c r="N7" i="7"/>
  <c r="N3" i="7"/>
  <c r="O8" i="7"/>
  <c r="O4" i="7"/>
  <c r="P9" i="7"/>
  <c r="W9" i="7" s="1"/>
  <c r="P5" i="7"/>
  <c r="W5" i="7" s="1"/>
  <c r="R2" i="2"/>
  <c r="R10" i="2"/>
  <c r="R4" i="2"/>
  <c r="B7" i="5"/>
  <c r="U7" i="5" s="1"/>
  <c r="B6" i="5"/>
  <c r="U6" i="5" s="1"/>
  <c r="B3" i="5"/>
  <c r="U3" i="5" s="1"/>
  <c r="B9" i="5"/>
  <c r="U9" i="5" s="1"/>
  <c r="B5" i="5"/>
  <c r="U5" i="5" s="1"/>
  <c r="C8" i="5"/>
  <c r="C4" i="5"/>
  <c r="D9" i="5"/>
  <c r="D5" i="5"/>
  <c r="E10" i="5"/>
  <c r="E6" i="5"/>
  <c r="E2" i="5"/>
  <c r="F7" i="5"/>
  <c r="F3" i="5"/>
  <c r="G8" i="5"/>
  <c r="G4" i="5"/>
  <c r="H9" i="5"/>
  <c r="H5" i="5"/>
  <c r="I10" i="5"/>
  <c r="I6" i="5"/>
  <c r="I2" i="5"/>
  <c r="J7" i="5"/>
  <c r="J3" i="5"/>
  <c r="K8" i="5"/>
  <c r="K4" i="5"/>
  <c r="L9" i="5"/>
  <c r="L5" i="5"/>
  <c r="M10" i="5"/>
  <c r="M6" i="5"/>
  <c r="M2" i="5"/>
  <c r="N7" i="5"/>
  <c r="N3" i="5"/>
  <c r="O8" i="5"/>
  <c r="O4" i="5"/>
  <c r="P9" i="5"/>
  <c r="W9" i="5" s="1"/>
  <c r="P5" i="5"/>
  <c r="W5" i="5" s="1"/>
  <c r="B10" i="5"/>
  <c r="U10" i="5" s="1"/>
  <c r="R8" i="2"/>
  <c r="B8" i="5"/>
  <c r="U8" i="5" s="1"/>
  <c r="B4" i="5"/>
  <c r="C7" i="5"/>
  <c r="C3" i="5"/>
  <c r="D8" i="5"/>
  <c r="D4" i="5"/>
  <c r="E9" i="5"/>
  <c r="E5" i="5"/>
  <c r="F10" i="5"/>
  <c r="F6" i="5"/>
  <c r="F2" i="5"/>
  <c r="G7" i="5"/>
  <c r="G3" i="5"/>
  <c r="H8" i="5"/>
  <c r="H4" i="5"/>
  <c r="I9" i="5"/>
  <c r="I5" i="5"/>
  <c r="J10" i="5"/>
  <c r="J6" i="5"/>
  <c r="J2" i="5"/>
  <c r="K7" i="5"/>
  <c r="K3" i="5"/>
  <c r="L8" i="5"/>
  <c r="L4" i="5"/>
  <c r="M9" i="5"/>
  <c r="M5" i="5"/>
  <c r="N10" i="5"/>
  <c r="N6" i="5"/>
  <c r="N2" i="5"/>
  <c r="O7" i="5"/>
  <c r="O3" i="5"/>
  <c r="P8" i="5"/>
  <c r="W8" i="5" s="1"/>
  <c r="P4" i="5"/>
  <c r="W4" i="5" s="1"/>
  <c r="AB4" i="8" s="1"/>
  <c r="C10" i="5"/>
  <c r="C6" i="5"/>
  <c r="C2" i="5"/>
  <c r="D7" i="5"/>
  <c r="D3" i="5"/>
  <c r="E8" i="5"/>
  <c r="E4" i="5"/>
  <c r="F9" i="5"/>
  <c r="F5" i="5"/>
  <c r="G10" i="5"/>
  <c r="G6" i="5"/>
  <c r="G2" i="5"/>
  <c r="H7" i="5"/>
  <c r="H3" i="5"/>
  <c r="I8" i="5"/>
  <c r="I4" i="5"/>
  <c r="J9" i="5"/>
  <c r="J5" i="5"/>
  <c r="K10" i="5"/>
  <c r="K6" i="5"/>
  <c r="K2" i="5"/>
  <c r="L7" i="5"/>
  <c r="L3" i="5"/>
  <c r="M8" i="5"/>
  <c r="M4" i="5"/>
  <c r="N9" i="5"/>
  <c r="N5" i="5"/>
  <c r="O10" i="5"/>
  <c r="O6" i="5"/>
  <c r="O2" i="5"/>
  <c r="P7" i="5"/>
  <c r="W7" i="5" s="1"/>
  <c r="P3" i="5"/>
  <c r="W3" i="5" s="1"/>
  <c r="C9" i="5"/>
  <c r="C5" i="5"/>
  <c r="D10" i="5"/>
  <c r="D6" i="5"/>
  <c r="D2" i="5"/>
  <c r="E7" i="5"/>
  <c r="E3" i="5"/>
  <c r="F8" i="5"/>
  <c r="F4" i="5"/>
  <c r="G9" i="5"/>
  <c r="G5" i="5"/>
  <c r="H10" i="5"/>
  <c r="H6" i="5"/>
  <c r="H2" i="5"/>
  <c r="I7" i="5"/>
  <c r="I3" i="5"/>
  <c r="J8" i="5"/>
  <c r="J4" i="5"/>
  <c r="K9" i="5"/>
  <c r="K5" i="5"/>
  <c r="L10" i="5"/>
  <c r="L6" i="5"/>
  <c r="L2" i="5"/>
  <c r="M7" i="5"/>
  <c r="M3" i="5"/>
  <c r="O9" i="5"/>
  <c r="O5" i="5"/>
  <c r="M5" i="13" l="1"/>
  <c r="B19" i="16"/>
  <c r="M10" i="13"/>
  <c r="B24" i="16"/>
  <c r="M3" i="13"/>
  <c r="B17" i="16"/>
  <c r="C24" i="16"/>
  <c r="O2" i="13"/>
  <c r="F16" i="16"/>
  <c r="M9" i="13"/>
  <c r="B23" i="16"/>
  <c r="N3" i="13"/>
  <c r="N5" i="13"/>
  <c r="C19" i="16"/>
  <c r="O6" i="13"/>
  <c r="F20" i="16"/>
  <c r="M4" i="13"/>
  <c r="B18" i="16"/>
  <c r="M7" i="13"/>
  <c r="B21" i="16"/>
  <c r="C18" i="16"/>
  <c r="O5" i="13"/>
  <c r="F19" i="16"/>
  <c r="G11" i="13"/>
  <c r="G17" i="10" s="1"/>
  <c r="D19" i="16"/>
  <c r="D25" i="16" s="1"/>
  <c r="C23" i="16"/>
  <c r="O10" i="13"/>
  <c r="F24" i="16"/>
  <c r="O4" i="13"/>
  <c r="F18" i="16"/>
  <c r="O3" i="13"/>
  <c r="F17" i="16"/>
  <c r="M2" i="13"/>
  <c r="B16" i="16"/>
  <c r="N7" i="13"/>
  <c r="C21" i="16"/>
  <c r="C16" i="16"/>
  <c r="M8" i="13"/>
  <c r="C22" i="16"/>
  <c r="O9" i="13"/>
  <c r="F23" i="16"/>
  <c r="E25" i="16"/>
  <c r="M6" i="13"/>
  <c r="M11" i="13" s="1"/>
  <c r="B20" i="16"/>
  <c r="C20" i="16"/>
  <c r="O7" i="13"/>
  <c r="F21" i="16"/>
  <c r="O8" i="13"/>
  <c r="F22" i="16"/>
  <c r="C17" i="16"/>
  <c r="C32" i="10"/>
  <c r="C6" i="16"/>
  <c r="O6" i="10"/>
  <c r="F7" i="16"/>
  <c r="O7" i="10"/>
  <c r="F8" i="16"/>
  <c r="C9" i="16"/>
  <c r="O2" i="10"/>
  <c r="O8" i="10"/>
  <c r="F9" i="16"/>
  <c r="N8" i="10"/>
  <c r="N6" i="10"/>
  <c r="M4" i="10"/>
  <c r="B5" i="16"/>
  <c r="D12" i="16"/>
  <c r="M5" i="10"/>
  <c r="B6" i="16"/>
  <c r="M10" i="10"/>
  <c r="B11" i="16"/>
  <c r="M7" i="10"/>
  <c r="B8" i="16"/>
  <c r="C8" i="16"/>
  <c r="M8" i="10"/>
  <c r="B9" i="16"/>
  <c r="C3" i="16"/>
  <c r="M9" i="10"/>
  <c r="B10" i="16"/>
  <c r="C4" i="16"/>
  <c r="O4" i="10"/>
  <c r="F5" i="16"/>
  <c r="O5" i="10"/>
  <c r="O11" i="10" s="1"/>
  <c r="F6" i="16"/>
  <c r="C36" i="10"/>
  <c r="C10" i="16"/>
  <c r="M6" i="10"/>
  <c r="B7" i="16"/>
  <c r="B12" i="16" s="1"/>
  <c r="O9" i="10"/>
  <c r="F10" i="16"/>
  <c r="C11" i="16"/>
  <c r="O10" i="10"/>
  <c r="F11" i="16"/>
  <c r="M2" i="10"/>
  <c r="M11" i="10" s="1"/>
  <c r="C5" i="16"/>
  <c r="O3" i="10"/>
  <c r="F4" i="16"/>
  <c r="F12" i="16" s="1"/>
  <c r="M3" i="10"/>
  <c r="B4" i="16"/>
  <c r="G11" i="10"/>
  <c r="G16" i="10" s="1"/>
  <c r="C34" i="10"/>
  <c r="C29" i="10"/>
  <c r="J11" i="10"/>
  <c r="J16" i="10" s="1"/>
  <c r="C33" i="10"/>
  <c r="N7" i="10"/>
  <c r="C37" i="10"/>
  <c r="C31" i="10"/>
  <c r="E11" i="13"/>
  <c r="E17" i="10" s="1"/>
  <c r="N10" i="13"/>
  <c r="N11" i="13" s="1"/>
  <c r="J11" i="13"/>
  <c r="J17" i="10" s="1"/>
  <c r="N8" i="13"/>
  <c r="N4" i="13"/>
  <c r="C11" i="13"/>
  <c r="C17" i="10" s="1"/>
  <c r="N4" i="10"/>
  <c r="N9" i="10"/>
  <c r="B11" i="10"/>
  <c r="B16" i="10" s="1"/>
  <c r="N3" i="10"/>
  <c r="N10" i="10"/>
  <c r="D11" i="10"/>
  <c r="D16" i="10" s="1"/>
  <c r="C11" i="10"/>
  <c r="C16" i="10" s="1"/>
  <c r="H11" i="10"/>
  <c r="H16" i="10" s="1"/>
  <c r="I11" i="10"/>
  <c r="I16" i="10" s="1"/>
  <c r="N2" i="10"/>
  <c r="B11" i="13"/>
  <c r="B17" i="10" s="1"/>
  <c r="I11" i="13"/>
  <c r="I17" i="10" s="1"/>
  <c r="N6" i="13"/>
  <c r="H11" i="13"/>
  <c r="H17" i="10" s="1"/>
  <c r="F11" i="10"/>
  <c r="F16" i="10" s="1"/>
  <c r="N5" i="10"/>
  <c r="W11" i="5"/>
  <c r="D11" i="7"/>
  <c r="V4" i="7"/>
  <c r="Q7" i="7"/>
  <c r="R7" i="7" s="1"/>
  <c r="Q8" i="7"/>
  <c r="R8" i="7" s="1"/>
  <c r="E11" i="5"/>
  <c r="V5" i="5"/>
  <c r="AB5" i="8"/>
  <c r="AB8" i="8"/>
  <c r="AA7" i="8"/>
  <c r="AB9" i="8"/>
  <c r="AB3" i="8"/>
  <c r="AA5" i="8"/>
  <c r="AA10" i="8"/>
  <c r="AA8" i="8"/>
  <c r="AA9" i="8"/>
  <c r="AB7" i="8"/>
  <c r="Q4" i="7"/>
  <c r="R4" i="7" s="1"/>
  <c r="Q10" i="7"/>
  <c r="R10" i="7" s="1"/>
  <c r="Q6" i="7"/>
  <c r="R6" i="7" s="1"/>
  <c r="U6" i="7"/>
  <c r="AA6" i="8" s="1"/>
  <c r="Q9" i="7"/>
  <c r="R9" i="7" s="1"/>
  <c r="V9" i="7"/>
  <c r="V10" i="7"/>
  <c r="AA2" i="8"/>
  <c r="M11" i="7"/>
  <c r="G11" i="7"/>
  <c r="P11" i="7"/>
  <c r="W2" i="7"/>
  <c r="I11" i="7"/>
  <c r="Q3" i="7"/>
  <c r="R3" i="7" s="1"/>
  <c r="U3" i="7"/>
  <c r="AA3" i="8" s="1"/>
  <c r="V3" i="7"/>
  <c r="V8" i="7"/>
  <c r="K11" i="7"/>
  <c r="V2" i="7"/>
  <c r="V5" i="7"/>
  <c r="V6" i="7"/>
  <c r="V7" i="7"/>
  <c r="V7" i="5"/>
  <c r="V9" i="5"/>
  <c r="V10" i="5"/>
  <c r="Q4" i="5"/>
  <c r="R4" i="5" s="1"/>
  <c r="U4" i="5"/>
  <c r="AA4" i="8" s="1"/>
  <c r="V6" i="5"/>
  <c r="V4" i="5"/>
  <c r="V2" i="5"/>
  <c r="V3" i="5"/>
  <c r="V8" i="5"/>
  <c r="E11" i="7"/>
  <c r="J11" i="7"/>
  <c r="F11" i="7"/>
  <c r="Q2" i="7"/>
  <c r="R2" i="7" s="1"/>
  <c r="C11" i="7"/>
  <c r="L11" i="7"/>
  <c r="Q5" i="7"/>
  <c r="R5" i="7" s="1"/>
  <c r="B11" i="7"/>
  <c r="N11" i="7"/>
  <c r="H11" i="7"/>
  <c r="O11" i="7"/>
  <c r="P11" i="5"/>
  <c r="H11" i="5"/>
  <c r="Q5" i="5"/>
  <c r="R5" i="5" s="1"/>
  <c r="Q3" i="5"/>
  <c r="R3" i="5" s="1"/>
  <c r="Q8" i="5"/>
  <c r="R8" i="5" s="1"/>
  <c r="F11" i="5"/>
  <c r="Q9" i="5"/>
  <c r="R9" i="5" s="1"/>
  <c r="Q7" i="5"/>
  <c r="R7" i="5" s="1"/>
  <c r="Q10" i="5"/>
  <c r="R10" i="5" s="1"/>
  <c r="Q6" i="5"/>
  <c r="R6" i="5" s="1"/>
  <c r="B11" i="5"/>
  <c r="Q2" i="5"/>
  <c r="R2" i="5" s="1"/>
  <c r="O11" i="5"/>
  <c r="D11" i="5"/>
  <c r="K11" i="5"/>
  <c r="G11" i="5"/>
  <c r="N11" i="5"/>
  <c r="I11" i="5"/>
  <c r="L11" i="5"/>
  <c r="C11" i="5"/>
  <c r="J11" i="5"/>
  <c r="M11" i="5"/>
  <c r="O11" i="13" l="1"/>
  <c r="B25" i="16"/>
  <c r="C25" i="16"/>
  <c r="F25" i="16"/>
  <c r="N11" i="10"/>
  <c r="C12" i="16"/>
  <c r="U11" i="5"/>
  <c r="V11" i="5"/>
  <c r="AA11" i="8"/>
  <c r="U11" i="7"/>
  <c r="V11" i="7"/>
  <c r="W11" i="7"/>
  <c r="AB2" i="8"/>
  <c r="AB11" i="8" s="1"/>
</calcChain>
</file>

<file path=xl/sharedStrings.xml><?xml version="1.0" encoding="utf-8"?>
<sst xmlns="http://schemas.openxmlformats.org/spreadsheetml/2006/main" count="187" uniqueCount="50">
  <si>
    <t>Round</t>
  </si>
  <si>
    <t>Sum</t>
  </si>
  <si>
    <t>C14</t>
  </si>
  <si>
    <t>C13</t>
  </si>
  <si>
    <t>C12</t>
  </si>
  <si>
    <t>C11</t>
  </si>
  <si>
    <t>C10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</si>
  <si>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</si>
  <si>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</si>
  <si>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</si>
  <si>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</si>
  <si>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</si>
  <si>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</si>
  <si>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</si>
  <si>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</si>
  <si>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</si>
  <si>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</si>
  <si>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Test</t>
  </si>
  <si>
    <t>Total</t>
  </si>
  <si>
    <t>Average</t>
  </si>
  <si>
    <t>Not Classified Classes (%)</t>
  </si>
  <si>
    <t>Partially Classified Classes (%)</t>
  </si>
  <si>
    <t>Totally Classified Classes (%)</t>
  </si>
  <si>
    <t>R</t>
  </si>
  <si>
    <t>This is a strong negative correlation, which means that high X variable scores go with low Y variable scores (and vice versa).</t>
  </si>
  <si>
    <t>R²</t>
  </si>
  <si>
    <t xml:space="preserve">This is a strong positive correlation, which means that high X variable scores go with high Y variable scores (and vice versa).
</t>
  </si>
  <si>
    <t>%</t>
  </si>
  <si>
    <t>AC/AN Totally Classified</t>
  </si>
  <si>
    <t>AN/AC Not Classified</t>
  </si>
  <si>
    <t>Input Percentage</t>
  </si>
  <si>
    <t>0 Classif.</t>
  </si>
  <si>
    <t>1 Classif.</t>
  </si>
  <si>
    <t>2 Classif.</t>
  </si>
  <si>
    <t>3 Classif.</t>
  </si>
  <si>
    <t>4 Classif.</t>
  </si>
  <si>
    <t>5 Classif.</t>
  </si>
  <si>
    <t>6 Classif.</t>
  </si>
  <si>
    <t>7 Classif.</t>
  </si>
  <si>
    <t>8 Classif.</t>
  </si>
  <si>
    <t>Average AN</t>
  </si>
  <si>
    <t>Average CN</t>
  </si>
  <si>
    <t>Seed Input</t>
  </si>
  <si>
    <t>1-4 Classif.</t>
  </si>
  <si>
    <t>OWA MODELS</t>
  </si>
  <si>
    <t>CWA MODELS</t>
  </si>
  <si>
    <t>Effectiveness Evaluation Results for OWA Models</t>
  </si>
  <si>
    <t>Effectiveness Evaluation Results for CWA Models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</si>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</sst>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0" borderId="0" xfId="0" applyNumberFormat="1"/>
    <xf numFmtId="0" fontId="16" fillId="36" borderId="0" xfId="0" applyFont="1" applyFill="1" applyAlignment="1">
      <alignment horizontal="center"/>
    </xf>
    <xf numFmtId="2" fontId="0" fillId="36" borderId="0" xfId="0" applyNumberFormat="1" applyFill="1"/>
    <xf numFmtId="10" fontId="0" fillId="0" borderId="0" xfId="42" applyNumberFormat="1" applyFont="1"/>
    <xf numFmtId="9" fontId="0" fillId="0" borderId="0" xfId="0" applyNumberFormat="1"/>
    <xf numFmtId="9" fontId="0" fillId="0" borderId="0" xfId="42" applyFont="1" applyFill="1"/>
    <xf numFmtId="10" fontId="0" fillId="0" borderId="0" xfId="0" applyNumberFormat="1"/>
    <xf numFmtId="165" fontId="0" fillId="0" borderId="0" xfId="42" applyNumberFormat="1" applyFont="1"/>
    <xf numFmtId="165" fontId="16" fillId="0" borderId="0" xfId="0" applyNumberFormat="1" applyFont="1"/>
    <xf numFmtId="165" fontId="0" fillId="0" borderId="0" xfId="0" applyNumberFormat="1"/>
    <xf numFmtId="9" fontId="16" fillId="0" borderId="0" xfId="0" applyNumberFormat="1" applyFont="1"/>
    <xf numFmtId="0" fontId="19" fillId="0" borderId="0" xfId="0" applyFont="1" applyAlignment="1">
      <alignment horizontal="center" vertical="center" readingOrder="1"/>
    </xf>
    <xf numFmtId="0" fontId="18" fillId="37" borderId="0" xfId="0" applyFont="1" applyFill="1" applyAlignment="1">
      <alignment horizontal="center"/>
    </xf>
    <xf numFmtId="0" fontId="18" fillId="38" borderId="0" xfId="0" applyFont="1" applyFill="1" applyAlignment="1">
      <alignment horizontal="center"/>
    </xf>
    <xf numFmtId="165" fontId="0" fillId="0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indexed="65"/>
        </patternFill>
      </fill>
    </dxf>
    <dxf>
      <numFmt numFmtId="165" formatCode="0.0%"/>
      <fill>
        <patternFill patternType="none">
          <fgColor indexed="64"/>
          <bgColor auto="1"/>
        </patternFill>
      </fill>
    </dxf>
    <dxf>
      <numFmt numFmtId="165" formatCode="0.0%"/>
      <fill>
        <patternFill patternType="none">
          <fgColor indexed="64"/>
          <bgColor auto="1"/>
        </patternFill>
      </fill>
    </dxf>
    <dxf>
      <numFmt numFmtId="165" formatCode="0.0%"/>
      <fill>
        <patternFill patternType="none">
          <fgColor indexed="64"/>
          <bgColor auto="1"/>
        </patternFill>
      </fill>
    </dxf>
    <dxf>
      <numFmt numFmtId="165" formatCode="0.0%"/>
      <fill>
        <patternFill patternType="none">
          <fgColor indexed="64"/>
          <bgColor auto="1"/>
        </patternFill>
      </fill>
    </dxf>
    <dxf>
      <numFmt numFmtId="165" formatCode="0.0%"/>
      <fill>
        <patternFill patternType="none">
          <fgColor indexed="64"/>
          <bgColor auto="1"/>
        </patternFill>
      </fill>
    </dxf>
    <dxf>
      <numFmt numFmtId="165" formatCode="0.0%"/>
      <fill>
        <patternFill patternType="none">
          <fgColor indexed="64"/>
          <bgColor auto="1"/>
        </patternFill>
      </fill>
    </dxf>
    <dxf>
      <numFmt numFmtId="165" formatCode="0.0%"/>
      <fill>
        <patternFill patternType="none">
          <fgColor indexed="64"/>
          <bgColor auto="1"/>
        </patternFill>
      </fill>
    </dxf>
    <dxf>
      <numFmt numFmtId="165" formatCode="0.0%"/>
      <fill>
        <patternFill patternType="none">
          <fgColor indexed="64"/>
          <bgColor auto="1"/>
        </patternFill>
      </fill>
    </dxf>
    <dxf>
      <numFmt numFmtId="165" formatCode="0.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0.0%"/>
      <fill>
        <patternFill patternType="none">
          <fgColor indexed="64"/>
          <bgColor auto="1"/>
        </patternFill>
      </fill>
    </dxf>
    <dxf>
      <numFmt numFmtId="165" formatCode="0.0%"/>
      <fill>
        <patternFill patternType="none">
          <fgColor indexed="64"/>
          <bgColor auto="1"/>
        </patternFill>
      </fill>
    </dxf>
    <dxf>
      <numFmt numFmtId="165" formatCode="0.0%"/>
      <fill>
        <patternFill patternType="none">
          <fgColor indexed="64"/>
          <bgColor auto="1"/>
        </patternFill>
      </fill>
    </dxf>
    <dxf>
      <numFmt numFmtId="165" formatCode="0.0%"/>
      <fill>
        <patternFill patternType="none">
          <fgColor indexed="64"/>
          <bgColor auto="1"/>
        </patternFill>
      </fill>
    </dxf>
    <dxf>
      <numFmt numFmtId="165" formatCode="0.0%"/>
      <fill>
        <patternFill patternType="none">
          <fgColor indexed="64"/>
          <bgColor auto="1"/>
        </patternFill>
      </fill>
    </dxf>
    <dxf>
      <numFmt numFmtId="165" formatCode="0.0%"/>
      <fill>
        <patternFill patternType="none">
          <fgColor indexed="64"/>
          <bgColor auto="1"/>
        </patternFill>
      </fill>
    </dxf>
    <dxf>
      <numFmt numFmtId="165" formatCode="0.0%"/>
      <fill>
        <patternFill patternType="none">
          <fgColor indexed="64"/>
          <bgColor auto="1"/>
        </patternFill>
      </fill>
    </dxf>
    <dxf>
      <numFmt numFmtId="165" formatCode="0.0%"/>
      <fill>
        <patternFill patternType="none">
          <fgColor indexed="64"/>
          <bgColor auto="1"/>
        </patternFill>
      </fill>
    </dxf>
    <dxf>
      <numFmt numFmtId="165" formatCode="0.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/>
      </font>
      <numFmt numFmtId="13" formatCode="0%"/>
    </dxf>
    <dxf>
      <numFmt numFmtId="14" formatCode="0.00%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solid">
          <fgColor indexed="64"/>
          <bgColor theme="0" tint="-0.14999847407452621"/>
        </patternFill>
      </fill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numFmt numFmtId="2" formatCode="0.00"/>
    </dxf>
    <dxf>
      <fill>
        <patternFill patternType="solid">
          <fgColor indexed="64"/>
          <bgColor theme="6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</dxf>
    <dxf>
      <numFmt numFmtId="2" formatCode="0.00"/>
      <fill>
        <patternFill patternType="solid">
          <fgColor indexed="64"/>
          <bgColor theme="0" tint="-4.9989318521683403E-2"/>
        </patternFill>
      </fill>
    </dxf>
    <dxf>
      <numFmt numFmtId="2" formatCode="0.00"/>
    </dxf>
    <dxf>
      <numFmt numFmtId="2" formatCode="0.00"/>
      <fill>
        <patternFill patternType="solid">
          <fgColor indexed="64"/>
          <bgColor theme="0" tint="-4.9989318521683403E-2"/>
        </patternFill>
      </fill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0" tint="-4.9989318521683403E-2"/>
        </patternFill>
      </fill>
    </dxf>
    <dxf>
      <numFmt numFmtId="164" formatCode="0.0000"/>
    </dxf>
    <dxf>
      <numFmt numFmtId="164" formatCode="0.0000"/>
    </dxf>
    <dxf>
      <numFmt numFmtId="164" formatCode="0.0000"/>
    </dxf>
    <dxf>
      <fill>
        <patternFill patternType="solid">
          <fgColor indexed="64"/>
          <bgColor theme="2" tint="-9.9978637043366805E-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0.0000"/>
    </dxf>
    <dxf>
      <numFmt numFmtId="164" formatCode="0.0000"/>
    </dxf>
    <dxf>
      <numFmt numFmtId="164" formatCode="0.0000"/>
    </dxf>
    <dxf>
      <fill>
        <patternFill patternType="solid">
          <fgColor indexed="64"/>
          <bgColor theme="2" tint="-9.9978637043366805E-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colors>
    <mruColors>
      <color rgb="FFFF8181"/>
      <color rgb="FFF18FDE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Normalized Test Results for </a:t>
            </a:r>
            <a:r>
              <a:rPr lang="en-US" b="1" u="sng"/>
              <a:t>OWA</a:t>
            </a:r>
            <a:r>
              <a:rPr lang="en-US" b="1"/>
              <a:t>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matrixes_an_norm!$U$1</c:f>
              <c:strCache>
                <c:ptCount val="1"/>
                <c:pt idx="0">
                  <c:v>Not Classified Classes (%)</c:v>
                </c:pt>
              </c:strCache>
            </c:strRef>
          </c:tx>
          <c:spPr>
            <a:solidFill>
              <a:srgbClr val="FF818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matrixes_an_norm!$T$2:$T$10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matrixes_an_norm!$U$2:$U$10</c:f>
              <c:numCache>
                <c:formatCode>0.00</c:formatCode>
                <c:ptCount val="9"/>
                <c:pt idx="0">
                  <c:v>51.252086811352271</c:v>
                </c:pt>
                <c:pt idx="1">
                  <c:v>32.580037664783404</c:v>
                </c:pt>
                <c:pt idx="2">
                  <c:v>20.600858369098731</c:v>
                </c:pt>
                <c:pt idx="3">
                  <c:v>15.037593984962413</c:v>
                </c:pt>
                <c:pt idx="4">
                  <c:v>9.7560975609756113</c:v>
                </c:pt>
                <c:pt idx="5">
                  <c:v>8.8803088803088812</c:v>
                </c:pt>
                <c:pt idx="6">
                  <c:v>7.6142131979695566</c:v>
                </c:pt>
                <c:pt idx="7">
                  <c:v>6.153846153846156</c:v>
                </c:pt>
                <c:pt idx="8">
                  <c:v>6.557377049180328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8A-4E97-B245-B640385B781C}"/>
            </c:ext>
          </c:extLst>
        </c:ser>
        <c:ser>
          <c:idx val="1"/>
          <c:order val="1"/>
          <c:tx>
            <c:strRef>
              <c:f>matrixes_an_norm!$V$1</c:f>
              <c:strCache>
                <c:ptCount val="1"/>
                <c:pt idx="0">
                  <c:v>Partially Classified Classes (%)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matrixes_an_norm!$T$2:$T$10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matrixes_an_norm!$V$2:$V$10</c:f>
              <c:numCache>
                <c:formatCode>0.00</c:formatCode>
                <c:ptCount val="9"/>
                <c:pt idx="0">
                  <c:v>45.409015025041725</c:v>
                </c:pt>
                <c:pt idx="1">
                  <c:v>60.828625235404935</c:v>
                </c:pt>
                <c:pt idx="2">
                  <c:v>69.742489270386244</c:v>
                </c:pt>
                <c:pt idx="3">
                  <c:v>73.433583959899735</c:v>
                </c:pt>
                <c:pt idx="4">
                  <c:v>75.609756097560975</c:v>
                </c:pt>
                <c:pt idx="5">
                  <c:v>75.675675675675663</c:v>
                </c:pt>
                <c:pt idx="6">
                  <c:v>76.142131979695392</c:v>
                </c:pt>
                <c:pt idx="7">
                  <c:v>78.461538461538439</c:v>
                </c:pt>
                <c:pt idx="8">
                  <c:v>75.409836065573799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8A-4E97-B245-B640385B781C}"/>
            </c:ext>
          </c:extLst>
        </c:ser>
        <c:ser>
          <c:idx val="2"/>
          <c:order val="2"/>
          <c:tx>
            <c:strRef>
              <c:f>matrixes_an_norm!$W$1</c:f>
              <c:strCache>
                <c:ptCount val="1"/>
                <c:pt idx="0">
                  <c:v>Totally Classified Classes (%)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matrixes_an_norm!$T$2:$T$10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matrixes_an_norm!$W$2:$W$10</c:f>
              <c:numCache>
                <c:formatCode>0.00</c:formatCode>
                <c:ptCount val="9"/>
                <c:pt idx="0">
                  <c:v>3.33889816360601</c:v>
                </c:pt>
                <c:pt idx="1">
                  <c:v>6.5913370998116827</c:v>
                </c:pt>
                <c:pt idx="2">
                  <c:v>9.6566523605150323</c:v>
                </c:pt>
                <c:pt idx="3">
                  <c:v>11.528822055137864</c:v>
                </c:pt>
                <c:pt idx="4">
                  <c:v>14.634146341463417</c:v>
                </c:pt>
                <c:pt idx="5">
                  <c:v>15.444015444015449</c:v>
                </c:pt>
                <c:pt idx="6">
                  <c:v>16.243654822335053</c:v>
                </c:pt>
                <c:pt idx="7">
                  <c:v>15.384615384615415</c:v>
                </c:pt>
                <c:pt idx="8">
                  <c:v>18.032786885245883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8A-4E97-B245-B640385B78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5"/>
        <c:overlap val="100"/>
        <c:axId val="483996191"/>
        <c:axId val="484021983"/>
      </c:barChart>
      <c:catAx>
        <c:axId val="483996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21983"/>
        <c:crosses val="autoZero"/>
        <c:auto val="1"/>
        <c:lblAlgn val="ctr"/>
        <c:lblOffset val="100"/>
        <c:noMultiLvlLbl val="0"/>
      </c:catAx>
      <c:valAx>
        <c:axId val="4840219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96191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'Graphs Leaves'!$B$2</c:f>
              <c:strCache>
                <c:ptCount val="1"/>
                <c:pt idx="0">
                  <c:v>0 Classif.</c:v>
                </c:pt>
              </c:strCache>
            </c:strRef>
          </c:tx>
          <c:spPr>
            <a:solidFill>
              <a:srgbClr val="FF818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Leaves'!$B$3:$B$11</c:f>
              <c:numCache>
                <c:formatCode>0.0%</c:formatCode>
                <c:ptCount val="9"/>
                <c:pt idx="0">
                  <c:v>0.54962779156327601</c:v>
                </c:pt>
                <c:pt idx="1">
                  <c:v>0.36934306569343095</c:v>
                </c:pt>
                <c:pt idx="2">
                  <c:v>0.2508474576271183</c:v>
                </c:pt>
                <c:pt idx="3">
                  <c:v>0.18924302788844594</c:v>
                </c:pt>
                <c:pt idx="4">
                  <c:v>0.14039408866995073</c:v>
                </c:pt>
                <c:pt idx="5">
                  <c:v>0.13230769230769221</c:v>
                </c:pt>
                <c:pt idx="6">
                  <c:v>9.5833333333333159E-2</c:v>
                </c:pt>
                <c:pt idx="7">
                  <c:v>8.1249999999999892E-2</c:v>
                </c:pt>
                <c:pt idx="8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1-45BE-8218-E0C1D141DD74}"/>
            </c:ext>
          </c:extLst>
        </c:ser>
        <c:ser>
          <c:idx val="1"/>
          <c:order val="1"/>
          <c:tx>
            <c:strRef>
              <c:f>'Graphs Leaves'!$C$2</c:f>
              <c:strCache>
                <c:ptCount val="1"/>
                <c:pt idx="0">
                  <c:v>1-4 Classif.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Leaves'!$C$3:$C$11</c:f>
              <c:numCache>
                <c:formatCode>0.0%</c:formatCode>
                <c:ptCount val="9"/>
                <c:pt idx="0">
                  <c:v>9.0570719602977801E-2</c:v>
                </c:pt>
                <c:pt idx="1">
                  <c:v>0.10510948905109484</c:v>
                </c:pt>
                <c:pt idx="2">
                  <c:v>7.9661016949152508E-2</c:v>
                </c:pt>
                <c:pt idx="3">
                  <c:v>6.7729083665338669E-2</c:v>
                </c:pt>
                <c:pt idx="4">
                  <c:v>4.433497536945806E-2</c:v>
                </c:pt>
                <c:pt idx="5">
                  <c:v>4.0000000000000015E-2</c:v>
                </c:pt>
                <c:pt idx="6">
                  <c:v>2.4999999999999984E-2</c:v>
                </c:pt>
                <c:pt idx="7">
                  <c:v>2.5000000000000085E-2</c:v>
                </c:pt>
                <c:pt idx="8">
                  <c:v>2.6666666666666665E-2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1-45BE-8218-E0C1D141DD74}"/>
            </c:ext>
          </c:extLst>
        </c:ser>
        <c:ser>
          <c:idx val="2"/>
          <c:order val="2"/>
          <c:tx>
            <c:strRef>
              <c:f>'Graphs Leaves'!$D$2</c:f>
              <c:strCache>
                <c:ptCount val="1"/>
                <c:pt idx="0">
                  <c:v>5 Classif.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Leaves'!$D$3:$D$11</c:f>
              <c:numCache>
                <c:formatCode>0.0%</c:formatCode>
                <c:ptCount val="9"/>
                <c:pt idx="0">
                  <c:v>0.3114143920595529</c:v>
                </c:pt>
                <c:pt idx="1">
                  <c:v>0.42481751824817499</c:v>
                </c:pt>
                <c:pt idx="2">
                  <c:v>0.53220338983050863</c:v>
                </c:pt>
                <c:pt idx="3">
                  <c:v>0.57569721115537875</c:v>
                </c:pt>
                <c:pt idx="4">
                  <c:v>0.61822660098522175</c:v>
                </c:pt>
                <c:pt idx="5">
                  <c:v>0.61538461538461553</c:v>
                </c:pt>
                <c:pt idx="6">
                  <c:v>0.64583333333333348</c:v>
                </c:pt>
                <c:pt idx="7">
                  <c:v>0.6437499999999996</c:v>
                </c:pt>
                <c:pt idx="8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1-45BE-8218-E0C1D141DD74}"/>
            </c:ext>
          </c:extLst>
        </c:ser>
        <c:ser>
          <c:idx val="3"/>
          <c:order val="3"/>
          <c:tx>
            <c:strRef>
              <c:f>'Graphs Leaves'!$E$2</c:f>
              <c:strCache>
                <c:ptCount val="1"/>
                <c:pt idx="0">
                  <c:v>6 Classif.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646049235898469E-17"/>
                  <c:y val="9.54109343935883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81-45BE-8218-E0C1D141DD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Leaves'!$E$3:$E$11</c:f>
              <c:numCache>
                <c:formatCode>0.0%</c:formatCode>
                <c:ptCount val="9"/>
                <c:pt idx="0">
                  <c:v>2.2332506203473969E-2</c:v>
                </c:pt>
                <c:pt idx="1">
                  <c:v>4.2335766423357624E-2</c:v>
                </c:pt>
                <c:pt idx="2">
                  <c:v>5.0847457627118724E-2</c:v>
                </c:pt>
                <c:pt idx="3">
                  <c:v>5.7768924302788856E-2</c:v>
                </c:pt>
                <c:pt idx="4">
                  <c:v>6.4039408866995079E-2</c:v>
                </c:pt>
                <c:pt idx="5">
                  <c:v>6.4615384615384575E-2</c:v>
                </c:pt>
                <c:pt idx="6">
                  <c:v>7.0833333333333179E-2</c:v>
                </c:pt>
                <c:pt idx="7">
                  <c:v>6.8750000000000103E-2</c:v>
                </c:pt>
                <c:pt idx="8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81-45BE-8218-E0C1D141DD74}"/>
            </c:ext>
          </c:extLst>
        </c:ser>
        <c:ser>
          <c:idx val="4"/>
          <c:order val="4"/>
          <c:tx>
            <c:strRef>
              <c:f>'Graphs Leaves'!$F$2</c:f>
              <c:strCache>
                <c:ptCount val="1"/>
                <c:pt idx="0">
                  <c:v>7 Classif.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Leaves'!$F$3:$F$11</c:f>
              <c:numCache>
                <c:formatCode>0.0%</c:formatCode>
                <c:ptCount val="9"/>
                <c:pt idx="0">
                  <c:v>2.6054590570719554E-2</c:v>
                </c:pt>
                <c:pt idx="1">
                  <c:v>5.839416058394159E-2</c:v>
                </c:pt>
                <c:pt idx="2">
                  <c:v>8.6440677966101706E-2</c:v>
                </c:pt>
                <c:pt idx="3">
                  <c:v>0.10956175298804789</c:v>
                </c:pt>
                <c:pt idx="4">
                  <c:v>0.13300492610837433</c:v>
                </c:pt>
                <c:pt idx="5">
                  <c:v>0.14769230769230757</c:v>
                </c:pt>
                <c:pt idx="6">
                  <c:v>0.16250000000000023</c:v>
                </c:pt>
                <c:pt idx="7">
                  <c:v>0.18125000000000024</c:v>
                </c:pt>
                <c:pt idx="8">
                  <c:v>0.19999999999999998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81-45BE-8218-E0C1D141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96621904"/>
        <c:axId val="1007083536"/>
      </c:barChart>
      <c:catAx>
        <c:axId val="119662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83536"/>
        <c:crosses val="autoZero"/>
        <c:auto val="1"/>
        <c:lblAlgn val="ctr"/>
        <c:lblOffset val="100"/>
        <c:noMultiLvlLbl val="0"/>
      </c:catAx>
      <c:valAx>
        <c:axId val="10070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Classes with Excluded Classifications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2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'Graphs Leaves'!$B$2</c:f>
              <c:strCache>
                <c:ptCount val="1"/>
                <c:pt idx="0">
                  <c:v>0 Classif.</c:v>
                </c:pt>
              </c:strCache>
            </c:strRef>
          </c:tx>
          <c:spPr>
            <a:solidFill>
              <a:srgbClr val="FF818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4.9982046753868912E-17"/>
                  <c:y val="-6.924643880650400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03-42F5-93F6-85ECCD0D6997}"/>
                </c:ext>
              </c:extLst>
            </c:dLbl>
            <c:dLbl>
              <c:idx val="3"/>
              <c:layout>
                <c:manualLayout>
                  <c:x val="0"/>
                  <c:y val="-1.3849287761300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EF8-45C1-9B79-103643BE3A6B}"/>
                </c:ext>
              </c:extLst>
            </c:dLbl>
            <c:dLbl>
              <c:idx val="4"/>
              <c:layout>
                <c:manualLayout>
                  <c:x val="0"/>
                  <c:y val="-1.615750238818426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EF8-45C1-9B79-103643BE3A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F8-45C1-9B79-103643BE3A6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F8-45C1-9B79-103643BE3A6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F8-45C1-9B79-103643BE3A6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F8-45C1-9B79-103643BE3A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Leaves'!$B$16:$B$24</c:f>
              <c:numCache>
                <c:formatCode>0.0%</c:formatCode>
                <c:ptCount val="9"/>
                <c:pt idx="0">
                  <c:v>0.10652920962199322</c:v>
                </c:pt>
                <c:pt idx="1">
                  <c:v>5.8939096267190683E-2</c:v>
                </c:pt>
                <c:pt idx="2">
                  <c:v>2.9612756264236796E-2</c:v>
                </c:pt>
                <c:pt idx="3">
                  <c:v>1.604278074866311E-2</c:v>
                </c:pt>
                <c:pt idx="4">
                  <c:v>6.5573770491803339E-3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F8-45C1-9B79-103643BE3A6B}"/>
            </c:ext>
          </c:extLst>
        </c:ser>
        <c:ser>
          <c:idx val="1"/>
          <c:order val="1"/>
          <c:tx>
            <c:strRef>
              <c:f>'Graphs Leaves'!$C$2</c:f>
              <c:strCache>
                <c:ptCount val="1"/>
                <c:pt idx="0">
                  <c:v>1-4 Classif.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0"/>
                  <c:y val="-3.180364479786279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F8-45C1-9B79-103643BE3A6B}"/>
                </c:ext>
              </c:extLst>
            </c:dLbl>
            <c:dLbl>
              <c:idx val="8"/>
              <c:layout>
                <c:manualLayout>
                  <c:x val="0"/>
                  <c:y val="-3.180364479786396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F8-45C1-9B79-103643BE3A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Leaves'!$C$16:$C$24</c:f>
              <c:numCache>
                <c:formatCode>0.0%</c:formatCode>
                <c:ptCount val="9"/>
                <c:pt idx="0">
                  <c:v>0.45704467353951889</c:v>
                </c:pt>
                <c:pt idx="1">
                  <c:v>0.31827111984282885</c:v>
                </c:pt>
                <c:pt idx="2">
                  <c:v>0.20728929384965797</c:v>
                </c:pt>
                <c:pt idx="3">
                  <c:v>0.17914438502673777</c:v>
                </c:pt>
                <c:pt idx="4">
                  <c:v>0.11803278688524579</c:v>
                </c:pt>
                <c:pt idx="5">
                  <c:v>9.6234309623430825E-2</c:v>
                </c:pt>
                <c:pt idx="6">
                  <c:v>6.7039106145251423E-2</c:v>
                </c:pt>
                <c:pt idx="7">
                  <c:v>6.0344827586207031E-2</c:v>
                </c:pt>
                <c:pt idx="8">
                  <c:v>3.636363636363632E-2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F8-45C1-9B79-103643BE3A6B}"/>
            </c:ext>
          </c:extLst>
        </c:ser>
        <c:ser>
          <c:idx val="2"/>
          <c:order val="2"/>
          <c:tx>
            <c:strRef>
              <c:f>'Graphs Leaves'!$D$2</c:f>
              <c:strCache>
                <c:ptCount val="1"/>
                <c:pt idx="0">
                  <c:v>5 Classif.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Leaves'!$D$16:$D$24</c:f>
              <c:numCache>
                <c:formatCode>0.0%</c:formatCode>
                <c:ptCount val="9"/>
                <c:pt idx="0">
                  <c:v>0.35567010309278341</c:v>
                </c:pt>
                <c:pt idx="1">
                  <c:v>0.49705304518664062</c:v>
                </c:pt>
                <c:pt idx="2">
                  <c:v>0.58997722095672045</c:v>
                </c:pt>
                <c:pt idx="3">
                  <c:v>0.59893048128342263</c:v>
                </c:pt>
                <c:pt idx="4">
                  <c:v>0.63278688524590143</c:v>
                </c:pt>
                <c:pt idx="5">
                  <c:v>0.62343096234309614</c:v>
                </c:pt>
                <c:pt idx="6">
                  <c:v>0.63687150837988826</c:v>
                </c:pt>
                <c:pt idx="7">
                  <c:v>0.58620689655172331</c:v>
                </c:pt>
                <c:pt idx="8">
                  <c:v>0.32727272727272766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F8-45C1-9B79-103643BE3A6B}"/>
            </c:ext>
          </c:extLst>
        </c:ser>
        <c:ser>
          <c:idx val="3"/>
          <c:order val="3"/>
          <c:tx>
            <c:strRef>
              <c:f>'Graphs Leaves'!$E$2</c:f>
              <c:strCache>
                <c:ptCount val="1"/>
                <c:pt idx="0">
                  <c:v>6 Classif.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Leaves'!$E$16:$E$24</c:f>
              <c:numCache>
                <c:formatCode>0.0%</c:formatCode>
                <c:ptCount val="9"/>
                <c:pt idx="0">
                  <c:v>3.0927835051546382E-2</c:v>
                </c:pt>
                <c:pt idx="1">
                  <c:v>4.715127701375247E-2</c:v>
                </c:pt>
                <c:pt idx="2">
                  <c:v>5.9225512528473745E-2</c:v>
                </c:pt>
                <c:pt idx="3">
                  <c:v>7.4866310160427746E-2</c:v>
                </c:pt>
                <c:pt idx="4">
                  <c:v>9.180327868852467E-2</c:v>
                </c:pt>
                <c:pt idx="5">
                  <c:v>0.1129707112970712</c:v>
                </c:pt>
                <c:pt idx="6">
                  <c:v>0.12849162011173174</c:v>
                </c:pt>
                <c:pt idx="7">
                  <c:v>0.17241379310344862</c:v>
                </c:pt>
                <c:pt idx="8">
                  <c:v>0.41818181818181821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F8-45C1-9B79-103643BE3A6B}"/>
            </c:ext>
          </c:extLst>
        </c:ser>
        <c:ser>
          <c:idx val="4"/>
          <c:order val="4"/>
          <c:tx>
            <c:strRef>
              <c:f>'Graphs Leaves'!$F$2</c:f>
              <c:strCache>
                <c:ptCount val="1"/>
                <c:pt idx="0">
                  <c:v>7 Classif.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Leaves'!$F$16:$F$24</c:f>
              <c:numCache>
                <c:formatCode>0.0%</c:formatCode>
                <c:ptCount val="9"/>
                <c:pt idx="0">
                  <c:v>4.9828178694158114E-2</c:v>
                </c:pt>
                <c:pt idx="1">
                  <c:v>7.8585461689587494E-2</c:v>
                </c:pt>
                <c:pt idx="2">
                  <c:v>0.11389521640091123</c:v>
                </c:pt>
                <c:pt idx="3">
                  <c:v>0.13101604278074871</c:v>
                </c:pt>
                <c:pt idx="4">
                  <c:v>0.15081967213114766</c:v>
                </c:pt>
                <c:pt idx="5">
                  <c:v>0.16736401673640172</c:v>
                </c:pt>
                <c:pt idx="6">
                  <c:v>0.16759776536312856</c:v>
                </c:pt>
                <c:pt idx="7">
                  <c:v>0.18103448275862111</c:v>
                </c:pt>
                <c:pt idx="8">
                  <c:v>0.21818181818181773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F8-45C1-9B79-103643BE3A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196621904"/>
        <c:axId val="1007083536"/>
      </c:barChart>
      <c:catAx>
        <c:axId val="119662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83536"/>
        <c:crosses val="autoZero"/>
        <c:auto val="1"/>
        <c:lblAlgn val="ctr"/>
        <c:lblOffset val="100"/>
        <c:noMultiLvlLbl val="0"/>
      </c:catAx>
      <c:valAx>
        <c:axId val="10070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Classes with Excluded Classifications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2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'Graphs Leaves'!$B$2</c:f>
              <c:strCache>
                <c:ptCount val="1"/>
                <c:pt idx="0">
                  <c:v>0 Classif.</c:v>
                </c:pt>
              </c:strCache>
            </c:strRef>
          </c:tx>
          <c:spPr>
            <a:solidFill>
              <a:srgbClr val="FF818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Leaves'!$B$3:$B$11</c:f>
              <c:numCache>
                <c:formatCode>0.0%</c:formatCode>
                <c:ptCount val="9"/>
                <c:pt idx="0">
                  <c:v>0.54962779156327601</c:v>
                </c:pt>
                <c:pt idx="1">
                  <c:v>0.36934306569343095</c:v>
                </c:pt>
                <c:pt idx="2">
                  <c:v>0.2508474576271183</c:v>
                </c:pt>
                <c:pt idx="3">
                  <c:v>0.18924302788844594</c:v>
                </c:pt>
                <c:pt idx="4">
                  <c:v>0.14039408866995073</c:v>
                </c:pt>
                <c:pt idx="5">
                  <c:v>0.13230769230769221</c:v>
                </c:pt>
                <c:pt idx="6">
                  <c:v>9.5833333333333159E-2</c:v>
                </c:pt>
                <c:pt idx="7">
                  <c:v>8.1249999999999892E-2</c:v>
                </c:pt>
                <c:pt idx="8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0-44E8-ADB8-5DA1572D526C}"/>
            </c:ext>
          </c:extLst>
        </c:ser>
        <c:ser>
          <c:idx val="1"/>
          <c:order val="1"/>
          <c:tx>
            <c:strRef>
              <c:f>'Graphs Leaves'!$C$2</c:f>
              <c:strCache>
                <c:ptCount val="1"/>
                <c:pt idx="0">
                  <c:v>1-4 Classif.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Leaves'!$C$3:$C$11</c:f>
              <c:numCache>
                <c:formatCode>0.0%</c:formatCode>
                <c:ptCount val="9"/>
                <c:pt idx="0">
                  <c:v>9.0570719602977801E-2</c:v>
                </c:pt>
                <c:pt idx="1">
                  <c:v>0.10510948905109484</c:v>
                </c:pt>
                <c:pt idx="2">
                  <c:v>7.9661016949152508E-2</c:v>
                </c:pt>
                <c:pt idx="3">
                  <c:v>6.7729083665338669E-2</c:v>
                </c:pt>
                <c:pt idx="4">
                  <c:v>4.433497536945806E-2</c:v>
                </c:pt>
                <c:pt idx="5">
                  <c:v>4.0000000000000015E-2</c:v>
                </c:pt>
                <c:pt idx="6">
                  <c:v>2.4999999999999984E-2</c:v>
                </c:pt>
                <c:pt idx="7">
                  <c:v>2.5000000000000085E-2</c:v>
                </c:pt>
                <c:pt idx="8">
                  <c:v>2.6666666666666665E-2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0-44E8-ADB8-5DA1572D526C}"/>
            </c:ext>
          </c:extLst>
        </c:ser>
        <c:ser>
          <c:idx val="2"/>
          <c:order val="2"/>
          <c:tx>
            <c:strRef>
              <c:f>'Graphs Leaves'!$D$2</c:f>
              <c:strCache>
                <c:ptCount val="1"/>
                <c:pt idx="0">
                  <c:v>5 Classif.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Leaves'!$D$3:$D$11</c:f>
              <c:numCache>
                <c:formatCode>0.0%</c:formatCode>
                <c:ptCount val="9"/>
                <c:pt idx="0">
                  <c:v>0.3114143920595529</c:v>
                </c:pt>
                <c:pt idx="1">
                  <c:v>0.42481751824817499</c:v>
                </c:pt>
                <c:pt idx="2">
                  <c:v>0.53220338983050863</c:v>
                </c:pt>
                <c:pt idx="3">
                  <c:v>0.57569721115537875</c:v>
                </c:pt>
                <c:pt idx="4">
                  <c:v>0.61822660098522175</c:v>
                </c:pt>
                <c:pt idx="5">
                  <c:v>0.61538461538461553</c:v>
                </c:pt>
                <c:pt idx="6">
                  <c:v>0.64583333333333348</c:v>
                </c:pt>
                <c:pt idx="7">
                  <c:v>0.6437499999999996</c:v>
                </c:pt>
                <c:pt idx="8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0-44E8-ADB8-5DA1572D526C}"/>
            </c:ext>
          </c:extLst>
        </c:ser>
        <c:ser>
          <c:idx val="3"/>
          <c:order val="3"/>
          <c:tx>
            <c:strRef>
              <c:f>'Graphs Leaves'!$E$2</c:f>
              <c:strCache>
                <c:ptCount val="1"/>
                <c:pt idx="0">
                  <c:v>6 Classif.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646049235898469E-17"/>
                  <c:y val="9.54109343935883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60-44E8-ADB8-5DA1572D52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Leaves'!$E$3:$E$11</c:f>
              <c:numCache>
                <c:formatCode>0.0%</c:formatCode>
                <c:ptCount val="9"/>
                <c:pt idx="0">
                  <c:v>2.2332506203473969E-2</c:v>
                </c:pt>
                <c:pt idx="1">
                  <c:v>4.2335766423357624E-2</c:v>
                </c:pt>
                <c:pt idx="2">
                  <c:v>5.0847457627118724E-2</c:v>
                </c:pt>
                <c:pt idx="3">
                  <c:v>5.7768924302788856E-2</c:v>
                </c:pt>
                <c:pt idx="4">
                  <c:v>6.4039408866995079E-2</c:v>
                </c:pt>
                <c:pt idx="5">
                  <c:v>6.4615384615384575E-2</c:v>
                </c:pt>
                <c:pt idx="6">
                  <c:v>7.0833333333333179E-2</c:v>
                </c:pt>
                <c:pt idx="7">
                  <c:v>6.8750000000000103E-2</c:v>
                </c:pt>
                <c:pt idx="8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60-44E8-ADB8-5DA1572D526C}"/>
            </c:ext>
          </c:extLst>
        </c:ser>
        <c:ser>
          <c:idx val="4"/>
          <c:order val="4"/>
          <c:tx>
            <c:strRef>
              <c:f>'Graphs Leaves'!$F$2</c:f>
              <c:strCache>
                <c:ptCount val="1"/>
                <c:pt idx="0">
                  <c:v>7 Classif.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Leaves'!$F$3:$F$11</c:f>
              <c:numCache>
                <c:formatCode>0.0%</c:formatCode>
                <c:ptCount val="9"/>
                <c:pt idx="0">
                  <c:v>2.6054590570719554E-2</c:v>
                </c:pt>
                <c:pt idx="1">
                  <c:v>5.839416058394159E-2</c:v>
                </c:pt>
                <c:pt idx="2">
                  <c:v>8.6440677966101706E-2</c:v>
                </c:pt>
                <c:pt idx="3">
                  <c:v>0.10956175298804789</c:v>
                </c:pt>
                <c:pt idx="4">
                  <c:v>0.13300492610837433</c:v>
                </c:pt>
                <c:pt idx="5">
                  <c:v>0.14769230769230757</c:v>
                </c:pt>
                <c:pt idx="6">
                  <c:v>0.16250000000000023</c:v>
                </c:pt>
                <c:pt idx="7">
                  <c:v>0.18125000000000024</c:v>
                </c:pt>
                <c:pt idx="8">
                  <c:v>0.19999999999999998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60-44E8-ADB8-5DA1572D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96621904"/>
        <c:axId val="1007083536"/>
      </c:barChart>
      <c:catAx>
        <c:axId val="119662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83536"/>
        <c:crosses val="autoZero"/>
        <c:auto val="1"/>
        <c:lblAlgn val="ctr"/>
        <c:lblOffset val="100"/>
        <c:noMultiLvlLbl val="0"/>
      </c:catAx>
      <c:valAx>
        <c:axId val="10070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Classes with Excluded Classifications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2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'Graphs Leaves'!$B$2</c:f>
              <c:strCache>
                <c:ptCount val="1"/>
                <c:pt idx="0">
                  <c:v>0 Classif.</c:v>
                </c:pt>
              </c:strCache>
            </c:strRef>
          </c:tx>
          <c:spPr>
            <a:solidFill>
              <a:srgbClr val="FF818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4.9982046753868912E-17"/>
                  <c:y val="-6.924643880650400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10-4A1D-923F-899F31B813C7}"/>
                </c:ext>
              </c:extLst>
            </c:dLbl>
            <c:dLbl>
              <c:idx val="3"/>
              <c:layout>
                <c:manualLayout>
                  <c:x val="0"/>
                  <c:y val="-1.3849287761300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10-4A1D-923F-899F31B813C7}"/>
                </c:ext>
              </c:extLst>
            </c:dLbl>
            <c:dLbl>
              <c:idx val="4"/>
              <c:layout>
                <c:manualLayout>
                  <c:x val="0"/>
                  <c:y val="-1.615750238818426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10-4A1D-923F-899F31B813C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10-4A1D-923F-899F31B813C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10-4A1D-923F-899F31B813C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10-4A1D-923F-899F31B813C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10-4A1D-923F-899F31B813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Leaves'!$B$16:$B$24</c:f>
              <c:numCache>
                <c:formatCode>0.0%</c:formatCode>
                <c:ptCount val="9"/>
                <c:pt idx="0">
                  <c:v>0.10652920962199322</c:v>
                </c:pt>
                <c:pt idx="1">
                  <c:v>5.8939096267190683E-2</c:v>
                </c:pt>
                <c:pt idx="2">
                  <c:v>2.9612756264236796E-2</c:v>
                </c:pt>
                <c:pt idx="3">
                  <c:v>1.604278074866311E-2</c:v>
                </c:pt>
                <c:pt idx="4">
                  <c:v>6.5573770491803339E-3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10-4A1D-923F-899F31B813C7}"/>
            </c:ext>
          </c:extLst>
        </c:ser>
        <c:ser>
          <c:idx val="1"/>
          <c:order val="1"/>
          <c:tx>
            <c:strRef>
              <c:f>'Graphs Leaves'!$C$2</c:f>
              <c:strCache>
                <c:ptCount val="1"/>
                <c:pt idx="0">
                  <c:v>1-4 Classif.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0"/>
                  <c:y val="-3.180364479786279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10-4A1D-923F-899F31B813C7}"/>
                </c:ext>
              </c:extLst>
            </c:dLbl>
            <c:dLbl>
              <c:idx val="8"/>
              <c:layout>
                <c:manualLayout>
                  <c:x val="0"/>
                  <c:y val="-3.180364479786396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10-4A1D-923F-899F31B813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Leaves'!$C$16:$C$24</c:f>
              <c:numCache>
                <c:formatCode>0.0%</c:formatCode>
                <c:ptCount val="9"/>
                <c:pt idx="0">
                  <c:v>0.45704467353951889</c:v>
                </c:pt>
                <c:pt idx="1">
                  <c:v>0.31827111984282885</c:v>
                </c:pt>
                <c:pt idx="2">
                  <c:v>0.20728929384965797</c:v>
                </c:pt>
                <c:pt idx="3">
                  <c:v>0.17914438502673777</c:v>
                </c:pt>
                <c:pt idx="4">
                  <c:v>0.11803278688524579</c:v>
                </c:pt>
                <c:pt idx="5">
                  <c:v>9.6234309623430825E-2</c:v>
                </c:pt>
                <c:pt idx="6">
                  <c:v>6.7039106145251423E-2</c:v>
                </c:pt>
                <c:pt idx="7">
                  <c:v>6.0344827586207031E-2</c:v>
                </c:pt>
                <c:pt idx="8">
                  <c:v>3.636363636363632E-2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10-4A1D-923F-899F31B813C7}"/>
            </c:ext>
          </c:extLst>
        </c:ser>
        <c:ser>
          <c:idx val="2"/>
          <c:order val="2"/>
          <c:tx>
            <c:strRef>
              <c:f>'Graphs Leaves'!$D$2</c:f>
              <c:strCache>
                <c:ptCount val="1"/>
                <c:pt idx="0">
                  <c:v>5 Classif.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Leaves'!$D$16:$D$24</c:f>
              <c:numCache>
                <c:formatCode>0.0%</c:formatCode>
                <c:ptCount val="9"/>
                <c:pt idx="0">
                  <c:v>0.35567010309278341</c:v>
                </c:pt>
                <c:pt idx="1">
                  <c:v>0.49705304518664062</c:v>
                </c:pt>
                <c:pt idx="2">
                  <c:v>0.58997722095672045</c:v>
                </c:pt>
                <c:pt idx="3">
                  <c:v>0.59893048128342263</c:v>
                </c:pt>
                <c:pt idx="4">
                  <c:v>0.63278688524590143</c:v>
                </c:pt>
                <c:pt idx="5">
                  <c:v>0.62343096234309614</c:v>
                </c:pt>
                <c:pt idx="6">
                  <c:v>0.63687150837988826</c:v>
                </c:pt>
                <c:pt idx="7">
                  <c:v>0.58620689655172331</c:v>
                </c:pt>
                <c:pt idx="8">
                  <c:v>0.32727272727272766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10-4A1D-923F-899F31B813C7}"/>
            </c:ext>
          </c:extLst>
        </c:ser>
        <c:ser>
          <c:idx val="3"/>
          <c:order val="3"/>
          <c:tx>
            <c:strRef>
              <c:f>'Graphs Leaves'!$E$2</c:f>
              <c:strCache>
                <c:ptCount val="1"/>
                <c:pt idx="0">
                  <c:v>6 Classif.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Leaves'!$E$16:$E$24</c:f>
              <c:numCache>
                <c:formatCode>0.0%</c:formatCode>
                <c:ptCount val="9"/>
                <c:pt idx="0">
                  <c:v>3.0927835051546382E-2</c:v>
                </c:pt>
                <c:pt idx="1">
                  <c:v>4.715127701375247E-2</c:v>
                </c:pt>
                <c:pt idx="2">
                  <c:v>5.9225512528473745E-2</c:v>
                </c:pt>
                <c:pt idx="3">
                  <c:v>7.4866310160427746E-2</c:v>
                </c:pt>
                <c:pt idx="4">
                  <c:v>9.180327868852467E-2</c:v>
                </c:pt>
                <c:pt idx="5">
                  <c:v>0.1129707112970712</c:v>
                </c:pt>
                <c:pt idx="6">
                  <c:v>0.12849162011173174</c:v>
                </c:pt>
                <c:pt idx="7">
                  <c:v>0.17241379310344862</c:v>
                </c:pt>
                <c:pt idx="8">
                  <c:v>0.41818181818181821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10-4A1D-923F-899F31B813C7}"/>
            </c:ext>
          </c:extLst>
        </c:ser>
        <c:ser>
          <c:idx val="4"/>
          <c:order val="4"/>
          <c:tx>
            <c:strRef>
              <c:f>'Graphs Leaves'!$F$2</c:f>
              <c:strCache>
                <c:ptCount val="1"/>
                <c:pt idx="0">
                  <c:v>7 Classif.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Leaves'!$F$16:$F$24</c:f>
              <c:numCache>
                <c:formatCode>0.0%</c:formatCode>
                <c:ptCount val="9"/>
                <c:pt idx="0">
                  <c:v>4.9828178694158114E-2</c:v>
                </c:pt>
                <c:pt idx="1">
                  <c:v>7.8585461689587494E-2</c:v>
                </c:pt>
                <c:pt idx="2">
                  <c:v>0.11389521640091123</c:v>
                </c:pt>
                <c:pt idx="3">
                  <c:v>0.13101604278074871</c:v>
                </c:pt>
                <c:pt idx="4">
                  <c:v>0.15081967213114766</c:v>
                </c:pt>
                <c:pt idx="5">
                  <c:v>0.16736401673640172</c:v>
                </c:pt>
                <c:pt idx="6">
                  <c:v>0.16759776536312856</c:v>
                </c:pt>
                <c:pt idx="7">
                  <c:v>0.18103448275862111</c:v>
                </c:pt>
                <c:pt idx="8">
                  <c:v>0.21818181818181773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10-4A1D-923F-899F31B813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196621904"/>
        <c:axId val="1007083536"/>
      </c:barChart>
      <c:catAx>
        <c:axId val="119662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83536"/>
        <c:crosses val="autoZero"/>
        <c:auto val="1"/>
        <c:lblAlgn val="ctr"/>
        <c:lblOffset val="100"/>
        <c:noMultiLvlLbl val="0"/>
      </c:catAx>
      <c:valAx>
        <c:axId val="10070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Classes with Excluded Classifications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2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Normalized Test Results for </a:t>
            </a:r>
            <a:r>
              <a:rPr lang="en-US" b="1" u="sng"/>
              <a:t>CWA</a:t>
            </a:r>
            <a:r>
              <a:rPr lang="en-US" b="1"/>
              <a:t>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matrixes_ac_norm!$U$1</c:f>
              <c:strCache>
                <c:ptCount val="1"/>
                <c:pt idx="0">
                  <c:v>Not Classified Classes (%)</c:v>
                </c:pt>
              </c:strCache>
            </c:strRef>
          </c:tx>
          <c:spPr>
            <a:solidFill>
              <a:srgbClr val="FF818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matrixes_an_norm!$T$2:$T$10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matrixes_ac_norm!$U$2:$U$10</c:f>
              <c:numCache>
                <c:formatCode>0.00</c:formatCode>
                <c:ptCount val="9"/>
                <c:pt idx="0">
                  <c:v>10.824742268041247</c:v>
                </c:pt>
                <c:pt idx="1">
                  <c:v>5.8823529411764746</c:v>
                </c:pt>
                <c:pt idx="2">
                  <c:v>3.4168564920273341</c:v>
                </c:pt>
                <c:pt idx="3">
                  <c:v>1.3404825737265427</c:v>
                </c:pt>
                <c:pt idx="4">
                  <c:v>0.65359477124183007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3-496B-A142-144DBDDD3842}"/>
            </c:ext>
          </c:extLst>
        </c:ser>
        <c:ser>
          <c:idx val="1"/>
          <c:order val="1"/>
          <c:tx>
            <c:strRef>
              <c:f>matrixes_ac_norm!$V$1</c:f>
              <c:strCache>
                <c:ptCount val="1"/>
                <c:pt idx="0">
                  <c:v>Partially Classified Classes (%)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matrixes_an_norm!$T$2:$T$10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matrixes_ac_norm!$V$2:$V$10</c:f>
              <c:numCache>
                <c:formatCode>0.00</c:formatCode>
                <c:ptCount val="9"/>
                <c:pt idx="0">
                  <c:v>84.020618556701024</c:v>
                </c:pt>
                <c:pt idx="1">
                  <c:v>86.078431372549019</c:v>
                </c:pt>
                <c:pt idx="2">
                  <c:v>85.421412300683357</c:v>
                </c:pt>
                <c:pt idx="3">
                  <c:v>84.718498659517422</c:v>
                </c:pt>
                <c:pt idx="4">
                  <c:v>84.313725490196049</c:v>
                </c:pt>
                <c:pt idx="5">
                  <c:v>82.700421940928265</c:v>
                </c:pt>
                <c:pt idx="6">
                  <c:v>81.355932203389784</c:v>
                </c:pt>
                <c:pt idx="7">
                  <c:v>81.034482758620641</c:v>
                </c:pt>
                <c:pt idx="8">
                  <c:v>79.629629629629619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3-496B-A142-144DBDDD3842}"/>
            </c:ext>
          </c:extLst>
        </c:ser>
        <c:ser>
          <c:idx val="2"/>
          <c:order val="2"/>
          <c:tx>
            <c:strRef>
              <c:f>matrixes_ac_norm!$W$1</c:f>
              <c:strCache>
                <c:ptCount val="1"/>
                <c:pt idx="0">
                  <c:v>Totally Classified Classes (%)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matrixes_an_norm!$T$2:$T$10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matrixes_ac_norm!$W$2:$W$10</c:f>
              <c:numCache>
                <c:formatCode>0.00</c:formatCode>
                <c:ptCount val="9"/>
                <c:pt idx="0">
                  <c:v>5.1546391752577341</c:v>
                </c:pt>
                <c:pt idx="1">
                  <c:v>8.0392156862745168</c:v>
                </c:pt>
                <c:pt idx="2">
                  <c:v>11.161731207289298</c:v>
                </c:pt>
                <c:pt idx="3">
                  <c:v>13.941018766756047</c:v>
                </c:pt>
                <c:pt idx="4">
                  <c:v>15.032679738562107</c:v>
                </c:pt>
                <c:pt idx="5">
                  <c:v>17.299578059071749</c:v>
                </c:pt>
                <c:pt idx="6">
                  <c:v>18.644067796610216</c:v>
                </c:pt>
                <c:pt idx="7">
                  <c:v>18.965517241379349</c:v>
                </c:pt>
                <c:pt idx="8">
                  <c:v>20.37037037037037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3-496B-A142-144DBDDD38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5"/>
        <c:overlap val="100"/>
        <c:axId val="483996191"/>
        <c:axId val="484021983"/>
      </c:barChart>
      <c:catAx>
        <c:axId val="483996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21983"/>
        <c:crosses val="autoZero"/>
        <c:auto val="1"/>
        <c:lblAlgn val="ctr"/>
        <c:lblOffset val="100"/>
        <c:noMultiLvlLbl val="0"/>
      </c:catAx>
      <c:valAx>
        <c:axId val="4840219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96191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leaves_an_norm!$A$16</c:f>
              <c:strCache>
                <c:ptCount val="1"/>
                <c:pt idx="0">
                  <c:v>Average 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leaves_an_norm!$B$16:$J$16</c:f>
              <c:numCache>
                <c:formatCode>0.00%</c:formatCode>
                <c:ptCount val="9"/>
                <c:pt idx="0">
                  <c:v>0.20839034708332374</c:v>
                </c:pt>
                <c:pt idx="1">
                  <c:v>1.3501146196030746E-2</c:v>
                </c:pt>
                <c:pt idx="2">
                  <c:v>2.3739995530611593E-3</c:v>
                </c:pt>
                <c:pt idx="3">
                  <c:v>0</c:v>
                </c:pt>
                <c:pt idx="4">
                  <c:v>4.0132848840317939E-2</c:v>
                </c:pt>
                <c:pt idx="5">
                  <c:v>0.55636967344408728</c:v>
                </c:pt>
                <c:pt idx="6">
                  <c:v>5.6465494226568755E-2</c:v>
                </c:pt>
                <c:pt idx="7">
                  <c:v>0</c:v>
                </c:pt>
                <c:pt idx="8">
                  <c:v>0.12276649065661033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D-4D23-9AA5-468006962A75}"/>
            </c:ext>
          </c:extLst>
        </c:ser>
        <c:ser>
          <c:idx val="1"/>
          <c:order val="1"/>
          <c:tx>
            <c:strRef>
              <c:f>leaves_an_norm!$A$17</c:f>
              <c:strCache>
                <c:ptCount val="1"/>
                <c:pt idx="0">
                  <c:v>Average CN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leaves_an_norm!$B$17:$J$17</c:f>
              <c:numCache>
                <c:formatCode>0.00%</c:formatCode>
                <c:ptCount val="9"/>
                <c:pt idx="0">
                  <c:v>2.4186802216807125E-2</c:v>
                </c:pt>
                <c:pt idx="1">
                  <c:v>0.12999941714344357</c:v>
                </c:pt>
                <c:pt idx="2">
                  <c:v>1.7504251597353785E-3</c:v>
                </c:pt>
                <c:pt idx="3">
                  <c:v>0</c:v>
                </c:pt>
                <c:pt idx="4">
                  <c:v>3.9335062014878276E-2</c:v>
                </c:pt>
                <c:pt idx="5">
                  <c:v>0.53868887003476706</c:v>
                </c:pt>
                <c:pt idx="6">
                  <c:v>0.12622579512631052</c:v>
                </c:pt>
                <c:pt idx="7">
                  <c:v>0</c:v>
                </c:pt>
                <c:pt idx="8">
                  <c:v>0.13981362830405805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D-4D23-9AA5-468006962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836559"/>
        <c:axId val="143065487"/>
      </c:barChart>
      <c:catAx>
        <c:axId val="5798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5487"/>
        <c:crosses val="autoZero"/>
        <c:auto val="1"/>
        <c:lblAlgn val="ctr"/>
        <c:lblOffset val="100"/>
        <c:noMultiLvlLbl val="0"/>
      </c:catAx>
      <c:valAx>
        <c:axId val="14306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leaves_an_norm!$A$23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leaves_an_norm!$B$19:$F$19</c:f>
              <c:numCache>
                <c:formatCode>General</c:formatCode>
                <c:ptCount val="5"/>
              </c:numCache>
            </c:numRef>
          </c:cat>
          <c:val>
            <c:numRef>
              <c:f>leaves_an_norm!$B$20:$F$20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616E-4CAA-8639-38718B3C8A4F}"/>
            </c:ext>
          </c:extLst>
        </c:ser>
        <c:ser>
          <c:idx val="1"/>
          <c:order val="1"/>
          <c:tx>
            <c:strRef>
              <c:f>leaves_an_norm!$A$21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leaves_an_norm!$B$19:$F$19</c:f>
              <c:numCache>
                <c:formatCode>General</c:formatCode>
                <c:ptCount val="5"/>
              </c:numCache>
            </c:numRef>
          </c:cat>
          <c:val>
            <c:numRef>
              <c:f>leaves_an_norm!$B$21:$F$21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616E-4CAA-8639-38718B3C8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91391"/>
        <c:axId val="135182991"/>
      </c:barChart>
      <c:catAx>
        <c:axId val="3889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2991"/>
        <c:crosses val="autoZero"/>
        <c:auto val="1"/>
        <c:lblAlgn val="ctr"/>
        <c:lblOffset val="100"/>
        <c:noMultiLvlLbl val="0"/>
      </c:catAx>
      <c:valAx>
        <c:axId val="13518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leaves_an_norm!$A$23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leaves_an_norm!$B$19:$F$19</c:f>
              <c:numCache>
                <c:formatCode>General</c:formatCode>
                <c:ptCount val="5"/>
              </c:numCache>
            </c:numRef>
          </c:cat>
          <c:val>
            <c:numRef>
              <c:f>leaves_an_norm!$B$20:$F$20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401B-4EEC-9266-33301E633955}"/>
            </c:ext>
          </c:extLst>
        </c:ser>
        <c:ser>
          <c:idx val="1"/>
          <c:order val="1"/>
          <c:tx>
            <c:strRef>
              <c:f>leaves_an_norm!$A$21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leaves_an_norm!$B$19:$F$19</c:f>
              <c:numCache>
                <c:formatCode>General</c:formatCode>
                <c:ptCount val="5"/>
              </c:numCache>
            </c:numRef>
          </c:cat>
          <c:val>
            <c:numRef>
              <c:f>leaves_an_norm!$B$21:$F$21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401B-4EEC-9266-33301E633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8215071"/>
        <c:axId val="135181071"/>
      </c:barChart>
      <c:catAx>
        <c:axId val="42821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1071"/>
        <c:crosses val="autoZero"/>
        <c:auto val="1"/>
        <c:lblAlgn val="ctr"/>
        <c:lblOffset val="100"/>
        <c:noMultiLvlLbl val="0"/>
      </c:catAx>
      <c:valAx>
        <c:axId val="13518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1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Effectiveness Evaluation Results for OWA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'Graphs Leaves'!$B$2</c:f>
              <c:strCache>
                <c:ptCount val="1"/>
                <c:pt idx="0">
                  <c:v>0 Classif.</c:v>
                </c:pt>
              </c:strCache>
            </c:strRef>
          </c:tx>
          <c:spPr>
            <a:solidFill>
              <a:srgbClr val="FF818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Leaves'!$B$3:$B$11</c:f>
              <c:numCache>
                <c:formatCode>0.0%</c:formatCode>
                <c:ptCount val="9"/>
                <c:pt idx="0">
                  <c:v>0.54962779156327601</c:v>
                </c:pt>
                <c:pt idx="1">
                  <c:v>0.36934306569343095</c:v>
                </c:pt>
                <c:pt idx="2">
                  <c:v>0.2508474576271183</c:v>
                </c:pt>
                <c:pt idx="3">
                  <c:v>0.18924302788844594</c:v>
                </c:pt>
                <c:pt idx="4">
                  <c:v>0.14039408866995073</c:v>
                </c:pt>
                <c:pt idx="5">
                  <c:v>0.13230769230769221</c:v>
                </c:pt>
                <c:pt idx="6">
                  <c:v>9.5833333333333159E-2</c:v>
                </c:pt>
                <c:pt idx="7">
                  <c:v>8.1249999999999892E-2</c:v>
                </c:pt>
                <c:pt idx="8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5-4D57-8D96-18BFDB4A08E6}"/>
            </c:ext>
          </c:extLst>
        </c:ser>
        <c:ser>
          <c:idx val="1"/>
          <c:order val="1"/>
          <c:tx>
            <c:strRef>
              <c:f>'Graphs Leaves'!$C$2</c:f>
              <c:strCache>
                <c:ptCount val="1"/>
                <c:pt idx="0">
                  <c:v>1-4 Classif.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Leaves'!$C$3:$C$11</c:f>
              <c:numCache>
                <c:formatCode>0.0%</c:formatCode>
                <c:ptCount val="9"/>
                <c:pt idx="0">
                  <c:v>9.0570719602977801E-2</c:v>
                </c:pt>
                <c:pt idx="1">
                  <c:v>0.10510948905109484</c:v>
                </c:pt>
                <c:pt idx="2">
                  <c:v>7.9661016949152508E-2</c:v>
                </c:pt>
                <c:pt idx="3">
                  <c:v>6.7729083665338669E-2</c:v>
                </c:pt>
                <c:pt idx="4">
                  <c:v>4.433497536945806E-2</c:v>
                </c:pt>
                <c:pt idx="5">
                  <c:v>4.0000000000000015E-2</c:v>
                </c:pt>
                <c:pt idx="6">
                  <c:v>2.4999999999999984E-2</c:v>
                </c:pt>
                <c:pt idx="7">
                  <c:v>2.5000000000000085E-2</c:v>
                </c:pt>
                <c:pt idx="8">
                  <c:v>2.6666666666666665E-2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5-4D57-8D96-18BFDB4A08E6}"/>
            </c:ext>
          </c:extLst>
        </c:ser>
        <c:ser>
          <c:idx val="2"/>
          <c:order val="2"/>
          <c:tx>
            <c:strRef>
              <c:f>'Graphs Leaves'!$D$2</c:f>
              <c:strCache>
                <c:ptCount val="1"/>
                <c:pt idx="0">
                  <c:v>5 Classif.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Leaves'!$D$3:$D$11</c:f>
              <c:numCache>
                <c:formatCode>0.0%</c:formatCode>
                <c:ptCount val="9"/>
                <c:pt idx="0">
                  <c:v>0.3114143920595529</c:v>
                </c:pt>
                <c:pt idx="1">
                  <c:v>0.42481751824817499</c:v>
                </c:pt>
                <c:pt idx="2">
                  <c:v>0.53220338983050863</c:v>
                </c:pt>
                <c:pt idx="3">
                  <c:v>0.57569721115537875</c:v>
                </c:pt>
                <c:pt idx="4">
                  <c:v>0.61822660098522175</c:v>
                </c:pt>
                <c:pt idx="5">
                  <c:v>0.61538461538461553</c:v>
                </c:pt>
                <c:pt idx="6">
                  <c:v>0.64583333333333348</c:v>
                </c:pt>
                <c:pt idx="7">
                  <c:v>0.6437499999999996</c:v>
                </c:pt>
                <c:pt idx="8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A5-4D57-8D96-18BFDB4A08E6}"/>
            </c:ext>
          </c:extLst>
        </c:ser>
        <c:ser>
          <c:idx val="3"/>
          <c:order val="3"/>
          <c:tx>
            <c:strRef>
              <c:f>'Graphs Leaves'!$E$2</c:f>
              <c:strCache>
                <c:ptCount val="1"/>
                <c:pt idx="0">
                  <c:v>6 Classif.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646049235898469E-17"/>
                  <c:y val="9.54109343935883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A5-4D57-8D96-18BFDB4A08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Leaves'!$E$3:$E$11</c:f>
              <c:numCache>
                <c:formatCode>0.0%</c:formatCode>
                <c:ptCount val="9"/>
                <c:pt idx="0">
                  <c:v>2.2332506203473969E-2</c:v>
                </c:pt>
                <c:pt idx="1">
                  <c:v>4.2335766423357624E-2</c:v>
                </c:pt>
                <c:pt idx="2">
                  <c:v>5.0847457627118724E-2</c:v>
                </c:pt>
                <c:pt idx="3">
                  <c:v>5.7768924302788856E-2</c:v>
                </c:pt>
                <c:pt idx="4">
                  <c:v>6.4039408866995079E-2</c:v>
                </c:pt>
                <c:pt idx="5">
                  <c:v>6.4615384615384575E-2</c:v>
                </c:pt>
                <c:pt idx="6">
                  <c:v>7.0833333333333179E-2</c:v>
                </c:pt>
                <c:pt idx="7">
                  <c:v>6.8750000000000103E-2</c:v>
                </c:pt>
                <c:pt idx="8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A5-4D57-8D96-18BFDB4A08E6}"/>
            </c:ext>
          </c:extLst>
        </c:ser>
        <c:ser>
          <c:idx val="4"/>
          <c:order val="4"/>
          <c:tx>
            <c:strRef>
              <c:f>'Graphs Leaves'!$F$2</c:f>
              <c:strCache>
                <c:ptCount val="1"/>
                <c:pt idx="0">
                  <c:v>7 Classif.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Leaves'!$F$3:$F$11</c:f>
              <c:numCache>
                <c:formatCode>0.0%</c:formatCode>
                <c:ptCount val="9"/>
                <c:pt idx="0">
                  <c:v>2.6054590570719554E-2</c:v>
                </c:pt>
                <c:pt idx="1">
                  <c:v>5.839416058394159E-2</c:v>
                </c:pt>
                <c:pt idx="2">
                  <c:v>8.6440677966101706E-2</c:v>
                </c:pt>
                <c:pt idx="3">
                  <c:v>0.10956175298804789</c:v>
                </c:pt>
                <c:pt idx="4">
                  <c:v>0.13300492610837433</c:v>
                </c:pt>
                <c:pt idx="5">
                  <c:v>0.14769230769230757</c:v>
                </c:pt>
                <c:pt idx="6">
                  <c:v>0.16250000000000023</c:v>
                </c:pt>
                <c:pt idx="7">
                  <c:v>0.18125000000000024</c:v>
                </c:pt>
                <c:pt idx="8">
                  <c:v>0.19999999999999998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A5-4D57-8D96-18BFDB4A0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96621904"/>
        <c:axId val="1007083536"/>
      </c:barChart>
      <c:catAx>
        <c:axId val="119662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Input 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83536"/>
        <c:crosses val="autoZero"/>
        <c:auto val="1"/>
        <c:lblAlgn val="ctr"/>
        <c:lblOffset val="100"/>
        <c:noMultiLvlLbl val="0"/>
      </c:catAx>
      <c:valAx>
        <c:axId val="10070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Classes</a:t>
                </a:r>
                <a:r>
                  <a:rPr lang="en-US" sz="1000" baseline="0">
                    <a:solidFill>
                      <a:sysClr val="windowText" lastClr="000000"/>
                    </a:solidFill>
                  </a:rPr>
                  <a:t> with Excluded Classifications (%)</a:t>
                </a:r>
                <a:endParaRPr lang="en-US" sz="10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2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Effectiveness Evaluation Results for CWA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'Graphs Leaves'!$B$2</c:f>
              <c:strCache>
                <c:ptCount val="1"/>
                <c:pt idx="0">
                  <c:v>0 Classif.</c:v>
                </c:pt>
              </c:strCache>
            </c:strRef>
          </c:tx>
          <c:spPr>
            <a:solidFill>
              <a:srgbClr val="FF8181"/>
            </a:solidFill>
            <a:ln>
              <a:noFill/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25F-4103-8721-BF597A50E9B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5F-4103-8721-BF597A50E9B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25F-4103-8721-BF597A50E9B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25F-4103-8721-BF597A50E9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Leaves'!$B$16:$B$24</c:f>
              <c:numCache>
                <c:formatCode>0.0%</c:formatCode>
                <c:ptCount val="9"/>
                <c:pt idx="0">
                  <c:v>0.10652920962199322</c:v>
                </c:pt>
                <c:pt idx="1">
                  <c:v>5.8939096267190683E-2</c:v>
                </c:pt>
                <c:pt idx="2">
                  <c:v>2.9612756264236796E-2</c:v>
                </c:pt>
                <c:pt idx="3">
                  <c:v>1.604278074866311E-2</c:v>
                </c:pt>
                <c:pt idx="4">
                  <c:v>6.5573770491803339E-3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F-4103-8721-BF597A50E9B5}"/>
            </c:ext>
          </c:extLst>
        </c:ser>
        <c:ser>
          <c:idx val="1"/>
          <c:order val="1"/>
          <c:tx>
            <c:strRef>
              <c:f>'Graphs Leaves'!$C$2</c:f>
              <c:strCache>
                <c:ptCount val="1"/>
                <c:pt idx="0">
                  <c:v>1-4 Classif.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0"/>
                  <c:y val="-3.180364479786279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5F-4103-8721-BF597A50E9B5}"/>
                </c:ext>
              </c:extLst>
            </c:dLbl>
            <c:dLbl>
              <c:idx val="8"/>
              <c:layout>
                <c:manualLayout>
                  <c:x val="0"/>
                  <c:y val="-3.180364479786396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25F-4103-8721-BF597A50E9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Leaves'!$C$16:$C$24</c:f>
              <c:numCache>
                <c:formatCode>0.0%</c:formatCode>
                <c:ptCount val="9"/>
                <c:pt idx="0">
                  <c:v>0.45704467353951889</c:v>
                </c:pt>
                <c:pt idx="1">
                  <c:v>0.31827111984282885</c:v>
                </c:pt>
                <c:pt idx="2">
                  <c:v>0.20728929384965797</c:v>
                </c:pt>
                <c:pt idx="3">
                  <c:v>0.17914438502673777</c:v>
                </c:pt>
                <c:pt idx="4">
                  <c:v>0.11803278688524579</c:v>
                </c:pt>
                <c:pt idx="5">
                  <c:v>9.6234309623430825E-2</c:v>
                </c:pt>
                <c:pt idx="6">
                  <c:v>6.7039106145251423E-2</c:v>
                </c:pt>
                <c:pt idx="7">
                  <c:v>6.0344827586207031E-2</c:v>
                </c:pt>
                <c:pt idx="8">
                  <c:v>3.636363636363632E-2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F-4103-8721-BF597A50E9B5}"/>
            </c:ext>
          </c:extLst>
        </c:ser>
        <c:ser>
          <c:idx val="2"/>
          <c:order val="2"/>
          <c:tx>
            <c:strRef>
              <c:f>'Graphs Leaves'!$D$2</c:f>
              <c:strCache>
                <c:ptCount val="1"/>
                <c:pt idx="0">
                  <c:v>5 Classif.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Leaves'!$D$16:$D$24</c:f>
              <c:numCache>
                <c:formatCode>0.0%</c:formatCode>
                <c:ptCount val="9"/>
                <c:pt idx="0">
                  <c:v>0.35567010309278341</c:v>
                </c:pt>
                <c:pt idx="1">
                  <c:v>0.49705304518664062</c:v>
                </c:pt>
                <c:pt idx="2">
                  <c:v>0.58997722095672045</c:v>
                </c:pt>
                <c:pt idx="3">
                  <c:v>0.59893048128342263</c:v>
                </c:pt>
                <c:pt idx="4">
                  <c:v>0.63278688524590143</c:v>
                </c:pt>
                <c:pt idx="5">
                  <c:v>0.62343096234309614</c:v>
                </c:pt>
                <c:pt idx="6">
                  <c:v>0.63687150837988826</c:v>
                </c:pt>
                <c:pt idx="7">
                  <c:v>0.58620689655172331</c:v>
                </c:pt>
                <c:pt idx="8">
                  <c:v>0.32727272727272766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5F-4103-8721-BF597A50E9B5}"/>
            </c:ext>
          </c:extLst>
        </c:ser>
        <c:ser>
          <c:idx val="3"/>
          <c:order val="3"/>
          <c:tx>
            <c:strRef>
              <c:f>'Graphs Leaves'!$E$2</c:f>
              <c:strCache>
                <c:ptCount val="1"/>
                <c:pt idx="0">
                  <c:v>6 Classif.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Leaves'!$E$16:$E$24</c:f>
              <c:numCache>
                <c:formatCode>0.0%</c:formatCode>
                <c:ptCount val="9"/>
                <c:pt idx="0">
                  <c:v>3.0927835051546382E-2</c:v>
                </c:pt>
                <c:pt idx="1">
                  <c:v>4.715127701375247E-2</c:v>
                </c:pt>
                <c:pt idx="2">
                  <c:v>5.9225512528473745E-2</c:v>
                </c:pt>
                <c:pt idx="3">
                  <c:v>7.4866310160427746E-2</c:v>
                </c:pt>
                <c:pt idx="4">
                  <c:v>9.180327868852467E-2</c:v>
                </c:pt>
                <c:pt idx="5">
                  <c:v>0.1129707112970712</c:v>
                </c:pt>
                <c:pt idx="6">
                  <c:v>0.12849162011173174</c:v>
                </c:pt>
                <c:pt idx="7">
                  <c:v>0.17241379310344862</c:v>
                </c:pt>
                <c:pt idx="8">
                  <c:v>0.41818181818181821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5F-4103-8721-BF597A50E9B5}"/>
            </c:ext>
          </c:extLst>
        </c:ser>
        <c:ser>
          <c:idx val="4"/>
          <c:order val="4"/>
          <c:tx>
            <c:strRef>
              <c:f>'Graphs Leaves'!$F$2</c:f>
              <c:strCache>
                <c:ptCount val="1"/>
                <c:pt idx="0">
                  <c:v>7 Classif.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Leaves'!$F$16:$F$24</c:f>
              <c:numCache>
                <c:formatCode>0.0%</c:formatCode>
                <c:ptCount val="9"/>
                <c:pt idx="0">
                  <c:v>4.9828178694158114E-2</c:v>
                </c:pt>
                <c:pt idx="1">
                  <c:v>7.8585461689587494E-2</c:v>
                </c:pt>
                <c:pt idx="2">
                  <c:v>0.11389521640091123</c:v>
                </c:pt>
                <c:pt idx="3">
                  <c:v>0.13101604278074871</c:v>
                </c:pt>
                <c:pt idx="4">
                  <c:v>0.15081967213114766</c:v>
                </c:pt>
                <c:pt idx="5">
                  <c:v>0.16736401673640172</c:v>
                </c:pt>
                <c:pt idx="6">
                  <c:v>0.16759776536312856</c:v>
                </c:pt>
                <c:pt idx="7">
                  <c:v>0.18103448275862111</c:v>
                </c:pt>
                <c:pt idx="8">
                  <c:v>0.21818181818181773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5F-4103-8721-BF597A50E9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196621904"/>
        <c:axId val="1007083536"/>
      </c:barChart>
      <c:catAx>
        <c:axId val="119662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Input 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83536"/>
        <c:crosses val="autoZero"/>
        <c:auto val="1"/>
        <c:lblAlgn val="ctr"/>
        <c:lblOffset val="100"/>
        <c:noMultiLvlLbl val="0"/>
      </c:catAx>
      <c:valAx>
        <c:axId val="10070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Classes with Excluded Classifications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2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'Graphs Leaves'!$B$2</c:f>
              <c:strCache>
                <c:ptCount val="1"/>
                <c:pt idx="0">
                  <c:v>0 Classif.</c:v>
                </c:pt>
              </c:strCache>
            </c:strRef>
          </c:tx>
          <c:spPr>
            <a:solidFill>
              <a:srgbClr val="FF818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Leaves'!$B$3:$B$11</c:f>
              <c:numCache>
                <c:formatCode>0.0%</c:formatCode>
                <c:ptCount val="9"/>
                <c:pt idx="0">
                  <c:v>0.54962779156327601</c:v>
                </c:pt>
                <c:pt idx="1">
                  <c:v>0.36934306569343095</c:v>
                </c:pt>
                <c:pt idx="2">
                  <c:v>0.2508474576271183</c:v>
                </c:pt>
                <c:pt idx="3">
                  <c:v>0.18924302788844594</c:v>
                </c:pt>
                <c:pt idx="4">
                  <c:v>0.14039408866995073</c:v>
                </c:pt>
                <c:pt idx="5">
                  <c:v>0.13230769230769221</c:v>
                </c:pt>
                <c:pt idx="6">
                  <c:v>9.5833333333333159E-2</c:v>
                </c:pt>
                <c:pt idx="7">
                  <c:v>8.1249999999999892E-2</c:v>
                </c:pt>
                <c:pt idx="8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B-4083-89E7-63176C4BD316}"/>
            </c:ext>
          </c:extLst>
        </c:ser>
        <c:ser>
          <c:idx val="1"/>
          <c:order val="1"/>
          <c:tx>
            <c:strRef>
              <c:f>'Graphs Leaves'!$C$2</c:f>
              <c:strCache>
                <c:ptCount val="1"/>
                <c:pt idx="0">
                  <c:v>1-4 Classif.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Leaves'!$C$3:$C$11</c:f>
              <c:numCache>
                <c:formatCode>0.0%</c:formatCode>
                <c:ptCount val="9"/>
                <c:pt idx="0">
                  <c:v>9.0570719602977801E-2</c:v>
                </c:pt>
                <c:pt idx="1">
                  <c:v>0.10510948905109484</c:v>
                </c:pt>
                <c:pt idx="2">
                  <c:v>7.9661016949152508E-2</c:v>
                </c:pt>
                <c:pt idx="3">
                  <c:v>6.7729083665338669E-2</c:v>
                </c:pt>
                <c:pt idx="4">
                  <c:v>4.433497536945806E-2</c:v>
                </c:pt>
                <c:pt idx="5">
                  <c:v>4.0000000000000015E-2</c:v>
                </c:pt>
                <c:pt idx="6">
                  <c:v>2.4999999999999984E-2</c:v>
                </c:pt>
                <c:pt idx="7">
                  <c:v>2.5000000000000085E-2</c:v>
                </c:pt>
                <c:pt idx="8">
                  <c:v>2.6666666666666665E-2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B-4083-89E7-63176C4BD316}"/>
            </c:ext>
          </c:extLst>
        </c:ser>
        <c:ser>
          <c:idx val="2"/>
          <c:order val="2"/>
          <c:tx>
            <c:strRef>
              <c:f>'Graphs Leaves'!$D$2</c:f>
              <c:strCache>
                <c:ptCount val="1"/>
                <c:pt idx="0">
                  <c:v>5 Classif.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Leaves'!$D$3:$D$11</c:f>
              <c:numCache>
                <c:formatCode>0.0%</c:formatCode>
                <c:ptCount val="9"/>
                <c:pt idx="0">
                  <c:v>0.3114143920595529</c:v>
                </c:pt>
                <c:pt idx="1">
                  <c:v>0.42481751824817499</c:v>
                </c:pt>
                <c:pt idx="2">
                  <c:v>0.53220338983050863</c:v>
                </c:pt>
                <c:pt idx="3">
                  <c:v>0.57569721115537875</c:v>
                </c:pt>
                <c:pt idx="4">
                  <c:v>0.61822660098522175</c:v>
                </c:pt>
                <c:pt idx="5">
                  <c:v>0.61538461538461553</c:v>
                </c:pt>
                <c:pt idx="6">
                  <c:v>0.64583333333333348</c:v>
                </c:pt>
                <c:pt idx="7">
                  <c:v>0.6437499999999996</c:v>
                </c:pt>
                <c:pt idx="8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B-4083-89E7-63176C4BD316}"/>
            </c:ext>
          </c:extLst>
        </c:ser>
        <c:ser>
          <c:idx val="3"/>
          <c:order val="3"/>
          <c:tx>
            <c:strRef>
              <c:f>'Graphs Leaves'!$E$2</c:f>
              <c:strCache>
                <c:ptCount val="1"/>
                <c:pt idx="0">
                  <c:v>6 Classif.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646049235898469E-17"/>
                  <c:y val="9.54109343935883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AB-4083-89E7-63176C4BD3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Leaves'!$E$3:$E$11</c:f>
              <c:numCache>
                <c:formatCode>0.0%</c:formatCode>
                <c:ptCount val="9"/>
                <c:pt idx="0">
                  <c:v>2.2332506203473969E-2</c:v>
                </c:pt>
                <c:pt idx="1">
                  <c:v>4.2335766423357624E-2</c:v>
                </c:pt>
                <c:pt idx="2">
                  <c:v>5.0847457627118724E-2</c:v>
                </c:pt>
                <c:pt idx="3">
                  <c:v>5.7768924302788856E-2</c:v>
                </c:pt>
                <c:pt idx="4">
                  <c:v>6.4039408866995079E-2</c:v>
                </c:pt>
                <c:pt idx="5">
                  <c:v>6.4615384615384575E-2</c:v>
                </c:pt>
                <c:pt idx="6">
                  <c:v>7.0833333333333179E-2</c:v>
                </c:pt>
                <c:pt idx="7">
                  <c:v>6.8750000000000103E-2</c:v>
                </c:pt>
                <c:pt idx="8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AB-4083-89E7-63176C4BD316}"/>
            </c:ext>
          </c:extLst>
        </c:ser>
        <c:ser>
          <c:idx val="4"/>
          <c:order val="4"/>
          <c:tx>
            <c:strRef>
              <c:f>'Graphs Leaves'!$F$2</c:f>
              <c:strCache>
                <c:ptCount val="1"/>
                <c:pt idx="0">
                  <c:v>7 Classif.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Leaves'!$F$3:$F$11</c:f>
              <c:numCache>
                <c:formatCode>0.0%</c:formatCode>
                <c:ptCount val="9"/>
                <c:pt idx="0">
                  <c:v>2.6054590570719554E-2</c:v>
                </c:pt>
                <c:pt idx="1">
                  <c:v>5.839416058394159E-2</c:v>
                </c:pt>
                <c:pt idx="2">
                  <c:v>8.6440677966101706E-2</c:v>
                </c:pt>
                <c:pt idx="3">
                  <c:v>0.10956175298804789</c:v>
                </c:pt>
                <c:pt idx="4">
                  <c:v>0.13300492610837433</c:v>
                </c:pt>
                <c:pt idx="5">
                  <c:v>0.14769230769230757</c:v>
                </c:pt>
                <c:pt idx="6">
                  <c:v>0.16250000000000023</c:v>
                </c:pt>
                <c:pt idx="7">
                  <c:v>0.18125000000000024</c:v>
                </c:pt>
                <c:pt idx="8">
                  <c:v>0.19999999999999998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AB-4083-89E7-63176C4BD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96621904"/>
        <c:axId val="1007083536"/>
      </c:barChart>
      <c:catAx>
        <c:axId val="119662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Input 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83536"/>
        <c:crosses val="autoZero"/>
        <c:auto val="1"/>
        <c:lblAlgn val="ctr"/>
        <c:lblOffset val="100"/>
        <c:noMultiLvlLbl val="0"/>
      </c:catAx>
      <c:valAx>
        <c:axId val="10070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Classes</a:t>
                </a:r>
                <a:r>
                  <a:rPr lang="en-US" sz="1000" baseline="0">
                    <a:solidFill>
                      <a:sysClr val="windowText" lastClr="000000"/>
                    </a:solidFill>
                  </a:rPr>
                  <a:t> with Excluded Classifications (%)</a:t>
                </a:r>
                <a:endParaRPr lang="en-US" sz="10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2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'Graphs Leaves'!$B$2</c:f>
              <c:strCache>
                <c:ptCount val="1"/>
                <c:pt idx="0">
                  <c:v>0 Classif.</c:v>
                </c:pt>
              </c:strCache>
            </c:strRef>
          </c:tx>
          <c:spPr>
            <a:solidFill>
              <a:srgbClr val="FF8181"/>
            </a:solidFill>
            <a:ln>
              <a:noFill/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E1-4C8B-900E-77E4ECFD0BD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E1-4C8B-900E-77E4ECFD0BD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E1-4C8B-900E-77E4ECFD0BD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E1-4C8B-900E-77E4ECFD0B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Leaves'!$B$16:$B$24</c:f>
              <c:numCache>
                <c:formatCode>0.0%</c:formatCode>
                <c:ptCount val="9"/>
                <c:pt idx="0">
                  <c:v>0.10652920962199322</c:v>
                </c:pt>
                <c:pt idx="1">
                  <c:v>5.8939096267190683E-2</c:v>
                </c:pt>
                <c:pt idx="2">
                  <c:v>2.9612756264236796E-2</c:v>
                </c:pt>
                <c:pt idx="3">
                  <c:v>1.604278074866311E-2</c:v>
                </c:pt>
                <c:pt idx="4">
                  <c:v>6.5573770491803339E-3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E1-4C8B-900E-77E4ECFD0BD7}"/>
            </c:ext>
          </c:extLst>
        </c:ser>
        <c:ser>
          <c:idx val="1"/>
          <c:order val="1"/>
          <c:tx>
            <c:strRef>
              <c:f>'Graphs Leaves'!$C$2</c:f>
              <c:strCache>
                <c:ptCount val="1"/>
                <c:pt idx="0">
                  <c:v>1-4 Classif.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0"/>
                  <c:y val="-3.180364479786279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E1-4C8B-900E-77E4ECFD0BD7}"/>
                </c:ext>
              </c:extLst>
            </c:dLbl>
            <c:dLbl>
              <c:idx val="8"/>
              <c:layout>
                <c:manualLayout>
                  <c:x val="0"/>
                  <c:y val="-3.180364479786396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E1-4C8B-900E-77E4ECFD0B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Leaves'!$C$16:$C$24</c:f>
              <c:numCache>
                <c:formatCode>0.0%</c:formatCode>
                <c:ptCount val="9"/>
                <c:pt idx="0">
                  <c:v>0.45704467353951889</c:v>
                </c:pt>
                <c:pt idx="1">
                  <c:v>0.31827111984282885</c:v>
                </c:pt>
                <c:pt idx="2">
                  <c:v>0.20728929384965797</c:v>
                </c:pt>
                <c:pt idx="3">
                  <c:v>0.17914438502673777</c:v>
                </c:pt>
                <c:pt idx="4">
                  <c:v>0.11803278688524579</c:v>
                </c:pt>
                <c:pt idx="5">
                  <c:v>9.6234309623430825E-2</c:v>
                </c:pt>
                <c:pt idx="6">
                  <c:v>6.7039106145251423E-2</c:v>
                </c:pt>
                <c:pt idx="7">
                  <c:v>6.0344827586207031E-2</c:v>
                </c:pt>
                <c:pt idx="8">
                  <c:v>3.636363636363632E-2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E1-4C8B-900E-77E4ECFD0BD7}"/>
            </c:ext>
          </c:extLst>
        </c:ser>
        <c:ser>
          <c:idx val="2"/>
          <c:order val="2"/>
          <c:tx>
            <c:strRef>
              <c:f>'Graphs Leaves'!$D$2</c:f>
              <c:strCache>
                <c:ptCount val="1"/>
                <c:pt idx="0">
                  <c:v>5 Classif.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Leaves'!$D$16:$D$24</c:f>
              <c:numCache>
                <c:formatCode>0.0%</c:formatCode>
                <c:ptCount val="9"/>
                <c:pt idx="0">
                  <c:v>0.35567010309278341</c:v>
                </c:pt>
                <c:pt idx="1">
                  <c:v>0.49705304518664062</c:v>
                </c:pt>
                <c:pt idx="2">
                  <c:v>0.58997722095672045</c:v>
                </c:pt>
                <c:pt idx="3">
                  <c:v>0.59893048128342263</c:v>
                </c:pt>
                <c:pt idx="4">
                  <c:v>0.63278688524590143</c:v>
                </c:pt>
                <c:pt idx="5">
                  <c:v>0.62343096234309614</c:v>
                </c:pt>
                <c:pt idx="6">
                  <c:v>0.63687150837988826</c:v>
                </c:pt>
                <c:pt idx="7">
                  <c:v>0.58620689655172331</c:v>
                </c:pt>
                <c:pt idx="8">
                  <c:v>0.32727272727272766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E1-4C8B-900E-77E4ECFD0BD7}"/>
            </c:ext>
          </c:extLst>
        </c:ser>
        <c:ser>
          <c:idx val="3"/>
          <c:order val="3"/>
          <c:tx>
            <c:strRef>
              <c:f>'Graphs Leaves'!$E$2</c:f>
              <c:strCache>
                <c:ptCount val="1"/>
                <c:pt idx="0">
                  <c:v>6 Classif.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Leaves'!$E$16:$E$24</c:f>
              <c:numCache>
                <c:formatCode>0.0%</c:formatCode>
                <c:ptCount val="9"/>
                <c:pt idx="0">
                  <c:v>3.0927835051546382E-2</c:v>
                </c:pt>
                <c:pt idx="1">
                  <c:v>4.715127701375247E-2</c:v>
                </c:pt>
                <c:pt idx="2">
                  <c:v>5.9225512528473745E-2</c:v>
                </c:pt>
                <c:pt idx="3">
                  <c:v>7.4866310160427746E-2</c:v>
                </c:pt>
                <c:pt idx="4">
                  <c:v>9.180327868852467E-2</c:v>
                </c:pt>
                <c:pt idx="5">
                  <c:v>0.1129707112970712</c:v>
                </c:pt>
                <c:pt idx="6">
                  <c:v>0.12849162011173174</c:v>
                </c:pt>
                <c:pt idx="7">
                  <c:v>0.17241379310344862</c:v>
                </c:pt>
                <c:pt idx="8">
                  <c:v>0.41818181818181821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E1-4C8B-900E-77E4ECFD0BD7}"/>
            </c:ext>
          </c:extLst>
        </c:ser>
        <c:ser>
          <c:idx val="4"/>
          <c:order val="4"/>
          <c:tx>
            <c:strRef>
              <c:f>'Graphs Leaves'!$F$2</c:f>
              <c:strCache>
                <c:ptCount val="1"/>
                <c:pt idx="0">
                  <c:v>7 Classif.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'Graphs Leaves'!$A$3:$A$11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'Graphs Leaves'!$F$16:$F$24</c:f>
              <c:numCache>
                <c:formatCode>0.0%</c:formatCode>
                <c:ptCount val="9"/>
                <c:pt idx="0">
                  <c:v>4.9828178694158114E-2</c:v>
                </c:pt>
                <c:pt idx="1">
                  <c:v>7.8585461689587494E-2</c:v>
                </c:pt>
                <c:pt idx="2">
                  <c:v>0.11389521640091123</c:v>
                </c:pt>
                <c:pt idx="3">
                  <c:v>0.13101604278074871</c:v>
                </c:pt>
                <c:pt idx="4">
                  <c:v>0.15081967213114766</c:v>
                </c:pt>
                <c:pt idx="5">
                  <c:v>0.16736401673640172</c:v>
                </c:pt>
                <c:pt idx="6">
                  <c:v>0.16759776536312856</c:v>
                </c:pt>
                <c:pt idx="7">
                  <c:v>0.18103448275862111</c:v>
                </c:pt>
                <c:pt idx="8">
                  <c:v>0.21818181818181773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E1-4C8B-900E-77E4ECFD0B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196621904"/>
        <c:axId val="1007083536"/>
      </c:barChart>
      <c:catAx>
        <c:axId val="119662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Input 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83536"/>
        <c:crosses val="autoZero"/>
        <c:auto val="1"/>
        <c:lblAlgn val="ctr"/>
        <c:lblOffset val="100"/>
        <c:noMultiLvlLbl val="0"/>
      </c:catAx>
      <c:valAx>
        <c:axId val="10070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Classes with Excluded Classifications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2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152400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61560-0C93-400D-A950-029DD1490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1</xdr:row>
      <xdr:rowOff>0</xdr:rowOff>
    </xdr:from>
    <xdr:to>
      <xdr:col>23</xdr:col>
      <xdr:colOff>438150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4F8EFD-0478-4BE5-A7F4-3CAF5747A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11</xdr:row>
      <xdr:rowOff>109537</xdr:rowOff>
    </xdr:from>
    <xdr:to>
      <xdr:col>14</xdr:col>
      <xdr:colOff>1104900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1DD20-78D4-12AD-A40D-9FAEC4605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1257300</xdr:colOff>
      <xdr:row>11</xdr:row>
      <xdr:rowOff>185737</xdr:rowOff>
    </xdr:from>
    <xdr:to>
      <xdr:col>21</xdr:col>
      <xdr:colOff>228600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5C9179-3B2B-7379-DDFF-F4CAD329F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1247775</xdr:colOff>
      <xdr:row>26</xdr:row>
      <xdr:rowOff>128587</xdr:rowOff>
    </xdr:from>
    <xdr:to>
      <xdr:col>21</xdr:col>
      <xdr:colOff>219075</xdr:colOff>
      <xdr:row>41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7B5116-E417-0229-6121-ECCE6FFF2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1695450</xdr:colOff>
      <xdr:row>33</xdr:row>
      <xdr:rowOff>95250</xdr:rowOff>
    </xdr:from>
    <xdr:to>
      <xdr:col>21</xdr:col>
      <xdr:colOff>38100</xdr:colOff>
      <xdr:row>33</xdr:row>
      <xdr:rowOff>104775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5DE543B-9B29-3D86-E347-BC9964FDC580}"/>
            </a:ext>
          </a:extLst>
        </xdr:cNvPr>
        <xdr:cNvCxnSpPr/>
      </xdr:nvCxnSpPr>
      <xdr:spPr>
        <a:xfrm flipV="1">
          <a:off x="12954000" y="6381750"/>
          <a:ext cx="3943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100547</xdr:colOff>
      <xdr:row>0</xdr:row>
      <xdr:rowOff>168367</xdr:rowOff>
    </xdr:from>
    <xdr:to>
      <xdr:col>18</xdr:col>
      <xdr:colOff>302253</xdr:colOff>
      <xdr:row>19</xdr:row>
      <xdr:rowOff>184055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B743E-658E-F78A-7F39-F8CBF9C10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470342</xdr:colOff>
      <xdr:row>0</xdr:row>
      <xdr:rowOff>155421</xdr:rowOff>
    </xdr:from>
    <xdr:to>
      <xdr:col>30</xdr:col>
      <xdr:colOff>66930</xdr:colOff>
      <xdr:row>19</xdr:row>
      <xdr:rowOff>171109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13131-D009-4C47-97B1-D2C58CFD9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11206</xdr:colOff>
      <xdr:row>24</xdr:row>
      <xdr:rowOff>179294</xdr:rowOff>
    </xdr:from>
    <xdr:to>
      <xdr:col>20</xdr:col>
      <xdr:colOff>374276</xdr:colOff>
      <xdr:row>44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C3700F-E546-4CC8-BB25-BA5B6E6E0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25</xdr:row>
      <xdr:rowOff>0</xdr:rowOff>
    </xdr:from>
    <xdr:to>
      <xdr:col>34</xdr:col>
      <xdr:colOff>363070</xdr:colOff>
      <xdr:row>44</xdr:row>
      <xdr:rowOff>144556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45C86B-4CD0-4F21-8EA6-C66AF0A70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605116</xdr:colOff>
      <xdr:row>60</xdr:row>
      <xdr:rowOff>0</xdr:rowOff>
    </xdr:from>
    <xdr:to>
      <xdr:col>22</xdr:col>
      <xdr:colOff>168087</xdr:colOff>
      <xdr:row>88</xdr:row>
      <xdr:rowOff>168088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87D353-5409-45FF-9A1B-B82A67C30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470645</xdr:colOff>
      <xdr:row>60</xdr:row>
      <xdr:rowOff>22412</xdr:rowOff>
    </xdr:from>
    <xdr:to>
      <xdr:col>38</xdr:col>
      <xdr:colOff>33616</xdr:colOff>
      <xdr:row>89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237048-366C-46BF-A680-6340E73BB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717175</xdr:colOff>
      <xdr:row>95</xdr:row>
      <xdr:rowOff>11206</xdr:rowOff>
    </xdr:from>
    <xdr:to>
      <xdr:col>20</xdr:col>
      <xdr:colOff>118781</xdr:colOff>
      <xdr:row>119</xdr:row>
      <xdr:rowOff>11206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FAA63C-9208-49AA-A041-A294182B4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605116</xdr:colOff>
      <xdr:row>95</xdr:row>
      <xdr:rowOff>0</xdr:rowOff>
    </xdr:from>
    <xdr:to>
      <xdr:col>40</xdr:col>
      <xdr:colOff>376516</xdr:colOff>
      <xdr:row>119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0196F1-8566-4C11-86B2-429DD3450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15E0EE-5581-45A5-859A-3A8B187C6A73}" name="Table_an" displayName="Table_an" ref="A1:R11" totalsRowCount="1">
  <autoFilter ref="A1:R10" xr:uid="{EC592292-53B5-4BCF-B7C6-614CFC522F1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6CAC7DE6-8480-4525-AB2B-CC4E4B5691FB}" name="Test" totalsRowLabel="Total" dataDxfId="302" totalsRowDxfId="301"/>
    <tableColumn id="2" xr3:uid="{7C55985E-673C-4AAB-AAE4-8D89B4A52896}" name="C0" totalsRowFunction="average" dataDxfId="300" totalsRowDxfId="299"/>
    <tableColumn id="3" xr3:uid="{1243D5EA-0947-400B-B19F-477F4FC37FE5}" name="C1" totalsRowFunction="average" dataDxfId="298" totalsRowDxfId="297"/>
    <tableColumn id="4" xr3:uid="{BBB97BC3-D5EB-4132-80D0-6F2F53B0CE8B}" name="C2" totalsRowFunction="average" dataDxfId="296" totalsRowDxfId="295"/>
    <tableColumn id="5" xr3:uid="{A4A0BA3F-27F1-4188-B66F-023547D8CF81}" name="C3" totalsRowFunction="average" dataDxfId="294" totalsRowDxfId="293"/>
    <tableColumn id="6" xr3:uid="{472B932B-6924-4752-99D6-C09FFA70C580}" name="C4" totalsRowFunction="average" dataDxfId="292" totalsRowDxfId="291"/>
    <tableColumn id="7" xr3:uid="{17E39D86-E5CC-4B1D-927D-D632CA0312A6}" name="C5" totalsRowFunction="average" dataDxfId="290" totalsRowDxfId="289"/>
    <tableColumn id="8" xr3:uid="{80E627F9-B294-4D3A-A491-E307CBCB5708}" name="C6" totalsRowFunction="average" dataDxfId="288" totalsRowDxfId="287"/>
    <tableColumn id="9" xr3:uid="{4CBE41AE-799C-48A4-B30C-B04764526E37}" name="C7" totalsRowFunction="average" dataDxfId="286" totalsRowDxfId="285"/>
    <tableColumn id="10" xr3:uid="{4D86BB8E-0B65-4318-8B37-0DF404FA88E9}" name="C8" totalsRowFunction="average" dataDxfId="284" totalsRowDxfId="283"/>
    <tableColumn id="11" xr3:uid="{A0308279-0864-43AB-A31E-A43344FA829C}" name="C9" totalsRowFunction="average" dataDxfId="282" totalsRowDxfId="281"/>
    <tableColumn id="12" xr3:uid="{DDD6407E-3FF6-48FC-AA71-0776B20F8EDC}" name="C10" totalsRowFunction="average" dataDxfId="280" totalsRowDxfId="279"/>
    <tableColumn id="13" xr3:uid="{F363E570-55E4-47EC-9278-0E3B65D4BC30}" name="C11" totalsRowFunction="average" dataDxfId="278" totalsRowDxfId="277"/>
    <tableColumn id="14" xr3:uid="{38F6C2EA-0628-459B-916B-1328ACCADE47}" name="C12" totalsRowFunction="average" dataDxfId="276" totalsRowDxfId="275"/>
    <tableColumn id="15" xr3:uid="{E3E5CF69-432A-4CA7-BD83-037FD5A6B53F}" name="C13" totalsRowFunction="average" dataDxfId="274" totalsRowDxfId="273"/>
    <tableColumn id="16" xr3:uid="{9378B0D4-90DD-42E4-B731-1A3F1C951AB7}" name="C14" totalsRowFunction="average" dataDxfId="272" totalsRowDxfId="271"/>
    <tableColumn id="17" xr3:uid="{8CE17D10-DBE3-4622-8FDA-5EA2219FDF4E}" name="Sum" dataDxfId="270">
      <calculatedColumnFormula>SUM(B2:P2)</calculatedColumnFormula>
    </tableColumn>
    <tableColumn id="18" xr3:uid="{73C9F51D-ABDF-4B4F-8FA6-3EE77F498DEA}" name="Round" dataDxfId="269" totalsRowDxfId="268">
      <calculatedColumnFormula>ROUND(Q2,0)</calculatedColumnFormula>
    </tableColumn>
  </tableColumns>
  <tableStyleInfo name="TableStyleLight9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89038D-1154-48B4-8540-F193A9969114}" name="Leaves_an" displayName="Leaves_an" ref="A1:L11" totalsRowCount="1">
  <autoFilter ref="A1:L10" xr:uid="{EC592292-53B5-4BCF-B7C6-614CFC522F1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E4CB83DC-4B0E-41E0-82D4-10DA3B27DE92}" name="Test" totalsRowLabel="Total" dataDxfId="63" totalsRowDxfId="82"/>
    <tableColumn id="2" xr3:uid="{BD9418D6-9B8D-4BEC-ADF7-49B898122A0F}" name="C0" totalsRowFunction="average" dataDxfId="62" totalsRowDxfId="81" dataCellStyle="Percent"/>
    <tableColumn id="3" xr3:uid="{30E2736F-9ECD-4A04-89AE-CC8638FE3333}" name="C1" totalsRowFunction="average" dataDxfId="61" totalsRowDxfId="80" dataCellStyle="Percent"/>
    <tableColumn id="4" xr3:uid="{72E4E9C9-4FD0-4ADF-A460-578F07814D91}" name="C2" totalsRowFunction="average" dataDxfId="60" totalsRowDxfId="79" dataCellStyle="Percent"/>
    <tableColumn id="5" xr3:uid="{BC4673AA-8582-4373-BC11-DD11A1DB2301}" name="C3" totalsRowFunction="average" dataDxfId="59" totalsRowDxfId="78" dataCellStyle="Percent"/>
    <tableColumn id="6" xr3:uid="{DECD0BC9-9597-440B-B485-4021E15577AA}" name="C4" totalsRowFunction="average" dataDxfId="58" totalsRowDxfId="77" dataCellStyle="Percent"/>
    <tableColumn id="7" xr3:uid="{B16615F6-192D-4D74-92AC-BBC070CA67DB}" name="C5" totalsRowFunction="average" dataDxfId="57" totalsRowDxfId="76" dataCellStyle="Percent"/>
    <tableColumn id="8" xr3:uid="{9BC2E477-D9C4-4956-B8AA-14362B441E6B}" name="C6" totalsRowFunction="average" dataDxfId="56" totalsRowDxfId="75" dataCellStyle="Percent"/>
    <tableColumn id="9" xr3:uid="{BD9BAA70-9485-4062-95A8-F6435B3141C5}" name="C7" totalsRowFunction="average" dataDxfId="55" totalsRowDxfId="74" dataCellStyle="Percent"/>
    <tableColumn id="10" xr3:uid="{92B207C4-2B5F-484C-8480-49572EBBA491}" name="C8" totalsRowFunction="average" dataDxfId="53" totalsRowDxfId="73" dataCellStyle="Percent"/>
    <tableColumn id="17" xr3:uid="{A0FC9225-99BC-4B19-94D9-DF5AEC5C8E1E}" name="Sum" dataDxfId="54">
      <calculatedColumnFormula>SUM(B2:J2)</calculatedColumnFormula>
    </tableColumn>
    <tableColumn id="18" xr3:uid="{39C77B51-E6ED-4E4C-8AAB-43F888D0F15D}" name="Round" dataDxfId="131" totalsRowDxfId="72">
      <calculatedColumnFormula>ROUND(K2,0)</calculatedColumnFormula>
    </tableColumn>
  </tableColumns>
  <tableStyleInfo name="TableStyleLight9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C1AF51F-E499-4660-9356-6F8B026411E3}" name="Table_an_n12" displayName="Table_an_n12" ref="A1:J11" totalsRowCount="1" headerRowDxfId="130" dataDxfId="129" totalsRowDxfId="128" dataCellStyle="Percent">
  <autoFilter ref="A1:J10" xr:uid="{EC592292-53B5-4BCF-B7C6-614CFC522F1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AE4A959-00B3-4584-A1F2-61556EB24413}" name="Input Percentage" totalsRowLabel="Average" dataDxfId="46" dataCellStyle="Percent"/>
    <tableColumn id="2" xr3:uid="{810EAA23-BB65-4C2B-8D00-C002F7B17EFF}" name="0 Classif." totalsRowFunction="average" dataDxfId="45" totalsRowDxfId="26" dataCellStyle="Percent" totalsRowCellStyle="Percent">
      <calculatedColumnFormula>Leaves_an[[#This Row],[C0]]/Leaves_an[[#This Row],[Sum]]</calculatedColumnFormula>
    </tableColumn>
    <tableColumn id="3" xr3:uid="{1E4366D2-8CD4-483D-A5CD-3792185A51F2}" name="1 Classif." totalsRowFunction="average" dataDxfId="44" totalsRowDxfId="25" dataCellStyle="Percent" totalsRowCellStyle="Percent">
      <calculatedColumnFormula>Leaves_an[[#This Row],[C1]]/Leaves_an[[#This Row],[Sum]]</calculatedColumnFormula>
    </tableColumn>
    <tableColumn id="4" xr3:uid="{B9CC7D25-86CA-4798-9EE7-29D5AD116C68}" name="2 Classif." totalsRowFunction="average" dataDxfId="43" totalsRowDxfId="24" dataCellStyle="Percent" totalsRowCellStyle="Percent">
      <calculatedColumnFormula>Leaves_an[[#This Row],[C2]]/Leaves_an[[#This Row],[Sum]]</calculatedColumnFormula>
    </tableColumn>
    <tableColumn id="5" xr3:uid="{1E9CC81A-D147-4816-84B4-8543942C0208}" name="3 Classif." totalsRowFunction="average" dataDxfId="42" totalsRowDxfId="23" dataCellStyle="Percent" totalsRowCellStyle="Percent">
      <calculatedColumnFormula>Leaves_an[[#This Row],[C3]]/Leaves_an[[#This Row],[Sum]]</calculatedColumnFormula>
    </tableColumn>
    <tableColumn id="6" xr3:uid="{CDB8A4CD-551F-4F73-BF7E-0FA9B5E83E56}" name="4 Classif." totalsRowFunction="average" dataDxfId="41" totalsRowDxfId="22" dataCellStyle="Percent" totalsRowCellStyle="Percent">
      <calculatedColumnFormula>Leaves_an[[#This Row],[C4]]/Leaves_an[[#This Row],[Sum]]</calculatedColumnFormula>
    </tableColumn>
    <tableColumn id="7" xr3:uid="{24C2A726-B3C9-41E8-80CA-07185D77E5CE}" name="5 Classif." totalsRowFunction="average" dataDxfId="40" totalsRowDxfId="21" dataCellStyle="Percent" totalsRowCellStyle="Percent">
      <calculatedColumnFormula>Leaves_an[[#This Row],[C5]]/Leaves_an[[#This Row],[Sum]]</calculatedColumnFormula>
    </tableColumn>
    <tableColumn id="8" xr3:uid="{EA0B4A3F-FF78-4663-B965-7666BAF93170}" name="6 Classif." totalsRowFunction="average" dataDxfId="39" totalsRowDxfId="20" dataCellStyle="Percent" totalsRowCellStyle="Percent">
      <calculatedColumnFormula>Leaves_an[[#This Row],[C6]]/Leaves_an[[#This Row],[Sum]]</calculatedColumnFormula>
    </tableColumn>
    <tableColumn id="9" xr3:uid="{DF12754F-7EA9-4A03-9D66-8AB2E07A867B}" name="7 Classif." totalsRowFunction="average" dataDxfId="38" totalsRowDxfId="19" dataCellStyle="Percent" totalsRowCellStyle="Percent">
      <calculatedColumnFormula>Leaves_an[[#This Row],[C7]]/Leaves_an[[#This Row],[Sum]]</calculatedColumnFormula>
    </tableColumn>
    <tableColumn id="10" xr3:uid="{E77EBFDB-AF76-4B03-989F-FDB984F0D5BC}" name="8 Classif." totalsRowFunction="average" dataDxfId="37" totalsRowDxfId="18" dataCellStyle="Percent" totalsRowCellStyle="Percent">
      <calculatedColumnFormula>Leaves_an[[#This Row],[C8]]/Leaves_an[[#This Row],[Sum]]</calculatedColumnFormula>
    </tableColumn>
  </tableColumns>
  <tableStyleInfo name="TableStyleLight8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64936FF-6B53-4DE7-9D0E-DF9EDC72A7E5}" name="Table413" displayName="Table413" ref="L1:O11" totalsRowCount="1">
  <autoFilter ref="L1:O10" xr:uid="{662339E7-EB0A-4320-8DF4-ACD8941A78D3}"/>
  <tableColumns count="4">
    <tableColumn id="1" xr3:uid="{BAB950C1-0BAA-41C7-822E-2178B240FFB2}" name="Test" totalsRowLabel="Average" dataDxfId="127" totalsRowDxfId="126"/>
    <tableColumn id="2" xr3:uid="{AD9EE1C7-4D49-4544-9623-BFF4409E07D3}" name="Not Classified Classes (%)" totalsRowFunction="average" dataDxfId="125" totalsRowDxfId="124">
      <calculatedColumnFormula>Table_an_n12[[#This Row],[0 Classif.]]</calculatedColumnFormula>
    </tableColumn>
    <tableColumn id="3" xr3:uid="{5111CFBD-BDAB-4E0A-8557-94D80E9B8ED7}" name="Partially Classified Classes (%)" totalsRowFunction="average" dataDxfId="123" totalsRowDxfId="122">
      <calculatedColumnFormula>SUM(Table_an_n12[[#This Row],[1 Classif.]:[7 Classif.]])</calculatedColumnFormula>
    </tableColumn>
    <tableColumn id="4" xr3:uid="{E67B3E2B-657D-466B-8C33-CB0FF6B46AEE}" name="Totally Classified Classes (%)" totalsRowFunction="average" dataDxfId="121" totalsRowDxfId="120">
      <calculatedColumnFormula>Table_an_n12[[#This Row],[8 Classif.]]</calculatedColumnFormula>
    </tableColumn>
  </tableColumns>
  <tableStyleInfo name="TableStyleMedium2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EB3F08A-25F3-4C1C-B1CA-21EE93B08528}" name="Leaves_ac" displayName="Leaves_ac" ref="A1:L11" totalsRowCount="1">
  <autoFilter ref="A1:L10" xr:uid="{EC592292-53B5-4BCF-B7C6-614CFC522F1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E7EAB5C4-4905-4068-B1E1-0D68BF197D6F}" name="Test" totalsRowLabel="Total" dataDxfId="17" totalsRowDxfId="71"/>
    <tableColumn id="2" xr3:uid="{E5B62E7D-D124-4453-9C6F-FB7B2468E33E}" name="C0" totalsRowFunction="average" dataDxfId="16" dataCellStyle="Percent"/>
    <tableColumn id="3" xr3:uid="{3FD30E8D-7CBA-4B28-98A5-C16A12328298}" name="C1" totalsRowFunction="average" dataDxfId="15" dataCellStyle="Percent"/>
    <tableColumn id="4" xr3:uid="{02E1B8B5-B130-4756-801B-8666CACFD5E2}" name="C2" totalsRowFunction="average" dataDxfId="14" dataCellStyle="Percent"/>
    <tableColumn id="5" xr3:uid="{A0B4A3CC-E611-43B6-9ECF-E0ACB74315C0}" name="C3" totalsRowFunction="average" dataDxfId="13" dataCellStyle="Percent"/>
    <tableColumn id="6" xr3:uid="{FF606571-632D-4902-8504-0AB6407000DB}" name="C4" totalsRowFunction="average" dataDxfId="12" dataCellStyle="Percent"/>
    <tableColumn id="7" xr3:uid="{AE2B3FB4-80F9-4E76-80C8-7BF3C08D4608}" name="C5" totalsRowFunction="average" dataDxfId="11" dataCellStyle="Percent"/>
    <tableColumn id="8" xr3:uid="{664D60DD-3E7D-48AF-983A-6B7D7B93A052}" name="C6" totalsRowFunction="average" dataDxfId="10" dataCellStyle="Percent"/>
    <tableColumn id="9" xr3:uid="{9FA7791C-909C-4F87-AC62-872804CBF4F6}" name="C7" totalsRowFunction="average" dataDxfId="9" dataCellStyle="Percent"/>
    <tableColumn id="10" xr3:uid="{3E1DAFF0-E894-489A-A2ED-AB7040AE723F}" name="C8" totalsRowFunction="average" dataDxfId="8" dataCellStyle="Percent"/>
    <tableColumn id="17" xr3:uid="{15CB398A-F4FB-4FD0-8489-FAF12D1D57E0}" name="Sum" dataDxfId="7" dataCellStyle="Percent">
      <calculatedColumnFormula>SUM(B2:J2)</calculatedColumnFormula>
    </tableColumn>
    <tableColumn id="18" xr3:uid="{2F5C8035-8883-47F2-8E07-66F546165276}" name="Round" dataDxfId="6" totalsRowDxfId="70" dataCellStyle="Percent">
      <calculatedColumnFormula>ROUND(K2,0)</calculatedColumnFormula>
    </tableColumn>
  </tableColumns>
  <tableStyleInfo name="TableStyleLight9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619A78A-EE2A-4624-8DA0-8D76A7BECD26}" name="Table_an_n1216" displayName="Table_an_n1216" ref="A1:J11" totalsRowCount="1" headerRowDxfId="119" dataDxfId="118" totalsRowDxfId="117">
  <autoFilter ref="A1:J10" xr:uid="{EC592292-53B5-4BCF-B7C6-614CFC522F1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05F5834-55CB-4AE4-96FA-5B8F76E17E7F}" name="Input Percentage" totalsRowLabel="Average" dataDxfId="36" totalsRowDxfId="116"/>
    <tableColumn id="2" xr3:uid="{C4C3B6EC-DDCE-481B-9678-C01D270E75E8}" name="0 Classif." totalsRowFunction="average" dataDxfId="35" totalsRowDxfId="115" dataCellStyle="Percent" totalsRowCellStyle="Percent">
      <calculatedColumnFormula>Leaves_ac[[#This Row],[C0]]/Leaves_ac[[#This Row],[Sum]]</calculatedColumnFormula>
    </tableColumn>
    <tableColumn id="3" xr3:uid="{9B1D45DA-E2D3-45C9-ACB1-F297C9BABF29}" name="1 Classif." totalsRowFunction="average" dataDxfId="34" totalsRowDxfId="114" dataCellStyle="Percent" totalsRowCellStyle="Percent">
      <calculatedColumnFormula>Leaves_ac[[#This Row],[C1]]/Leaves_ac[[#This Row],[Sum]]</calculatedColumnFormula>
    </tableColumn>
    <tableColumn id="4" xr3:uid="{226803C6-0159-4ABA-88F8-CC38DC7E632F}" name="2 Classif." totalsRowFunction="average" dataDxfId="33" totalsRowDxfId="113" dataCellStyle="Percent" totalsRowCellStyle="Percent">
      <calculatedColumnFormula>Leaves_ac[[#This Row],[C2]]/Leaves_ac[[#This Row],[Sum]]</calculatedColumnFormula>
    </tableColumn>
    <tableColumn id="5" xr3:uid="{BA0FC0C9-6C97-44EB-84B0-F7DDC01E722C}" name="3 Classif." totalsRowFunction="average" dataDxfId="32" totalsRowDxfId="112" dataCellStyle="Percent" totalsRowCellStyle="Percent">
      <calculatedColumnFormula>Leaves_ac[[#This Row],[C3]]/Leaves_ac[[#This Row],[Sum]]</calculatedColumnFormula>
    </tableColumn>
    <tableColumn id="6" xr3:uid="{87E90A60-D155-47D9-BAEF-D47D108FA00C}" name="4 Classif." totalsRowFunction="average" dataDxfId="31" totalsRowDxfId="111" dataCellStyle="Percent" totalsRowCellStyle="Percent">
      <calculatedColumnFormula>Leaves_ac[[#This Row],[C4]]/Leaves_ac[[#This Row],[Sum]]</calculatedColumnFormula>
    </tableColumn>
    <tableColumn id="7" xr3:uid="{CD32245D-CEC0-4EDF-B8EF-03FA389D5F96}" name="5 Classif." totalsRowFunction="average" dataDxfId="30" totalsRowDxfId="110" dataCellStyle="Percent" totalsRowCellStyle="Percent">
      <calculatedColumnFormula>Leaves_ac[[#This Row],[C5]]/Leaves_ac[[#This Row],[Sum]]</calculatedColumnFormula>
    </tableColumn>
    <tableColumn id="8" xr3:uid="{FDFF5347-C736-432D-BF6F-3B1A13BFCF2E}" name="6 Classif." totalsRowFunction="average" dataDxfId="29" totalsRowDxfId="109" dataCellStyle="Percent" totalsRowCellStyle="Percent">
      <calculatedColumnFormula>Leaves_ac[[#This Row],[C6]]/Leaves_ac[[#This Row],[Sum]]</calculatedColumnFormula>
    </tableColumn>
    <tableColumn id="9" xr3:uid="{CE53465F-F471-4E6A-8236-19C256EB2C66}" name="7 Classif." totalsRowFunction="average" dataDxfId="28" totalsRowDxfId="108" dataCellStyle="Percent" totalsRowCellStyle="Percent">
      <calculatedColumnFormula>Leaves_ac[[#This Row],[C7]]/Leaves_ac[[#This Row],[Sum]]</calculatedColumnFormula>
    </tableColumn>
    <tableColumn id="10" xr3:uid="{C9CBA5A6-6B37-4A44-A467-72615560FB0D}" name="8 Classif." totalsRowFunction="average" dataDxfId="27" totalsRowDxfId="107" dataCellStyle="Percent" totalsRowCellStyle="Percent">
      <calculatedColumnFormula>Leaves_ac[[#This Row],[C8]]/Leaves_ac[[#This Row],[Sum]]</calculatedColumnFormula>
    </tableColumn>
  </tableColumns>
  <tableStyleInfo name="TableStyleLight1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6D11BB9-0FF5-445C-98D4-28B108178A72}" name="Table41317" displayName="Table41317" ref="L1:O11" totalsRowCount="1">
  <autoFilter ref="L1:O10" xr:uid="{662339E7-EB0A-4320-8DF4-ACD8941A78D3}"/>
  <tableColumns count="4">
    <tableColumn id="1" xr3:uid="{192415E2-9631-4D7B-A37A-E901121F92B6}" name="Test" totalsRowLabel="Average" dataDxfId="106" totalsRowDxfId="105"/>
    <tableColumn id="2" xr3:uid="{881A5E37-678F-47BD-AE7C-C8373DFE8EBB}" name="Not Classified Classes (%)" totalsRowFunction="average" dataDxfId="104" totalsRowDxfId="103">
      <calculatedColumnFormula>Table_an_n1216[[#This Row],[0 Classif.]]</calculatedColumnFormula>
    </tableColumn>
    <tableColumn id="3" xr3:uid="{6391294F-324C-4149-9502-25330E852AEC}" name="Partially Classified Classes (%)" totalsRowFunction="average" dataDxfId="102" totalsRowDxfId="101">
      <calculatedColumnFormula>SUM(Table_an_n1216[[#This Row],[1 Classif.]:[7 Classif.]])</calculatedColumnFormula>
    </tableColumn>
    <tableColumn id="4" xr3:uid="{A6B38EAC-DAFC-4D7D-8D8D-FD51F373DA94}" name="Totally Classified Classes (%)" totalsRowFunction="average" dataDxfId="100" totalsRowDxfId="99">
      <calculatedColumnFormula>Table_an_n1216[[#This Row],[8 Classif.]]</calculatedColumnFormula>
    </tableColumn>
  </tableColumns>
  <tableStyleInfo name="TableStyleMedium2" showFirstColumn="1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5CD69C3-03E0-424D-9F4C-DAEF0DD4AB94}" name="OWA" displayName="OWA" ref="A2:F12" totalsRowCount="1" headerRowDxfId="98" dataDxfId="97" dataCellStyle="Percent">
  <autoFilter ref="A2:F11" xr:uid="{E5CD69C3-03E0-424D-9F4C-DAEF0DD4AB94}"/>
  <tableColumns count="6">
    <tableColumn id="1" xr3:uid="{2AF83436-F731-45CF-AD7A-AC90188303A2}" name="Seed Input" totalsRowLabel="Average" dataDxfId="52" totalsRowDxfId="69"/>
    <tableColumn id="2" xr3:uid="{ABE3C834-F1A8-479C-ABA6-6A9C9263D757}" name="0 Classif." totalsRowFunction="average" dataDxfId="51" totalsRowDxfId="68" dataCellStyle="Percent">
      <calculatedColumnFormula>leaves_an_norm!B2</calculatedColumnFormula>
    </tableColumn>
    <tableColumn id="3" xr3:uid="{3C3721FB-409B-4013-9DF2-2CD454918A37}" name="1-4 Classif." totalsRowFunction="average" dataDxfId="50" totalsRowDxfId="67" dataCellStyle="Percent">
      <calculatedColumnFormula>SUM(leaves_an_norm!C2:F2)</calculatedColumnFormula>
    </tableColumn>
    <tableColumn id="4" xr3:uid="{059F6162-EF07-455F-91E5-881A46A556C0}" name="5 Classif." totalsRowFunction="average" dataDxfId="49" totalsRowDxfId="66" dataCellStyle="Percent">
      <calculatedColumnFormula>leaves_an_norm!G2</calculatedColumnFormula>
    </tableColumn>
    <tableColumn id="5" xr3:uid="{C5BA96E2-61D1-42A9-8150-DC1E057EE95B}" name="6 Classif." totalsRowFunction="average" dataDxfId="48" totalsRowDxfId="65" dataCellStyle="Percent">
      <calculatedColumnFormula>leaves_an_norm!H2</calculatedColumnFormula>
    </tableColumn>
    <tableColumn id="6" xr3:uid="{0D679F08-89B5-4701-9772-F431B2DDB902}" name="7 Classif." totalsRowFunction="average" dataDxfId="47" totalsRowDxfId="64" dataCellStyle="Percent">
      <calculatedColumnFormula>leaves_an_norm!J2</calculatedColumnFormula>
    </tableColumn>
  </tableColumns>
  <tableStyleInfo name="TableStyleMedium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C1548A2-4D50-4E50-A128-C514FAD762E0}" name="CWA" displayName="CWA" ref="A15:F25" totalsRowCount="1" headerRowDxfId="96" dataDxfId="95" dataCellStyle="Percent">
  <autoFilter ref="A15:F24" xr:uid="{7C1548A2-4D50-4E50-A128-C514FAD762E0}"/>
  <tableColumns count="6">
    <tableColumn id="1" xr3:uid="{163BAD9C-7235-4F05-B552-4AE6D446EE2C}" name="Seed Input" totalsRowLabel="Average" dataDxfId="94" totalsRowDxfId="93"/>
    <tableColumn id="2" xr3:uid="{C13689F7-398F-46B3-A337-AC14AC1F3EF1}" name="0 Classif." totalsRowFunction="average" dataDxfId="92" totalsRowDxfId="91" dataCellStyle="Percent">
      <calculatedColumnFormula>leaves_ac_norm!B2</calculatedColumnFormula>
    </tableColumn>
    <tableColumn id="3" xr3:uid="{BD92FB77-D9EC-4C33-8D0E-ACC7C730AFF7}" name="1-4 Classif." totalsRowFunction="average" dataDxfId="90" totalsRowDxfId="89" dataCellStyle="Percent">
      <calculatedColumnFormula>SUM(leaves_ac_norm!C2:F2)</calculatedColumnFormula>
    </tableColumn>
    <tableColumn id="4" xr3:uid="{FDA9E864-DEC0-4746-98A6-5C74DC634451}" name="5 Classif." totalsRowFunction="average" dataDxfId="88" totalsRowDxfId="87" dataCellStyle="Percent">
      <calculatedColumnFormula>leaves_ac_norm!G2</calculatedColumnFormula>
    </tableColumn>
    <tableColumn id="5" xr3:uid="{E38D9A82-D537-46AB-ADC5-A9FE1F9D8211}" name="6 Classif." totalsRowFunction="average" dataDxfId="86" totalsRowDxfId="85" dataCellStyle="Percent">
      <calculatedColumnFormula>leaves_ac_norm!H2</calculatedColumnFormula>
    </tableColumn>
    <tableColumn id="6" xr3:uid="{5C73982F-0954-4DB0-A582-0FB8B2457FB1}" name="7 Classif." totalsRowFunction="average" dataDxfId="84" totalsRowDxfId="83" dataCellStyle="Percent">
      <calculatedColumnFormula>leaves_ac_norm!J2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61354F-804C-442F-9244-B87F3B8E4E7C}" name="Table_an_n" displayName="Table_an_n" ref="A1:R11" totalsRowCount="1">
  <autoFilter ref="A1:R10" xr:uid="{EC592292-53B5-4BCF-B7C6-614CFC522F1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4BB32E4E-B9E6-46FF-BBDF-5847C9811A51}" name="Test" totalsRowLabel="Average" dataDxfId="267" totalsRowDxfId="266"/>
    <tableColumn id="2" xr3:uid="{D7D58173-4FEB-41F8-B671-688766443E80}" name="C0" totalsRowFunction="average" dataDxfId="265" totalsRowDxfId="264">
      <calculatedColumnFormula>Table_an[[#This Row],[C0]]/Table_an[[#This Row],[Sum]]*100</calculatedColumnFormula>
    </tableColumn>
    <tableColumn id="3" xr3:uid="{491C6B34-E548-4E21-B703-AA970623FA06}" name="C1" totalsRowFunction="average" dataDxfId="263" totalsRowDxfId="262">
      <calculatedColumnFormula>Table_an[[#This Row],[C1]]/Table_an[[#This Row],[Sum]]*100</calculatedColumnFormula>
    </tableColumn>
    <tableColumn id="4" xr3:uid="{64BEEB0B-04AE-42B8-BE03-3CB23AC5AC96}" name="C2" totalsRowFunction="average" dataDxfId="261" totalsRowDxfId="260">
      <calculatedColumnFormula>Table_an[[#This Row],[C2]]/Table_an[[#This Row],[Sum]]*100</calculatedColumnFormula>
    </tableColumn>
    <tableColumn id="5" xr3:uid="{34F44356-35F7-46A4-AFE9-B6E0B00954DD}" name="C3" totalsRowFunction="average" dataDxfId="259" totalsRowDxfId="258">
      <calculatedColumnFormula>Table_an[[#This Row],[C3]]/Table_an[[#This Row],[Sum]]*100</calculatedColumnFormula>
    </tableColumn>
    <tableColumn id="6" xr3:uid="{A44022A3-2F70-44B5-91B2-B29D358D6F96}" name="C4" totalsRowFunction="average" dataDxfId="257" totalsRowDxfId="256">
      <calculatedColumnFormula>Table_an[[#This Row],[C4]]/Table_an[[#This Row],[Sum]]*100</calculatedColumnFormula>
    </tableColumn>
    <tableColumn id="7" xr3:uid="{5C7DA55B-707E-400B-9F47-6538D8A0DA7B}" name="C5" totalsRowFunction="average" dataDxfId="255" totalsRowDxfId="254">
      <calculatedColumnFormula>Table_an[[#This Row],[C5]]/Table_an[[#This Row],[Sum]]*100</calculatedColumnFormula>
    </tableColumn>
    <tableColumn id="8" xr3:uid="{618D2D21-D0D0-4047-93A0-F8EA8A5DC948}" name="C6" totalsRowFunction="average" dataDxfId="253" totalsRowDxfId="252">
      <calculatedColumnFormula>Table_an[[#This Row],[C6]]/Table_an[[#This Row],[Sum]]*100</calculatedColumnFormula>
    </tableColumn>
    <tableColumn id="9" xr3:uid="{413AD761-BC1C-48D5-814E-2D05190BC605}" name="C7" totalsRowFunction="average" dataDxfId="251" totalsRowDxfId="250">
      <calculatedColumnFormula>Table_an[[#This Row],[C7]]/Table_an[[#This Row],[Sum]]*100</calculatedColumnFormula>
    </tableColumn>
    <tableColumn id="10" xr3:uid="{7F6EF7A1-0744-440B-B9AC-391C14A6FBB5}" name="C8" totalsRowFunction="average" dataDxfId="249" totalsRowDxfId="248">
      <calculatedColumnFormula>Table_an[[#This Row],[C8]]/Table_an[[#This Row],[Sum]]*100</calculatedColumnFormula>
    </tableColumn>
    <tableColumn id="11" xr3:uid="{F47D0E56-9EA9-430D-B63A-E9D729E832A2}" name="C9" totalsRowFunction="average" dataDxfId="247" totalsRowDxfId="246">
      <calculatedColumnFormula>Table_an[[#This Row],[C9]]/Table_an[[#This Row],[Sum]]*100</calculatedColumnFormula>
    </tableColumn>
    <tableColumn id="12" xr3:uid="{25CC23EA-C0E8-451E-9801-64DA640B4B64}" name="C10" totalsRowFunction="average" dataDxfId="245" totalsRowDxfId="244">
      <calculatedColumnFormula>Table_an[[#This Row],[C10]]/Table_an[[#This Row],[Sum]]*100</calculatedColumnFormula>
    </tableColumn>
    <tableColumn id="13" xr3:uid="{C7757C63-9485-480B-859D-450949D5FCF3}" name="C11" totalsRowFunction="average" dataDxfId="243" totalsRowDxfId="242">
      <calculatedColumnFormula>Table_an[[#This Row],[C11]]/Table_an[[#This Row],[Sum]]*100</calculatedColumnFormula>
    </tableColumn>
    <tableColumn id="14" xr3:uid="{959939A3-6E51-4E50-BC72-D66C5A18D07C}" name="C12" totalsRowFunction="average" dataDxfId="241" totalsRowDxfId="240">
      <calculatedColumnFormula>Table_an[[#This Row],[C12]]/Table_an[[#This Row],[Sum]]*100</calculatedColumnFormula>
    </tableColumn>
    <tableColumn id="15" xr3:uid="{AABCBF83-5415-4C6E-81D2-8796970B0630}" name="C13" totalsRowFunction="average" dataDxfId="239" totalsRowDxfId="238">
      <calculatedColumnFormula>Table_an[[#This Row],[C13]]/Table_an[[#This Row],[Sum]]*100</calculatedColumnFormula>
    </tableColumn>
    <tableColumn id="16" xr3:uid="{8D5DA128-3132-47B3-90CD-344804B55B5D}" name="C14" totalsRowFunction="average" dataDxfId="237" totalsRowDxfId="236">
      <calculatedColumnFormula>Table_an[[#This Row],[C14]]/Table_an[[#This Row],[Sum]]*100</calculatedColumnFormula>
    </tableColumn>
    <tableColumn id="17" xr3:uid="{7B758F70-6AAE-4F32-930D-8500F2F42952}" name="Sum" dataDxfId="235">
      <calculatedColumnFormula>SUM(B2:P2)</calculatedColumnFormula>
    </tableColumn>
    <tableColumn id="18" xr3:uid="{37596B67-3132-46AB-BC90-132D2C1DD349}" name="Round" dataDxfId="234" totalsRowDxfId="233">
      <calculatedColumnFormula>ROUND(Q2,0)</calculatedColumnFormula>
    </tableColumn>
  </tableColumns>
  <tableStyleInfo name="TableStyleLight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2339E7-EB0A-4320-8DF4-ACD8941A78D3}" name="Table4" displayName="Table4" ref="T1:W11" totalsRowCount="1">
  <autoFilter ref="T1:W10" xr:uid="{662339E7-EB0A-4320-8DF4-ACD8941A78D3}"/>
  <tableColumns count="4">
    <tableColumn id="1" xr3:uid="{B3F74805-A575-40E1-8B92-E550E28BAD8F}" name="Test" totalsRowLabel="Average" dataDxfId="232" totalsRowDxfId="231"/>
    <tableColumn id="2" xr3:uid="{75AE9750-5B01-4D28-9E45-BD92E77B777A}" name="Not Classified Classes (%)" totalsRowFunction="average" dataDxfId="230" totalsRowDxfId="229">
      <calculatedColumnFormula>Table_an_n[[#This Row],[C0]]</calculatedColumnFormula>
    </tableColumn>
    <tableColumn id="3" xr3:uid="{1D7E2326-52FD-4275-83C0-094CE8F90769}" name="Partially Classified Classes (%)" totalsRowFunction="average" dataDxfId="228" totalsRowDxfId="227">
      <calculatedColumnFormula>SUM(Table_an_n[[#This Row],[C1]:[C13]])</calculatedColumnFormula>
    </tableColumn>
    <tableColumn id="4" xr3:uid="{BAACDDE3-9AF4-4F2C-A9BB-5193817A90C2}" name="Totally Classified Classes (%)" totalsRowFunction="average" dataDxfId="226" totalsRowDxfId="225">
      <calculatedColumnFormula>Table_an_n[[#This Row],[C14]]</calculatedColumnFormula>
    </tableColumn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030268-C7E2-4DD8-8A00-34B0444D9CE8}" name="Table7" displayName="Table7" ref="T13:W15" totalsRowShown="0">
  <autoFilter ref="T13:W15" xr:uid="{F6030268-C7E2-4DD8-8A00-34B0444D9CE8}"/>
  <tableColumns count="4">
    <tableColumn id="1" xr3:uid="{5EEB317C-F9EF-4709-92E9-70CB45DC8BD9}" name="Test" dataDxfId="224"/>
    <tableColumn id="2" xr3:uid="{4D4D21D4-3516-4644-BE36-6F9370A94B94}" name="Not Classified Classes (%)" dataDxfId="223"/>
    <tableColumn id="3" xr3:uid="{F9A3EB3D-542C-4A4E-8FA9-1FF91BE6D125}" name="Partially Classified Classes (%)" dataDxfId="222"/>
    <tableColumn id="4" xr3:uid="{E54E5669-0451-4994-8EF5-0BE253E853DA}" name="Totally Classified Classes (%)" dataDxfId="221"/>
  </tableColumns>
  <tableStyleInfo name="TableStyleLight10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6DB481-2245-4BB8-83F6-28D42C2324E6}" name="Table_ac" displayName="Table_ac" ref="A1:R11" totalsRowCount="1">
  <autoFilter ref="A1:R10" xr:uid="{3E6DB481-2245-4BB8-83F6-28D42C2324E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C0096FB1-C3C6-465E-853E-F6785AAB616F}" name="Test" totalsRowLabel="Total" dataDxfId="220" totalsRowDxfId="219"/>
    <tableColumn id="2" xr3:uid="{572D7884-137E-4BDC-9DD1-93C717CB0F0E}" name="C0" totalsRowFunction="average" dataDxfId="218" totalsRowDxfId="217"/>
    <tableColumn id="3" xr3:uid="{64C8746E-46F4-4FE7-A8BE-0CA8EBC01501}" name="C1" totalsRowFunction="average" dataDxfId="216" totalsRowDxfId="215"/>
    <tableColumn id="4" xr3:uid="{2955ECB5-DC81-40BE-B481-AD94D77BEC99}" name="C2" totalsRowFunction="average" dataDxfId="214" totalsRowDxfId="213"/>
    <tableColumn id="5" xr3:uid="{EDF2475C-FBD7-4FF4-9251-4575750ACB3E}" name="C3" totalsRowFunction="average" dataDxfId="212" totalsRowDxfId="211"/>
    <tableColumn id="6" xr3:uid="{EC37F76A-0C4B-47C2-A4FD-C6C0D4DECE18}" name="C4" totalsRowFunction="average" dataDxfId="210" totalsRowDxfId="209"/>
    <tableColumn id="7" xr3:uid="{5FF50246-61F2-4FC7-AA60-E361EDA002F6}" name="C5" totalsRowFunction="average" dataDxfId="208" totalsRowDxfId="207"/>
    <tableColumn id="8" xr3:uid="{DABDEFF3-C2C2-4954-B7AB-68D25A0C0077}" name="C6" totalsRowFunction="average" dataDxfId="206" totalsRowDxfId="205"/>
    <tableColumn id="9" xr3:uid="{EEF89767-C0E0-49BC-A6D5-2FB76C674753}" name="C7" totalsRowFunction="average" dataDxfId="204" totalsRowDxfId="203"/>
    <tableColumn id="10" xr3:uid="{192C26BD-DA8A-400B-98F0-7FCA11B92BFB}" name="C8" totalsRowFunction="average" dataDxfId="202" totalsRowDxfId="201"/>
    <tableColumn id="11" xr3:uid="{5CF0CDE5-E699-4B34-8015-7CBB223A49BC}" name="C9" totalsRowFunction="average" dataDxfId="200" totalsRowDxfId="199"/>
    <tableColumn id="12" xr3:uid="{D8DFED68-1FF4-4E19-AB4F-58E596645E88}" name="C10" totalsRowFunction="average" dataDxfId="198" totalsRowDxfId="197"/>
    <tableColumn id="13" xr3:uid="{3845DF3A-6913-4D61-97D9-365919E82625}" name="C11" totalsRowFunction="average" dataDxfId="196" totalsRowDxfId="195"/>
    <tableColumn id="14" xr3:uid="{523717C7-5685-4A18-B9D0-D9DA007B8B27}" name="C12" totalsRowFunction="average" dataDxfId="194" totalsRowDxfId="193"/>
    <tableColumn id="15" xr3:uid="{F114CE19-E7FA-4A89-A833-32FDEC0D2686}" name="C13" totalsRowFunction="average" dataDxfId="192" totalsRowDxfId="191"/>
    <tableColumn id="16" xr3:uid="{5F788F3A-8A7A-4C8B-96C5-3ADA3F7DD29D}" name="C14" totalsRowFunction="average" dataDxfId="190" totalsRowDxfId="189"/>
    <tableColumn id="17" xr3:uid="{606E7892-B7E3-41CB-9268-70264421FC5B}" name="Sum" dataDxfId="188">
      <calculatedColumnFormula>SUM(Table_ac[[#This Row],[C0]:[C14]])</calculatedColumnFormula>
    </tableColumn>
    <tableColumn id="18" xr3:uid="{BE5B47AF-1236-4715-ADAE-A14B3654129F}" name="Round" dataDxfId="187" totalsRowDxfId="186">
      <calculatedColumnFormula>ROUND(Table_ac[[#This Row],[Sum]],0)</calculatedColumnFormula>
    </tableColumn>
  </tableColumns>
  <tableStyleInfo name="TableStyleLight13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3E473E-BAC2-457C-A4D6-D644860BBE19}" name="Table_ac_n" displayName="Table_ac_n" ref="A1:R11" totalsRowCount="1">
  <autoFilter ref="A1:R10" xr:uid="{3E6DB481-2245-4BB8-83F6-28D42C2324E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63D476F1-27B2-413B-9782-EFFE5E6CD4CA}" name="Test" totalsRowLabel="Average" dataDxfId="185" totalsRowDxfId="184"/>
    <tableColumn id="2" xr3:uid="{91CD2727-D0B2-431D-AFD0-755A22B73434}" name="C0" totalsRowFunction="average" dataDxfId="183" totalsRowDxfId="182">
      <calculatedColumnFormula>Table_ac[[#This Row],[C0]]/Table_ac[[#This Row],[Sum]]*100</calculatedColumnFormula>
    </tableColumn>
    <tableColumn id="3" xr3:uid="{95B8A533-455F-47C3-AEB8-DB9FF9B5FC26}" name="C1" totalsRowFunction="average" dataDxfId="181" totalsRowDxfId="180">
      <calculatedColumnFormula>Table_ac[[#This Row],[C1]]/Table_ac[[#This Row],[Sum]]*100</calculatedColumnFormula>
    </tableColumn>
    <tableColumn id="4" xr3:uid="{93EE72C5-7279-46E3-A624-60782EB14D12}" name="C2" totalsRowFunction="average" dataDxfId="179" totalsRowDxfId="178">
      <calculatedColumnFormula>Table_ac[[#This Row],[C2]]/Table_ac[[#This Row],[Sum]]*100</calculatedColumnFormula>
    </tableColumn>
    <tableColumn id="5" xr3:uid="{C9CA0AEC-7895-4818-92E6-A2C8104D3589}" name="C3" totalsRowFunction="average" dataDxfId="177" totalsRowDxfId="176">
      <calculatedColumnFormula>Table_ac[[#This Row],[C3]]/Table_ac[[#This Row],[Sum]]*100</calculatedColumnFormula>
    </tableColumn>
    <tableColumn id="6" xr3:uid="{15DDD59F-0B97-48AE-B691-ED5BC775EF9F}" name="C4" totalsRowFunction="average" dataDxfId="175" totalsRowDxfId="174">
      <calculatedColumnFormula>Table_ac[[#This Row],[C4]]/Table_ac[[#This Row],[Sum]]*100</calculatedColumnFormula>
    </tableColumn>
    <tableColumn id="7" xr3:uid="{F7ABA3D6-8D03-40A4-A430-D9337B6CBB5D}" name="C5" totalsRowFunction="average" dataDxfId="173" totalsRowDxfId="172">
      <calculatedColumnFormula>Table_ac[[#This Row],[C5]]/Table_ac[[#This Row],[Sum]]*100</calculatedColumnFormula>
    </tableColumn>
    <tableColumn id="8" xr3:uid="{91A398B1-E416-4222-93DD-400D29E1DAEF}" name="C6" totalsRowFunction="average" dataDxfId="171" totalsRowDxfId="170">
      <calculatedColumnFormula>Table_ac[[#This Row],[C6]]/Table_ac[[#This Row],[Sum]]*100</calculatedColumnFormula>
    </tableColumn>
    <tableColumn id="9" xr3:uid="{57683FA9-ACB8-4CA4-AEC5-76C20D40F1FF}" name="C7" totalsRowFunction="average" dataDxfId="169" totalsRowDxfId="168">
      <calculatedColumnFormula>Table_ac[[#This Row],[C7]]/Table_ac[[#This Row],[Sum]]*100</calculatedColumnFormula>
    </tableColumn>
    <tableColumn id="10" xr3:uid="{9978B6F2-9960-49F1-B39B-C9B08BED0A2D}" name="C8" totalsRowFunction="average" dataDxfId="167" totalsRowDxfId="166">
      <calculatedColumnFormula>Table_ac[[#This Row],[C8]]/Table_ac[[#This Row],[Sum]]*100</calculatedColumnFormula>
    </tableColumn>
    <tableColumn id="11" xr3:uid="{ECAEB024-A4EA-410A-A1BB-44A4B937CD4E}" name="C9" totalsRowFunction="average" dataDxfId="165" totalsRowDxfId="164">
      <calculatedColumnFormula>Table_ac[[#This Row],[C9]]/Table_ac[[#This Row],[Sum]]*100</calculatedColumnFormula>
    </tableColumn>
    <tableColumn id="12" xr3:uid="{F2089F9E-27C8-4B7E-8B5A-DBC677E3A6B9}" name="C10" totalsRowFunction="average" dataDxfId="163" totalsRowDxfId="162">
      <calculatedColumnFormula>Table_ac[[#This Row],[C10]]/Table_ac[[#This Row],[Sum]]*100</calculatedColumnFormula>
    </tableColumn>
    <tableColumn id="13" xr3:uid="{7D023356-A17C-4EF8-AE3E-9FD382AA8BA8}" name="C11" totalsRowFunction="average" dataDxfId="161" totalsRowDxfId="160">
      <calculatedColumnFormula>Table_ac[[#This Row],[C11]]/Table_ac[[#This Row],[Sum]]*100</calculatedColumnFormula>
    </tableColumn>
    <tableColumn id="14" xr3:uid="{67ECC516-F713-4D19-96BD-C8F10F741ABC}" name="C12" totalsRowFunction="average" dataDxfId="159" totalsRowDxfId="158">
      <calculatedColumnFormula>Table_ac[[#This Row],[C12]]/Table_ac[[#This Row],[Sum]]*100</calculatedColumnFormula>
    </tableColumn>
    <tableColumn id="15" xr3:uid="{91D0B027-7C43-4314-8AA7-FF01CADC130F}" name="C13" totalsRowFunction="average" dataDxfId="157" totalsRowDxfId="156">
      <calculatedColumnFormula>Table_ac[[#This Row],[C13]]/Table_ac[[#This Row],[Sum]]*100</calculatedColumnFormula>
    </tableColumn>
    <tableColumn id="16" xr3:uid="{D0E8497D-12C4-40D3-BA19-8E2D76800E4F}" name="C14" totalsRowFunction="average" dataDxfId="155" totalsRowDxfId="154">
      <calculatedColumnFormula>Table_ac[[#This Row],[C14]]/Table_ac[[#This Row],[Sum]]*100</calculatedColumnFormula>
    </tableColumn>
    <tableColumn id="17" xr3:uid="{A04EF2A1-F348-447D-A7A0-4776EDD2BC35}" name="Sum" dataDxfId="153">
      <calculatedColumnFormula>SUM(Table_ac_n[[#This Row],[C0]:[C14]])</calculatedColumnFormula>
    </tableColumn>
    <tableColumn id="18" xr3:uid="{5D9C8634-CB8E-46C7-A489-3D0C622C543A}" name="Round" dataDxfId="152" totalsRowDxfId="151">
      <calculatedColumnFormula>ROUND(Table_ac_n[[#This Row],[Sum]],0)</calculatedColumnFormula>
    </tableColumn>
  </tableColumns>
  <tableStyleInfo name="TableStyleLight13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EC4D5D-FB4A-4EB3-AAC5-B2FA5C726867}" name="Table47" displayName="Table47" ref="T1:W11" totalsRowCount="1">
  <autoFilter ref="T1:W10" xr:uid="{9CEC4D5D-FB4A-4EB3-AAC5-B2FA5C726867}"/>
  <tableColumns count="4">
    <tableColumn id="1" xr3:uid="{16FF65E9-53D4-41D2-85EA-41B625659490}" name="Test" totalsRowLabel="Average" dataDxfId="150" totalsRowDxfId="149"/>
    <tableColumn id="2" xr3:uid="{E4C89D89-6222-4DC2-836E-4D593218F15D}" name="Not Classified Classes (%)" totalsRowFunction="average" dataDxfId="148" totalsRowDxfId="147">
      <calculatedColumnFormula>Table_ac_n[[#This Row],[C0]]</calculatedColumnFormula>
    </tableColumn>
    <tableColumn id="3" xr3:uid="{81CB2F51-908A-46BA-B81A-983D6F45B4A0}" name="Partially Classified Classes (%)" totalsRowFunction="average" dataDxfId="146" totalsRowDxfId="145">
      <calculatedColumnFormula>SUM(Table_ac_n[[#This Row],[C1]:[C13]])</calculatedColumnFormula>
    </tableColumn>
    <tableColumn id="4" xr3:uid="{441F45FE-19BA-4EE9-93A5-1C71AB26D848}" name="Totally Classified Classes (%)" totalsRowFunction="average" dataDxfId="144" totalsRowDxfId="143">
      <calculatedColumnFormula>Table_ac_n[[#This Row],[C14]]</calculatedColumnFormula>
    </tableColumn>
  </tableColumns>
  <tableStyleInfo name="TableStyleMedium2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16AB9B4-7287-4F56-ACF5-C13C234A05B8}" name="Table79" displayName="Table79" ref="T13:W15" totalsRowShown="0">
  <autoFilter ref="T13:W15" xr:uid="{916AB9B4-7287-4F56-ACF5-C13C234A05B8}"/>
  <tableColumns count="4">
    <tableColumn id="1" xr3:uid="{A1726AE9-1C80-479C-A3B4-B7AF8238E77B}" name="Test" dataDxfId="142"/>
    <tableColumn id="2" xr3:uid="{21852EFA-D652-41BD-8216-3CDE97CC4C0E}" name="Not Classified Classes (%)" dataDxfId="141"/>
    <tableColumn id="3" xr3:uid="{0A9C49CE-AA50-4F2A-830A-BFB603D5B821}" name="Partially Classified Classes (%)" dataDxfId="140"/>
    <tableColumn id="4" xr3:uid="{682814CE-76DF-485E-85AC-9C9CF06A058C}" name="Totally Classified Classes (%)" dataDxfId="139"/>
  </tableColumns>
  <tableStyleInfo name="TableStyleLight10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7CAA7E1-DB41-44E5-B7A5-455F0738EC8B}" name="Table9" displayName="Table9" ref="Z1:AB11" totalsRowCount="1" totalsRowDxfId="138">
  <autoFilter ref="Z1:AB10" xr:uid="{47CAA7E1-DB41-44E5-B7A5-455F0738EC8B}"/>
  <tableColumns count="3">
    <tableColumn id="1" xr3:uid="{D6DFE86A-D758-473C-93EB-960FB30194B9}" name="%" totalsRowLabel="Average" dataDxfId="137" totalsRowDxfId="136"/>
    <tableColumn id="2" xr3:uid="{A15A1C07-4E13-4663-AEFD-7EAC75F4ED02}" name="AN/AC Not Classified" totalsRowFunction="average" dataDxfId="135" totalsRowDxfId="134">
      <calculatedColumnFormula>Table4[[#This Row],[Not Classified Classes (%)]]/Table47[[#This Row],[Not Classified Classes (%)]]</calculatedColumnFormula>
    </tableColumn>
    <tableColumn id="3" xr3:uid="{CEBB7AB5-4D21-4B96-9622-505178C8F22C}" name="AC/AN Totally Classified" totalsRowFunction="average" dataDxfId="133" totalsRowDxfId="132">
      <calculatedColumnFormula>Table47[[#This Row],[Totally Classified Classes (%)]]/Table4[[#This Row],[Totally Classified Classes (%)]]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80EC-D75B-4D7D-88BA-49AAECE77EEF}">
  <sheetPr>
    <tabColor theme="4"/>
  </sheetPr>
  <dimension ref="A1:R11"/>
  <sheetViews>
    <sheetView workbookViewId="0">
      <selection activeCell="B2" sqref="B2:P10"/>
    </sheetView>
  </sheetViews>
  <sheetFormatPr defaultRowHeight="15" x14ac:dyDescent="0.25"/>
  <cols>
    <col min="1" max="18" width="8.7109375" customWidth="1"/>
  </cols>
  <sheetData>
    <row r="1" spans="1:18" x14ac:dyDescent="0.25">
      <c r="A1" t="s">
        <v>17</v>
      </c>
      <c r="B1" t="s">
        <v>16</v>
      </c>
      <c r="C1" t="s">
        <v>15</v>
      </c>
      <c r="D1" t="s">
        <v>14</v>
      </c>
      <c r="E1" t="s">
        <v>13</v>
      </c>
      <c r="F1" t="s">
        <v>12</v>
      </c>
      <c r="G1" t="s">
        <v>11</v>
      </c>
      <c r="H1" t="s">
        <v>10</v>
      </c>
      <c r="I1" t="s">
        <v>9</v>
      </c>
      <c r="J1" t="s">
        <v>8</v>
      </c>
      <c r="K1" t="s">
        <v>7</v>
      </c>
      <c r="L1" t="s">
        <v>6</v>
      </c>
      <c r="M1" t="s">
        <v>5</v>
      </c>
      <c r="N1" t="s">
        <v>4</v>
      </c>
      <c r="O1" t="s">
        <v>3</v>
      </c>
      <c r="P1" t="s">
        <v>2</v>
      </c>
      <c r="Q1" t="s">
        <v>1</v>
      </c>
      <c r="R1" t="s">
        <v>0</v>
      </c>
    </row>
    <row r="2" spans="1:18" x14ac:dyDescent="0.25">
      <c r="A2" s="2">
        <v>10</v>
      </c>
      <c r="B2" s="1">
        <v>0.46234939759036098</v>
      </c>
      <c r="C2" s="1">
        <v>6.0240963855421603E-3</v>
      </c>
      <c r="D2" s="1">
        <v>7.5301204819277099E-3</v>
      </c>
      <c r="E2" s="1">
        <v>0</v>
      </c>
      <c r="F2" s="1">
        <v>0</v>
      </c>
      <c r="G2" s="1">
        <v>4.0662650602409603E-2</v>
      </c>
      <c r="H2" s="1">
        <v>1.5060240963855401E-3</v>
      </c>
      <c r="I2" s="1">
        <v>1.8072289156626498E-2</v>
      </c>
      <c r="J2" s="1">
        <v>0.32379518072289099</v>
      </c>
      <c r="K2" s="1">
        <v>1.20481927710843E-2</v>
      </c>
      <c r="L2" s="1">
        <v>0</v>
      </c>
      <c r="M2" s="1">
        <v>0</v>
      </c>
      <c r="N2" s="1">
        <v>0</v>
      </c>
      <c r="O2" s="1">
        <v>0</v>
      </c>
      <c r="P2" s="1">
        <v>3.0120481927710802E-2</v>
      </c>
      <c r="Q2" s="1">
        <f t="shared" ref="Q2:Q10" si="0">SUM(B2:P2)</f>
        <v>0.90210843373493854</v>
      </c>
      <c r="R2" s="1">
        <f t="shared" ref="R2:R10" si="1">ROUND(Q2,0)</f>
        <v>1</v>
      </c>
    </row>
    <row r="3" spans="1:18" x14ac:dyDescent="0.25">
      <c r="A3" s="2">
        <v>20</v>
      </c>
      <c r="B3" s="1">
        <v>0.26054216867469798</v>
      </c>
      <c r="C3" s="1">
        <v>7.5301204819277099E-3</v>
      </c>
      <c r="D3" s="1">
        <v>6.0240963855421603E-3</v>
      </c>
      <c r="E3" s="1">
        <v>0</v>
      </c>
      <c r="F3" s="1">
        <v>0</v>
      </c>
      <c r="G3" s="1">
        <v>2.86144578313253E-2</v>
      </c>
      <c r="H3" s="1">
        <v>3.0120481927710802E-3</v>
      </c>
      <c r="I3" s="1">
        <v>2.2590361445783101E-2</v>
      </c>
      <c r="J3" s="1">
        <v>0.39909638554216798</v>
      </c>
      <c r="K3" s="1">
        <v>1.9578313253012E-2</v>
      </c>
      <c r="L3" s="1">
        <v>0</v>
      </c>
      <c r="M3" s="1">
        <v>0</v>
      </c>
      <c r="N3" s="1">
        <v>0</v>
      </c>
      <c r="O3" s="1">
        <v>0</v>
      </c>
      <c r="P3" s="1">
        <v>5.2710843373493903E-2</v>
      </c>
      <c r="Q3" s="1">
        <f t="shared" si="0"/>
        <v>0.79969879518072107</v>
      </c>
      <c r="R3" s="1">
        <f t="shared" si="1"/>
        <v>1</v>
      </c>
    </row>
    <row r="4" spans="1:18" x14ac:dyDescent="0.25">
      <c r="A4" s="2">
        <v>30</v>
      </c>
      <c r="B4" s="1">
        <v>0.14457831325301199</v>
      </c>
      <c r="C4" s="1">
        <v>9.0361445783132491E-3</v>
      </c>
      <c r="D4" s="1">
        <v>3.0120481927710802E-3</v>
      </c>
      <c r="E4" s="1">
        <v>0</v>
      </c>
      <c r="F4" s="1">
        <v>0</v>
      </c>
      <c r="G4" s="1">
        <v>1.5060240963855401E-2</v>
      </c>
      <c r="H4" s="1">
        <v>3.0120481927710802E-3</v>
      </c>
      <c r="I4" s="1">
        <v>1.8072289156626498E-2</v>
      </c>
      <c r="J4" s="1">
        <v>0.41566265060240898</v>
      </c>
      <c r="K4" s="1">
        <v>2.5602409638554199E-2</v>
      </c>
      <c r="L4" s="1">
        <v>0</v>
      </c>
      <c r="M4" s="1">
        <v>0</v>
      </c>
      <c r="N4" s="1">
        <v>0</v>
      </c>
      <c r="O4" s="1">
        <v>0</v>
      </c>
      <c r="P4" s="1">
        <v>6.7771084337349394E-2</v>
      </c>
      <c r="Q4" s="1">
        <f t="shared" si="0"/>
        <v>0.70180722891566183</v>
      </c>
      <c r="R4" s="1">
        <f t="shared" si="1"/>
        <v>1</v>
      </c>
    </row>
    <row r="5" spans="1:18" x14ac:dyDescent="0.25">
      <c r="A5" s="2">
        <v>40</v>
      </c>
      <c r="B5" s="1">
        <v>9.0497737556561E-2</v>
      </c>
      <c r="C5" s="1">
        <v>9.0497737556561094E-3</v>
      </c>
      <c r="D5" s="1">
        <v>1.5082956259426801E-3</v>
      </c>
      <c r="E5" s="1">
        <v>0</v>
      </c>
      <c r="F5" s="1">
        <v>0</v>
      </c>
      <c r="G5" s="1">
        <v>1.05580693815987E-2</v>
      </c>
      <c r="H5" s="1">
        <v>3.0165912518853601E-3</v>
      </c>
      <c r="I5" s="1">
        <v>9.0497737556561094E-3</v>
      </c>
      <c r="J5" s="1">
        <v>0.38461538461538403</v>
      </c>
      <c r="K5" s="1">
        <v>2.4132730015082898E-2</v>
      </c>
      <c r="L5" s="1">
        <v>0</v>
      </c>
      <c r="M5" s="1">
        <v>0</v>
      </c>
      <c r="N5" s="1">
        <v>0</v>
      </c>
      <c r="O5" s="1">
        <v>0</v>
      </c>
      <c r="P5" s="1">
        <v>6.9381598793363503E-2</v>
      </c>
      <c r="Q5" s="1">
        <f t="shared" si="0"/>
        <v>0.6018099547511303</v>
      </c>
      <c r="R5" s="1">
        <f t="shared" si="1"/>
        <v>1</v>
      </c>
    </row>
    <row r="6" spans="1:18" x14ac:dyDescent="0.25">
      <c r="A6" s="2">
        <v>50</v>
      </c>
      <c r="B6" s="1">
        <v>4.8338368580060402E-2</v>
      </c>
      <c r="C6" s="1">
        <v>6.0422960725075503E-3</v>
      </c>
      <c r="D6" s="1">
        <v>0</v>
      </c>
      <c r="E6" s="1">
        <v>0</v>
      </c>
      <c r="F6" s="1">
        <v>0</v>
      </c>
      <c r="G6" s="1">
        <v>4.5317220543806599E-3</v>
      </c>
      <c r="H6" s="1">
        <v>3.0211480362537699E-3</v>
      </c>
      <c r="I6" s="1">
        <v>4.5317220543806599E-3</v>
      </c>
      <c r="J6" s="1">
        <v>0.335347432024169</v>
      </c>
      <c r="K6" s="1">
        <v>2.1148036253776401E-2</v>
      </c>
      <c r="L6" s="1">
        <v>0</v>
      </c>
      <c r="M6" s="1">
        <v>0</v>
      </c>
      <c r="N6" s="1">
        <v>0</v>
      </c>
      <c r="O6" s="1">
        <v>0</v>
      </c>
      <c r="P6" s="1">
        <v>7.25075528700906E-2</v>
      </c>
      <c r="Q6" s="1">
        <f t="shared" si="0"/>
        <v>0.49546827794561904</v>
      </c>
      <c r="R6" s="1">
        <f t="shared" si="1"/>
        <v>0</v>
      </c>
    </row>
    <row r="7" spans="1:18" x14ac:dyDescent="0.25">
      <c r="A7" s="2">
        <v>60</v>
      </c>
      <c r="B7" s="1">
        <v>3.4743202416918403E-2</v>
      </c>
      <c r="C7" s="1">
        <v>4.5317220543806599E-3</v>
      </c>
      <c r="D7" s="1">
        <v>0</v>
      </c>
      <c r="E7" s="1">
        <v>0</v>
      </c>
      <c r="F7" s="1">
        <v>0</v>
      </c>
      <c r="G7" s="1">
        <v>1.51057401812688E-3</v>
      </c>
      <c r="H7" s="1">
        <v>3.0211480362537699E-3</v>
      </c>
      <c r="I7" s="1">
        <v>1.51057401812688E-3</v>
      </c>
      <c r="J7" s="1">
        <v>0.26737160120845899</v>
      </c>
      <c r="K7" s="1">
        <v>1.8126888217522601E-2</v>
      </c>
      <c r="L7" s="1">
        <v>0</v>
      </c>
      <c r="M7" s="1">
        <v>0</v>
      </c>
      <c r="N7" s="1">
        <v>0</v>
      </c>
      <c r="O7" s="1">
        <v>0</v>
      </c>
      <c r="P7" s="1">
        <v>6.0422960725075497E-2</v>
      </c>
      <c r="Q7" s="1">
        <f t="shared" si="0"/>
        <v>0.39123867069486373</v>
      </c>
      <c r="R7" s="1">
        <f t="shared" si="1"/>
        <v>0</v>
      </c>
    </row>
    <row r="8" spans="1:18" x14ac:dyDescent="0.25">
      <c r="A8" s="2">
        <v>70</v>
      </c>
      <c r="B8" s="1">
        <v>2.2522522522522501E-2</v>
      </c>
      <c r="C8" s="1">
        <v>4.5045045045045001E-3</v>
      </c>
      <c r="D8" s="1">
        <v>0</v>
      </c>
      <c r="E8" s="1">
        <v>0</v>
      </c>
      <c r="F8" s="1">
        <v>0</v>
      </c>
      <c r="G8" s="1">
        <v>0</v>
      </c>
      <c r="H8" s="1">
        <v>1.5015015015015E-3</v>
      </c>
      <c r="I8" s="1">
        <v>0</v>
      </c>
      <c r="J8" s="1">
        <v>0.20570570570570501</v>
      </c>
      <c r="K8" s="1">
        <v>1.35135135135135E-2</v>
      </c>
      <c r="L8" s="1">
        <v>0</v>
      </c>
      <c r="M8" s="1">
        <v>0</v>
      </c>
      <c r="N8" s="1">
        <v>0</v>
      </c>
      <c r="O8" s="1">
        <v>0</v>
      </c>
      <c r="P8" s="1">
        <v>4.8048048048047999E-2</v>
      </c>
      <c r="Q8" s="1">
        <f t="shared" si="0"/>
        <v>0.29579579579579501</v>
      </c>
      <c r="R8" s="1">
        <f t="shared" si="1"/>
        <v>0</v>
      </c>
    </row>
    <row r="9" spans="1:18" x14ac:dyDescent="0.25">
      <c r="A9" s="2">
        <v>80</v>
      </c>
      <c r="B9" s="1">
        <v>1.20300751879699E-2</v>
      </c>
      <c r="C9" s="1">
        <v>1.50375939849624E-3</v>
      </c>
      <c r="D9" s="1">
        <v>0</v>
      </c>
      <c r="E9" s="1">
        <v>0</v>
      </c>
      <c r="F9" s="1">
        <v>0</v>
      </c>
      <c r="G9" s="1">
        <v>0</v>
      </c>
      <c r="H9" s="1">
        <v>1.50375939849624E-3</v>
      </c>
      <c r="I9" s="1">
        <v>0</v>
      </c>
      <c r="J9" s="1">
        <v>0.13984962406015</v>
      </c>
      <c r="K9" s="1">
        <v>1.0526315789473601E-2</v>
      </c>
      <c r="L9" s="1">
        <v>0</v>
      </c>
      <c r="M9" s="1">
        <v>0</v>
      </c>
      <c r="N9" s="1">
        <v>0</v>
      </c>
      <c r="O9" s="1">
        <v>0</v>
      </c>
      <c r="P9" s="1">
        <v>3.00751879699248E-2</v>
      </c>
      <c r="Q9" s="1">
        <f t="shared" si="0"/>
        <v>0.1954887218045108</v>
      </c>
      <c r="R9" s="1">
        <f t="shared" si="1"/>
        <v>0</v>
      </c>
    </row>
    <row r="10" spans="1:18" x14ac:dyDescent="0.25">
      <c r="A10" s="2">
        <v>90</v>
      </c>
      <c r="B10" s="1">
        <v>5.9970014992503703E-3</v>
      </c>
      <c r="C10" s="1">
        <v>1.49925037481259E-3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6.2968515742128903E-2</v>
      </c>
      <c r="K10" s="1">
        <v>4.4977511244377799E-3</v>
      </c>
      <c r="L10" s="1">
        <v>0</v>
      </c>
      <c r="M10" s="1">
        <v>0</v>
      </c>
      <c r="N10" s="1">
        <v>0</v>
      </c>
      <c r="O10" s="1">
        <v>0</v>
      </c>
      <c r="P10" s="1">
        <v>1.64917541229385E-2</v>
      </c>
      <c r="Q10" s="1">
        <f t="shared" si="0"/>
        <v>9.1454272863568137E-2</v>
      </c>
      <c r="R10" s="1">
        <f t="shared" si="1"/>
        <v>0</v>
      </c>
    </row>
    <row r="11" spans="1:18" x14ac:dyDescent="0.25">
      <c r="A11" s="3" t="s">
        <v>18</v>
      </c>
      <c r="B11" s="1">
        <f>SUBTOTAL(101,Table_an[C0])</f>
        <v>0.12017764303126148</v>
      </c>
      <c r="C11" s="1">
        <f>SUBTOTAL(101,Table_an[C1])</f>
        <v>5.5246297340156422E-3</v>
      </c>
      <c r="D11" s="1">
        <f>SUBTOTAL(101,Table_an[C2])</f>
        <v>2.0082845206870702E-3</v>
      </c>
      <c r="E11" s="1">
        <f>SUBTOTAL(101,Table_an[C3])</f>
        <v>0</v>
      </c>
      <c r="F11" s="1">
        <f>SUBTOTAL(101,Table_an[C4])</f>
        <v>0</v>
      </c>
      <c r="G11" s="1">
        <f>SUBTOTAL(101,Table_an[C5])</f>
        <v>1.1215301650188504E-2</v>
      </c>
      <c r="H11" s="1">
        <f>SUBTOTAL(101,Table_an[C6])</f>
        <v>2.1771409673687044E-3</v>
      </c>
      <c r="I11" s="1">
        <f>SUBTOTAL(101,Table_an[C7])</f>
        <v>8.2030010652444155E-3</v>
      </c>
      <c r="J11" s="1">
        <f>SUBTOTAL(101,Table_an[C8])</f>
        <v>0.28160138669149598</v>
      </c>
      <c r="K11" s="1">
        <f>SUBTOTAL(101,Table_an[C9])</f>
        <v>1.6574905619606364E-2</v>
      </c>
      <c r="L11" s="1">
        <f>SUBTOTAL(101,Table_an[C10])</f>
        <v>0</v>
      </c>
      <c r="M11" s="1">
        <f>SUBTOTAL(101,Table_an[C11])</f>
        <v>0</v>
      </c>
      <c r="N11" s="1">
        <f>SUBTOTAL(101,Table_an[C12])</f>
        <v>0</v>
      </c>
      <c r="O11" s="1">
        <f>SUBTOTAL(101,Table_an[C13])</f>
        <v>0</v>
      </c>
      <c r="P11" s="1">
        <f>SUBTOTAL(101,Table_an[C14])</f>
        <v>4.9725501351999456E-2</v>
      </c>
      <c r="R11" s="1"/>
    </row>
  </sheetData>
  <conditionalFormatting sqref="B2:P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P11">
    <cfRule type="cellIs" dxfId="5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B7858-1623-4003-884F-372013205959}">
  <dimension ref="A1:W25"/>
  <sheetViews>
    <sheetView tabSelected="1" topLeftCell="A81" zoomScale="85" zoomScaleNormal="85" workbookViewId="0">
      <selection activeCell="C92" sqref="C92"/>
    </sheetView>
  </sheetViews>
  <sheetFormatPr defaultRowHeight="15" x14ac:dyDescent="0.25"/>
  <cols>
    <col min="1" max="1" width="12.7109375" customWidth="1"/>
    <col min="2" max="2" width="10.85546875" customWidth="1"/>
    <col min="3" max="3" width="12.5703125" customWidth="1"/>
    <col min="4" max="6" width="10.85546875" customWidth="1"/>
  </cols>
  <sheetData>
    <row r="1" spans="1:6" ht="15.75" x14ac:dyDescent="0.25">
      <c r="A1" s="17" t="s">
        <v>44</v>
      </c>
      <c r="B1" s="17"/>
      <c r="C1" s="17"/>
      <c r="D1" s="17"/>
      <c r="E1" s="17"/>
      <c r="F1" s="17"/>
    </row>
    <row r="2" spans="1:6" x14ac:dyDescent="0.25">
      <c r="A2" t="s">
        <v>42</v>
      </c>
      <c r="B2" t="s">
        <v>31</v>
      </c>
      <c r="C2" t="s">
        <v>43</v>
      </c>
      <c r="D2" t="s">
        <v>36</v>
      </c>
      <c r="E2" t="s">
        <v>37</v>
      </c>
      <c r="F2" t="s">
        <v>38</v>
      </c>
    </row>
    <row r="3" spans="1:6" x14ac:dyDescent="0.25">
      <c r="A3" s="15">
        <v>0.1</v>
      </c>
      <c r="B3" s="12">
        <f>leaves_an_norm!B2</f>
        <v>0.54962779156327601</v>
      </c>
      <c r="C3" s="12">
        <f>SUM(leaves_an_norm!C2:F2)</f>
        <v>9.0570719602977801E-2</v>
      </c>
      <c r="D3" s="12">
        <f>leaves_an_norm!G2</f>
        <v>0.3114143920595529</v>
      </c>
      <c r="E3" s="12">
        <f>leaves_an_norm!H2</f>
        <v>2.2332506203473969E-2</v>
      </c>
      <c r="F3" s="12">
        <f>leaves_an_norm!J2</f>
        <v>2.6054590570719554E-2</v>
      </c>
    </row>
    <row r="4" spans="1:6" x14ac:dyDescent="0.25">
      <c r="A4" s="15">
        <v>0.2</v>
      </c>
      <c r="B4" s="12">
        <f>leaves_an_norm!B3</f>
        <v>0.36934306569343095</v>
      </c>
      <c r="C4" s="12">
        <f>SUM(leaves_an_norm!C3:F3)</f>
        <v>0.10510948905109484</v>
      </c>
      <c r="D4" s="12">
        <f>leaves_an_norm!G3</f>
        <v>0.42481751824817499</v>
      </c>
      <c r="E4" s="12">
        <f>leaves_an_norm!H3</f>
        <v>4.2335766423357624E-2</v>
      </c>
      <c r="F4" s="12">
        <f>leaves_an_norm!J3</f>
        <v>5.839416058394159E-2</v>
      </c>
    </row>
    <row r="5" spans="1:6" x14ac:dyDescent="0.25">
      <c r="A5" s="15">
        <v>0.3</v>
      </c>
      <c r="B5" s="12">
        <f>leaves_an_norm!B4</f>
        <v>0.2508474576271183</v>
      </c>
      <c r="C5" s="12">
        <f>SUM(leaves_an_norm!C4:F4)</f>
        <v>7.9661016949152508E-2</v>
      </c>
      <c r="D5" s="12">
        <f>leaves_an_norm!G4</f>
        <v>0.53220338983050863</v>
      </c>
      <c r="E5" s="12">
        <f>leaves_an_norm!H4</f>
        <v>5.0847457627118724E-2</v>
      </c>
      <c r="F5" s="12">
        <f>leaves_an_norm!J4</f>
        <v>8.6440677966101706E-2</v>
      </c>
    </row>
    <row r="6" spans="1:6" x14ac:dyDescent="0.25">
      <c r="A6" s="15">
        <v>0.4</v>
      </c>
      <c r="B6" s="12">
        <f>leaves_an_norm!B5</f>
        <v>0.18924302788844594</v>
      </c>
      <c r="C6" s="12">
        <f>SUM(leaves_an_norm!C5:F5)</f>
        <v>6.7729083665338669E-2</v>
      </c>
      <c r="D6" s="12">
        <f>leaves_an_norm!G5</f>
        <v>0.57569721115537875</v>
      </c>
      <c r="E6" s="12">
        <f>leaves_an_norm!H5</f>
        <v>5.7768924302788856E-2</v>
      </c>
      <c r="F6" s="12">
        <f>leaves_an_norm!J5</f>
        <v>0.10956175298804789</v>
      </c>
    </row>
    <row r="7" spans="1:6" x14ac:dyDescent="0.25">
      <c r="A7" s="15">
        <v>0.5</v>
      </c>
      <c r="B7" s="12">
        <f>leaves_an_norm!B6</f>
        <v>0.14039408866995073</v>
      </c>
      <c r="C7" s="12">
        <f>SUM(leaves_an_norm!C6:F6)</f>
        <v>4.433497536945806E-2</v>
      </c>
      <c r="D7" s="12">
        <f>leaves_an_norm!G6</f>
        <v>0.61822660098522175</v>
      </c>
      <c r="E7" s="12">
        <f>leaves_an_norm!H6</f>
        <v>6.4039408866995079E-2</v>
      </c>
      <c r="F7" s="12">
        <f>leaves_an_norm!J6</f>
        <v>0.13300492610837433</v>
      </c>
    </row>
    <row r="8" spans="1:6" x14ac:dyDescent="0.25">
      <c r="A8" s="15">
        <v>0.6</v>
      </c>
      <c r="B8" s="12">
        <f>leaves_an_norm!B7</f>
        <v>0.13230769230769221</v>
      </c>
      <c r="C8" s="12">
        <f>SUM(leaves_an_norm!C7:F7)</f>
        <v>4.0000000000000015E-2</v>
      </c>
      <c r="D8" s="12">
        <f>leaves_an_norm!G7</f>
        <v>0.61538461538461553</v>
      </c>
      <c r="E8" s="12">
        <f>leaves_an_norm!H7</f>
        <v>6.4615384615384575E-2</v>
      </c>
      <c r="F8" s="12">
        <f>leaves_an_norm!J7</f>
        <v>0.14769230769230757</v>
      </c>
    </row>
    <row r="9" spans="1:6" x14ac:dyDescent="0.25">
      <c r="A9" s="15">
        <v>0.7</v>
      </c>
      <c r="B9" s="12">
        <f>leaves_an_norm!B8</f>
        <v>9.5833333333333159E-2</v>
      </c>
      <c r="C9" s="12">
        <f>SUM(leaves_an_norm!C8:F8)</f>
        <v>2.4999999999999984E-2</v>
      </c>
      <c r="D9" s="12">
        <f>leaves_an_norm!G8</f>
        <v>0.64583333333333348</v>
      </c>
      <c r="E9" s="12">
        <f>leaves_an_norm!H8</f>
        <v>7.0833333333333179E-2</v>
      </c>
      <c r="F9" s="12">
        <f>leaves_an_norm!J8</f>
        <v>0.16250000000000023</v>
      </c>
    </row>
    <row r="10" spans="1:6" x14ac:dyDescent="0.25">
      <c r="A10" s="15">
        <v>0.8</v>
      </c>
      <c r="B10" s="12">
        <f>leaves_an_norm!B9</f>
        <v>8.1249999999999892E-2</v>
      </c>
      <c r="C10" s="12">
        <f>SUM(leaves_an_norm!C9:F9)</f>
        <v>2.5000000000000085E-2</v>
      </c>
      <c r="D10" s="12">
        <f>leaves_an_norm!G9</f>
        <v>0.6437499999999996</v>
      </c>
      <c r="E10" s="12">
        <f>leaves_an_norm!H9</f>
        <v>6.8750000000000103E-2</v>
      </c>
      <c r="F10" s="12">
        <f>leaves_an_norm!J9</f>
        <v>0.18125000000000024</v>
      </c>
    </row>
    <row r="11" spans="1:6" x14ac:dyDescent="0.25">
      <c r="A11" s="15">
        <v>0.9</v>
      </c>
      <c r="B11" s="12">
        <f>leaves_an_norm!B10</f>
        <v>6.6666666666666666E-2</v>
      </c>
      <c r="C11" s="12">
        <f>SUM(leaves_an_norm!C10:F10)</f>
        <v>2.6666666666666665E-2</v>
      </c>
      <c r="D11" s="12">
        <f>leaves_an_norm!G10</f>
        <v>0.64</v>
      </c>
      <c r="E11" s="12">
        <f>leaves_an_norm!H10</f>
        <v>6.6666666666666666E-2</v>
      </c>
      <c r="F11" s="12">
        <f>leaves_an_norm!J10</f>
        <v>0.19999999999999998</v>
      </c>
    </row>
    <row r="12" spans="1:6" x14ac:dyDescent="0.25">
      <c r="A12" s="13" t="s">
        <v>19</v>
      </c>
      <c r="B12" s="14">
        <f>SUBTOTAL(101,OWA[0 Classif.])</f>
        <v>0.20839034708332374</v>
      </c>
      <c r="C12" s="14">
        <f>SUBTOTAL(101,OWA[1-4 Classif.])</f>
        <v>5.6007994589409846E-2</v>
      </c>
      <c r="D12" s="14">
        <f>SUBTOTAL(101,OWA[5 Classif.])</f>
        <v>0.55636967344408728</v>
      </c>
      <c r="E12" s="14">
        <f>SUBTOTAL(101,OWA[6 Classif.])</f>
        <v>5.6465494226568755E-2</v>
      </c>
      <c r="F12" s="14">
        <f>SUBTOTAL(101,OWA[7 Classif.])</f>
        <v>0.12276649065661033</v>
      </c>
    </row>
    <row r="14" spans="1:6" ht="15.75" x14ac:dyDescent="0.25">
      <c r="A14" s="18" t="s">
        <v>45</v>
      </c>
      <c r="B14" s="18"/>
      <c r="C14" s="18"/>
      <c r="D14" s="18"/>
      <c r="E14" s="18"/>
      <c r="F14" s="18"/>
    </row>
    <row r="15" spans="1:6" x14ac:dyDescent="0.25">
      <c r="A15" t="s">
        <v>42</v>
      </c>
      <c r="B15" t="s">
        <v>31</v>
      </c>
      <c r="C15" t="s">
        <v>43</v>
      </c>
      <c r="D15" t="s">
        <v>36</v>
      </c>
      <c r="E15" t="s">
        <v>37</v>
      </c>
      <c r="F15" t="s">
        <v>38</v>
      </c>
    </row>
    <row r="16" spans="1:6" x14ac:dyDescent="0.25">
      <c r="A16" s="13">
        <v>0.1</v>
      </c>
      <c r="B16" s="12">
        <f>leaves_ac_norm!B2</f>
        <v>0.10652920962199322</v>
      </c>
      <c r="C16" s="12">
        <f>SUM(leaves_ac_norm!C2:F2)</f>
        <v>0.45704467353951889</v>
      </c>
      <c r="D16" s="12">
        <f>leaves_ac_norm!G2</f>
        <v>0.35567010309278341</v>
      </c>
      <c r="E16" s="12">
        <f>leaves_ac_norm!H2</f>
        <v>3.0927835051546382E-2</v>
      </c>
      <c r="F16" s="12">
        <f>leaves_ac_norm!J2</f>
        <v>4.9828178694158114E-2</v>
      </c>
    </row>
    <row r="17" spans="1:23" x14ac:dyDescent="0.25">
      <c r="A17" s="13">
        <v>0.2</v>
      </c>
      <c r="B17" s="12">
        <f>leaves_ac_norm!B3</f>
        <v>5.8939096267190683E-2</v>
      </c>
      <c r="C17" s="12">
        <f>SUM(leaves_ac_norm!C3:F3)</f>
        <v>0.31827111984282885</v>
      </c>
      <c r="D17" s="12">
        <f>leaves_ac_norm!G3</f>
        <v>0.49705304518664062</v>
      </c>
      <c r="E17" s="12">
        <f>leaves_ac_norm!H3</f>
        <v>4.715127701375247E-2</v>
      </c>
      <c r="F17" s="12">
        <f>leaves_ac_norm!J3</f>
        <v>7.8585461689587494E-2</v>
      </c>
    </row>
    <row r="18" spans="1:23" x14ac:dyDescent="0.25">
      <c r="A18" s="13">
        <v>0.3</v>
      </c>
      <c r="B18" s="12">
        <f>leaves_ac_norm!B4</f>
        <v>2.9612756264236796E-2</v>
      </c>
      <c r="C18" s="12">
        <f>SUM(leaves_ac_norm!C4:F4)</f>
        <v>0.20728929384965797</v>
      </c>
      <c r="D18" s="12">
        <f>leaves_ac_norm!G4</f>
        <v>0.58997722095672045</v>
      </c>
      <c r="E18" s="12">
        <f>leaves_ac_norm!H4</f>
        <v>5.9225512528473745E-2</v>
      </c>
      <c r="F18" s="12">
        <f>leaves_ac_norm!J4</f>
        <v>0.11389521640091123</v>
      </c>
    </row>
    <row r="19" spans="1:23" x14ac:dyDescent="0.25">
      <c r="A19" s="13">
        <v>0.4</v>
      </c>
      <c r="B19" s="12">
        <f>leaves_ac_norm!B5</f>
        <v>1.604278074866311E-2</v>
      </c>
      <c r="C19" s="12">
        <f>SUM(leaves_ac_norm!C5:F5)</f>
        <v>0.17914438502673777</v>
      </c>
      <c r="D19" s="12">
        <f>leaves_ac_norm!G5</f>
        <v>0.59893048128342263</v>
      </c>
      <c r="E19" s="12">
        <f>leaves_ac_norm!H5</f>
        <v>7.4866310160427746E-2</v>
      </c>
      <c r="F19" s="12">
        <f>leaves_ac_norm!J5</f>
        <v>0.13101604278074871</v>
      </c>
    </row>
    <row r="20" spans="1:23" x14ac:dyDescent="0.25">
      <c r="A20" s="13">
        <v>0.5</v>
      </c>
      <c r="B20" s="12">
        <f>leaves_ac_norm!B6</f>
        <v>6.5573770491803339E-3</v>
      </c>
      <c r="C20" s="12">
        <f>SUM(leaves_ac_norm!C6:F6)</f>
        <v>0.11803278688524579</v>
      </c>
      <c r="D20" s="12">
        <f>leaves_ac_norm!G6</f>
        <v>0.63278688524590143</v>
      </c>
      <c r="E20" s="12">
        <f>leaves_ac_norm!H6</f>
        <v>9.180327868852467E-2</v>
      </c>
      <c r="F20" s="12">
        <f>leaves_ac_norm!J6</f>
        <v>0.15081967213114766</v>
      </c>
    </row>
    <row r="21" spans="1:23" x14ac:dyDescent="0.25">
      <c r="A21" s="13">
        <v>0.6</v>
      </c>
      <c r="B21" s="12">
        <f>leaves_ac_norm!B7</f>
        <v>0</v>
      </c>
      <c r="C21" s="12">
        <f>SUM(leaves_ac_norm!C7:F7)</f>
        <v>9.6234309623430825E-2</v>
      </c>
      <c r="D21" s="12">
        <f>leaves_ac_norm!G7</f>
        <v>0.62343096234309614</v>
      </c>
      <c r="E21" s="12">
        <f>leaves_ac_norm!H7</f>
        <v>0.1129707112970712</v>
      </c>
      <c r="F21" s="12">
        <f>leaves_ac_norm!J7</f>
        <v>0.16736401673640172</v>
      </c>
    </row>
    <row r="22" spans="1:23" x14ac:dyDescent="0.25">
      <c r="A22" s="13">
        <v>0.7</v>
      </c>
      <c r="B22" s="12">
        <f>leaves_ac_norm!B8</f>
        <v>0</v>
      </c>
      <c r="C22" s="12">
        <f>SUM(leaves_ac_norm!C8:F8)</f>
        <v>6.7039106145251423E-2</v>
      </c>
      <c r="D22" s="12">
        <f>leaves_ac_norm!G8</f>
        <v>0.63687150837988826</v>
      </c>
      <c r="E22" s="12">
        <f>leaves_ac_norm!H8</f>
        <v>0.12849162011173174</v>
      </c>
      <c r="F22" s="12">
        <f>leaves_ac_norm!J8</f>
        <v>0.16759776536312856</v>
      </c>
    </row>
    <row r="23" spans="1:23" ht="18.75" x14ac:dyDescent="0.25">
      <c r="A23" s="13">
        <v>0.8</v>
      </c>
      <c r="B23" s="12">
        <f>leaves_ac_norm!B9</f>
        <v>0</v>
      </c>
      <c r="C23" s="12">
        <f>SUM(leaves_ac_norm!C9:F9)</f>
        <v>6.0344827586207031E-2</v>
      </c>
      <c r="D23" s="12">
        <f>leaves_ac_norm!G9</f>
        <v>0.58620689655172331</v>
      </c>
      <c r="E23" s="12">
        <f>leaves_ac_norm!H9</f>
        <v>0.17241379310344862</v>
      </c>
      <c r="F23" s="12">
        <f>leaves_ac_norm!J9</f>
        <v>0.18103448275862111</v>
      </c>
      <c r="W23" s="16" t="s">
        <v>47</v>
      </c>
    </row>
    <row r="24" spans="1:23" ht="18.75" x14ac:dyDescent="0.25">
      <c r="A24" s="13">
        <v>0.9</v>
      </c>
      <c r="B24" s="12">
        <f>leaves_ac_norm!B10</f>
        <v>0</v>
      </c>
      <c r="C24" s="12">
        <f>SUM(leaves_ac_norm!C10:F10)</f>
        <v>3.636363636363632E-2</v>
      </c>
      <c r="D24" s="12">
        <f>leaves_ac_norm!G10</f>
        <v>0.32727272727272766</v>
      </c>
      <c r="E24" s="12">
        <f>leaves_ac_norm!H10</f>
        <v>0.41818181818181821</v>
      </c>
      <c r="F24" s="12">
        <f>leaves_ac_norm!J10</f>
        <v>0.21818181818181773</v>
      </c>
      <c r="L24" s="16" t="s">
        <v>46</v>
      </c>
    </row>
    <row r="25" spans="1:23" x14ac:dyDescent="0.25">
      <c r="A25" s="13" t="s">
        <v>19</v>
      </c>
      <c r="B25" s="14">
        <f>SUBTOTAL(101,CWA[0 Classif.])</f>
        <v>2.4186802216807125E-2</v>
      </c>
      <c r="C25" s="14">
        <f>SUBTOTAL(101,CWA[1-4 Classif.])</f>
        <v>0.17108490431805723</v>
      </c>
      <c r="D25" s="14">
        <f>SUBTOTAL(101,CWA[5 Classif.])</f>
        <v>0.53868887003476706</v>
      </c>
      <c r="E25" s="14">
        <f>SUBTOTAL(101,CWA[6 Classif.])</f>
        <v>0.12622579512631052</v>
      </c>
      <c r="F25" s="14">
        <f>SUBTOTAL(101,CWA[7 Classif.])</f>
        <v>0.13981362830405805</v>
      </c>
    </row>
  </sheetData>
  <mergeCells count="2">
    <mergeCell ref="A1:F1"/>
    <mergeCell ref="A14:F14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DAA92-1762-43EB-9F32-E122AB04CAD8}">
  <sheetPr>
    <tabColor theme="5"/>
  </sheetPr>
  <dimension ref="A1:Y29"/>
  <sheetViews>
    <sheetView workbookViewId="0">
      <selection activeCell="B2" sqref="B2"/>
    </sheetView>
  </sheetViews>
  <sheetFormatPr defaultRowHeight="15" x14ac:dyDescent="0.25"/>
  <cols>
    <col min="1" max="18" width="8.7109375" customWidth="1"/>
    <col min="20" max="20" width="10.7109375" customWidth="1"/>
    <col min="21" max="23" width="15.7109375" customWidth="1"/>
  </cols>
  <sheetData>
    <row r="1" spans="1:25" x14ac:dyDescent="0.25">
      <c r="A1" t="s">
        <v>17</v>
      </c>
      <c r="B1" t="s">
        <v>16</v>
      </c>
      <c r="C1" t="s">
        <v>15</v>
      </c>
      <c r="D1" t="s">
        <v>14</v>
      </c>
      <c r="E1" t="s">
        <v>13</v>
      </c>
      <c r="F1" t="s">
        <v>12</v>
      </c>
      <c r="G1" t="s">
        <v>11</v>
      </c>
      <c r="H1" t="s">
        <v>10</v>
      </c>
      <c r="I1" t="s">
        <v>9</v>
      </c>
      <c r="J1" t="s">
        <v>8</v>
      </c>
      <c r="K1" t="s">
        <v>7</v>
      </c>
      <c r="L1" t="s">
        <v>6</v>
      </c>
      <c r="M1" t="s">
        <v>5</v>
      </c>
      <c r="N1" t="s">
        <v>4</v>
      </c>
      <c r="O1" t="s">
        <v>3</v>
      </c>
      <c r="P1" t="s">
        <v>2</v>
      </c>
      <c r="Q1" t="s">
        <v>1</v>
      </c>
      <c r="R1" t="s">
        <v>0</v>
      </c>
      <c r="T1" t="s">
        <v>17</v>
      </c>
      <c r="U1" t="s">
        <v>20</v>
      </c>
      <c r="V1" t="s">
        <v>21</v>
      </c>
      <c r="W1" t="s">
        <v>22</v>
      </c>
    </row>
    <row r="2" spans="1:25" x14ac:dyDescent="0.25">
      <c r="A2" s="2">
        <v>10</v>
      </c>
      <c r="B2" s="1">
        <f>Table_an[[#This Row],[C0]]/Table_an[[#This Row],[Sum]]*100</f>
        <v>51.252086811352271</v>
      </c>
      <c r="C2" s="1">
        <f>Table_an[[#This Row],[C1]]/Table_an[[#This Row],[Sum]]*100</f>
        <v>0.66777963272120189</v>
      </c>
      <c r="D2" s="1">
        <f>Table_an[[#This Row],[C2]]/Table_an[[#This Row],[Sum]]*100</f>
        <v>0.8347245409015035</v>
      </c>
      <c r="E2" s="1">
        <f>Table_an[[#This Row],[C3]]/Table_an[[#This Row],[Sum]]*100</f>
        <v>0</v>
      </c>
      <c r="F2" s="1">
        <f>Table_an[[#This Row],[C4]]/Table_an[[#This Row],[Sum]]*100</f>
        <v>0</v>
      </c>
      <c r="G2" s="1">
        <f>Table_an[[#This Row],[C5]]/Table_an[[#This Row],[Sum]]*100</f>
        <v>4.5075125208681159</v>
      </c>
      <c r="H2" s="1">
        <f>Table_an[[#This Row],[C6]]/Table_an[[#This Row],[Sum]]*100</f>
        <v>0.16694490818030047</v>
      </c>
      <c r="I2" s="1">
        <f>Table_an[[#This Row],[C7]]/Table_an[[#This Row],[Sum]]*100</f>
        <v>2.0033388981636078</v>
      </c>
      <c r="J2" s="1">
        <f>Table_an[[#This Row],[C8]]/Table_an[[#This Row],[Sum]]*100</f>
        <v>35.893155258764594</v>
      </c>
      <c r="K2" s="1">
        <f>Table_an[[#This Row],[C9]]/Table_an[[#This Row],[Sum]]*100</f>
        <v>1.3355592654424016</v>
      </c>
      <c r="L2" s="1">
        <f>Table_an[[#This Row],[C10]]/Table_an[[#This Row],[Sum]]*100</f>
        <v>0</v>
      </c>
      <c r="M2" s="1">
        <f>Table_an[[#This Row],[C11]]/Table_an[[#This Row],[Sum]]*100</f>
        <v>0</v>
      </c>
      <c r="N2" s="1">
        <f>Table_an[[#This Row],[C12]]/Table_an[[#This Row],[Sum]]*100</f>
        <v>0</v>
      </c>
      <c r="O2" s="1">
        <f>Table_an[[#This Row],[C13]]/Table_an[[#This Row],[Sum]]*100</f>
        <v>0</v>
      </c>
      <c r="P2" s="1">
        <f>Table_an[[#This Row],[C14]]/Table_an[[#This Row],[Sum]]*100</f>
        <v>3.33889816360601</v>
      </c>
      <c r="Q2" s="1">
        <f t="shared" ref="Q2:Q10" si="0">SUM(B2:P2)</f>
        <v>100</v>
      </c>
      <c r="R2" s="1">
        <f t="shared" ref="R2:R10" si="1">ROUND(Q2,0)</f>
        <v>100</v>
      </c>
      <c r="T2" s="3">
        <v>10</v>
      </c>
      <c r="U2" s="1">
        <f>Table_an_n[[#This Row],[C0]]</f>
        <v>51.252086811352271</v>
      </c>
      <c r="V2" s="1">
        <f>SUM(Table_an_n[[#This Row],[C1]:[C13]])</f>
        <v>45.409015025041725</v>
      </c>
      <c r="W2" s="1">
        <f>Table_an_n[[#This Row],[C14]]</f>
        <v>3.33889816360601</v>
      </c>
    </row>
    <row r="3" spans="1:25" x14ac:dyDescent="0.25">
      <c r="A3" s="2">
        <v>20</v>
      </c>
      <c r="B3" s="1">
        <f>Table_an[[#This Row],[C0]]/Table_an[[#This Row],[Sum]]*100</f>
        <v>32.580037664783404</v>
      </c>
      <c r="C3" s="1">
        <f>Table_an[[#This Row],[C1]]/Table_an[[#This Row],[Sum]]*100</f>
        <v>0.94161958568738435</v>
      </c>
      <c r="D3" s="1">
        <f>Table_an[[#This Row],[C2]]/Table_an[[#This Row],[Sum]]*100</f>
        <v>0.75329566854990648</v>
      </c>
      <c r="E3" s="1">
        <f>Table_an[[#This Row],[C3]]/Table_an[[#This Row],[Sum]]*100</f>
        <v>0</v>
      </c>
      <c r="F3" s="1">
        <f>Table_an[[#This Row],[C4]]/Table_an[[#This Row],[Sum]]*100</f>
        <v>0</v>
      </c>
      <c r="G3" s="1">
        <f>Table_an[[#This Row],[C5]]/Table_an[[#This Row],[Sum]]*100</f>
        <v>3.5781544256120608</v>
      </c>
      <c r="H3" s="1">
        <f>Table_an[[#This Row],[C6]]/Table_an[[#This Row],[Sum]]*100</f>
        <v>0.37664783427495324</v>
      </c>
      <c r="I3" s="1">
        <f>Table_an[[#This Row],[C7]]/Table_an[[#This Row],[Sum]]*100</f>
        <v>2.8248587570621493</v>
      </c>
      <c r="J3" s="1">
        <f>Table_an[[#This Row],[C8]]/Table_an[[#This Row],[Sum]]*100</f>
        <v>49.905838041431288</v>
      </c>
      <c r="K3" s="1">
        <f>Table_an[[#This Row],[C9]]/Table_an[[#This Row],[Sum]]*100</f>
        <v>2.4482109227871933</v>
      </c>
      <c r="L3" s="1">
        <f>Table_an[[#This Row],[C10]]/Table_an[[#This Row],[Sum]]*100</f>
        <v>0</v>
      </c>
      <c r="M3" s="1">
        <f>Table_an[[#This Row],[C11]]/Table_an[[#This Row],[Sum]]*100</f>
        <v>0</v>
      </c>
      <c r="N3" s="1">
        <f>Table_an[[#This Row],[C12]]/Table_an[[#This Row],[Sum]]*100</f>
        <v>0</v>
      </c>
      <c r="O3" s="1">
        <f>Table_an[[#This Row],[C13]]/Table_an[[#This Row],[Sum]]*100</f>
        <v>0</v>
      </c>
      <c r="P3" s="1">
        <f>Table_an[[#This Row],[C14]]/Table_an[[#This Row],[Sum]]*100</f>
        <v>6.5913370998116827</v>
      </c>
      <c r="Q3" s="1">
        <f t="shared" si="0"/>
        <v>100.00000000000003</v>
      </c>
      <c r="R3" s="1">
        <f t="shared" si="1"/>
        <v>100</v>
      </c>
      <c r="T3" s="3">
        <v>20</v>
      </c>
      <c r="U3" s="1">
        <f>Table_an_n[[#This Row],[C0]]</f>
        <v>32.580037664783404</v>
      </c>
      <c r="V3" s="1">
        <f>SUM(Table_an_n[[#This Row],[C1]:[C13]])</f>
        <v>60.828625235404935</v>
      </c>
      <c r="W3" s="1">
        <f>Table_an_n[[#This Row],[C14]]</f>
        <v>6.5913370998116827</v>
      </c>
    </row>
    <row r="4" spans="1:25" x14ac:dyDescent="0.25">
      <c r="A4" s="2">
        <v>30</v>
      </c>
      <c r="B4" s="1">
        <f>Table_an[[#This Row],[C0]]/Table_an[[#This Row],[Sum]]*100</f>
        <v>20.600858369098731</v>
      </c>
      <c r="C4" s="1">
        <f>Table_an[[#This Row],[C1]]/Table_an[[#This Row],[Sum]]*100</f>
        <v>1.2875536480686707</v>
      </c>
      <c r="D4" s="1">
        <f>Table_an[[#This Row],[C2]]/Table_an[[#This Row],[Sum]]*100</f>
        <v>0.42918454935622308</v>
      </c>
      <c r="E4" s="1">
        <f>Table_an[[#This Row],[C3]]/Table_an[[#This Row],[Sum]]*100</f>
        <v>0</v>
      </c>
      <c r="F4" s="1">
        <f>Table_an[[#This Row],[C4]]/Table_an[[#This Row],[Sum]]*100</f>
        <v>0</v>
      </c>
      <c r="G4" s="1">
        <f>Table_an[[#This Row],[C5]]/Table_an[[#This Row],[Sum]]*100</f>
        <v>2.1459227467811157</v>
      </c>
      <c r="H4" s="1">
        <f>Table_an[[#This Row],[C6]]/Table_an[[#This Row],[Sum]]*100</f>
        <v>0.42918454935622308</v>
      </c>
      <c r="I4" s="1">
        <f>Table_an[[#This Row],[C7]]/Table_an[[#This Row],[Sum]]*100</f>
        <v>2.5751072961373414</v>
      </c>
      <c r="J4" s="1">
        <f>Table_an[[#This Row],[C8]]/Table_an[[#This Row],[Sum]]*100</f>
        <v>59.227467811158775</v>
      </c>
      <c r="K4" s="1">
        <f>Table_an[[#This Row],[C9]]/Table_an[[#This Row],[Sum]]*100</f>
        <v>3.6480686695278983</v>
      </c>
      <c r="L4" s="1">
        <f>Table_an[[#This Row],[C10]]/Table_an[[#This Row],[Sum]]*100</f>
        <v>0</v>
      </c>
      <c r="M4" s="1">
        <f>Table_an[[#This Row],[C11]]/Table_an[[#This Row],[Sum]]*100</f>
        <v>0</v>
      </c>
      <c r="N4" s="1">
        <f>Table_an[[#This Row],[C12]]/Table_an[[#This Row],[Sum]]*100</f>
        <v>0</v>
      </c>
      <c r="O4" s="1">
        <f>Table_an[[#This Row],[C13]]/Table_an[[#This Row],[Sum]]*100</f>
        <v>0</v>
      </c>
      <c r="P4" s="1">
        <f>Table_an[[#This Row],[C14]]/Table_an[[#This Row],[Sum]]*100</f>
        <v>9.6566523605150323</v>
      </c>
      <c r="Q4" s="1">
        <f t="shared" si="0"/>
        <v>100</v>
      </c>
      <c r="R4" s="1">
        <f t="shared" si="1"/>
        <v>100</v>
      </c>
      <c r="T4" s="3">
        <v>30</v>
      </c>
      <c r="U4" s="1">
        <f>Table_an_n[[#This Row],[C0]]</f>
        <v>20.600858369098731</v>
      </c>
      <c r="V4" s="1">
        <f>SUM(Table_an_n[[#This Row],[C1]:[C13]])</f>
        <v>69.742489270386244</v>
      </c>
      <c r="W4" s="1">
        <f>Table_an_n[[#This Row],[C14]]</f>
        <v>9.6566523605150323</v>
      </c>
    </row>
    <row r="5" spans="1:25" x14ac:dyDescent="0.25">
      <c r="A5" s="2">
        <v>40</v>
      </c>
      <c r="B5" s="1">
        <f>Table_an[[#This Row],[C0]]/Table_an[[#This Row],[Sum]]*100</f>
        <v>15.037593984962413</v>
      </c>
      <c r="C5" s="1">
        <f>Table_an[[#This Row],[C1]]/Table_an[[#This Row],[Sum]]*100</f>
        <v>1.503759398496243</v>
      </c>
      <c r="D5" s="1">
        <f>Table_an[[#This Row],[C2]]/Table_an[[#This Row],[Sum]]*100</f>
        <v>0.2506265664160397</v>
      </c>
      <c r="E5" s="1">
        <f>Table_an[[#This Row],[C3]]/Table_an[[#This Row],[Sum]]*100</f>
        <v>0</v>
      </c>
      <c r="F5" s="1">
        <f>Table_an[[#This Row],[C4]]/Table_an[[#This Row],[Sum]]*100</f>
        <v>0</v>
      </c>
      <c r="G5" s="1">
        <f>Table_an[[#This Row],[C5]]/Table_an[[#This Row],[Sum]]*100</f>
        <v>1.7543859649122677</v>
      </c>
      <c r="H5" s="1">
        <f>Table_an[[#This Row],[C6]]/Table_an[[#This Row],[Sum]]*100</f>
        <v>0.5012531328320794</v>
      </c>
      <c r="I5" s="1">
        <f>Table_an[[#This Row],[C7]]/Table_an[[#This Row],[Sum]]*100</f>
        <v>1.503759398496243</v>
      </c>
      <c r="J5" s="1">
        <f>Table_an[[#This Row],[C8]]/Table_an[[#This Row],[Sum]]*100</f>
        <v>63.909774436090231</v>
      </c>
      <c r="K5" s="1">
        <f>Table_an[[#This Row],[C9]]/Table_an[[#This Row],[Sum]]*100</f>
        <v>4.0100250626566378</v>
      </c>
      <c r="L5" s="1">
        <f>Table_an[[#This Row],[C10]]/Table_an[[#This Row],[Sum]]*100</f>
        <v>0</v>
      </c>
      <c r="M5" s="1">
        <f>Table_an[[#This Row],[C11]]/Table_an[[#This Row],[Sum]]*100</f>
        <v>0</v>
      </c>
      <c r="N5" s="1">
        <f>Table_an[[#This Row],[C12]]/Table_an[[#This Row],[Sum]]*100</f>
        <v>0</v>
      </c>
      <c r="O5" s="1">
        <f>Table_an[[#This Row],[C13]]/Table_an[[#This Row],[Sum]]*100</f>
        <v>0</v>
      </c>
      <c r="P5" s="1">
        <f>Table_an[[#This Row],[C14]]/Table_an[[#This Row],[Sum]]*100</f>
        <v>11.528822055137864</v>
      </c>
      <c r="Q5" s="1">
        <f t="shared" si="0"/>
        <v>100.00000000000001</v>
      </c>
      <c r="R5" s="1">
        <f t="shared" si="1"/>
        <v>100</v>
      </c>
      <c r="T5" s="3">
        <v>40</v>
      </c>
      <c r="U5" s="1">
        <f>Table_an_n[[#This Row],[C0]]</f>
        <v>15.037593984962413</v>
      </c>
      <c r="V5" s="1">
        <f>SUM(Table_an_n[[#This Row],[C1]:[C13]])</f>
        <v>73.433583959899735</v>
      </c>
      <c r="W5" s="1">
        <f>Table_an_n[[#This Row],[C14]]</f>
        <v>11.528822055137864</v>
      </c>
    </row>
    <row r="6" spans="1:25" x14ac:dyDescent="0.25">
      <c r="A6" s="2">
        <v>50</v>
      </c>
      <c r="B6" s="1">
        <f>Table_an[[#This Row],[C0]]/Table_an[[#This Row],[Sum]]*100</f>
        <v>9.7560975609756113</v>
      </c>
      <c r="C6" s="1">
        <f>Table_an[[#This Row],[C1]]/Table_an[[#This Row],[Sum]]*100</f>
        <v>1.2195121951219514</v>
      </c>
      <c r="D6" s="1">
        <f>Table_an[[#This Row],[C2]]/Table_an[[#This Row],[Sum]]*100</f>
        <v>0</v>
      </c>
      <c r="E6" s="1">
        <f>Table_an[[#This Row],[C3]]/Table_an[[#This Row],[Sum]]*100</f>
        <v>0</v>
      </c>
      <c r="F6" s="1">
        <f>Table_an[[#This Row],[C4]]/Table_an[[#This Row],[Sum]]*100</f>
        <v>0</v>
      </c>
      <c r="G6" s="1">
        <f>Table_an[[#This Row],[C5]]/Table_an[[#This Row],[Sum]]*100</f>
        <v>0.91463414634146301</v>
      </c>
      <c r="H6" s="1">
        <f>Table_an[[#This Row],[C6]]/Table_an[[#This Row],[Sum]]*100</f>
        <v>0.60975609756097471</v>
      </c>
      <c r="I6" s="1">
        <f>Table_an[[#This Row],[C7]]/Table_an[[#This Row],[Sum]]*100</f>
        <v>0.91463414634146301</v>
      </c>
      <c r="J6" s="1">
        <f>Table_an[[#This Row],[C8]]/Table_an[[#This Row],[Sum]]*100</f>
        <v>67.682926829268297</v>
      </c>
      <c r="K6" s="1">
        <f>Table_an[[#This Row],[C9]]/Table_an[[#This Row],[Sum]]*100</f>
        <v>4.2682926829268251</v>
      </c>
      <c r="L6" s="1">
        <f>Table_an[[#This Row],[C10]]/Table_an[[#This Row],[Sum]]*100</f>
        <v>0</v>
      </c>
      <c r="M6" s="1">
        <f>Table_an[[#This Row],[C11]]/Table_an[[#This Row],[Sum]]*100</f>
        <v>0</v>
      </c>
      <c r="N6" s="1">
        <f>Table_an[[#This Row],[C12]]/Table_an[[#This Row],[Sum]]*100</f>
        <v>0</v>
      </c>
      <c r="O6" s="1">
        <f>Table_an[[#This Row],[C13]]/Table_an[[#This Row],[Sum]]*100</f>
        <v>0</v>
      </c>
      <c r="P6" s="1">
        <f>Table_an[[#This Row],[C14]]/Table_an[[#This Row],[Sum]]*100</f>
        <v>14.634146341463417</v>
      </c>
      <c r="Q6" s="1">
        <f t="shared" si="0"/>
        <v>100</v>
      </c>
      <c r="R6" s="1">
        <f t="shared" si="1"/>
        <v>100</v>
      </c>
      <c r="T6" s="3">
        <v>50</v>
      </c>
      <c r="U6" s="1">
        <f>Table_an_n[[#This Row],[C0]]</f>
        <v>9.7560975609756113</v>
      </c>
      <c r="V6" s="1">
        <f>SUM(Table_an_n[[#This Row],[C1]:[C13]])</f>
        <v>75.609756097560975</v>
      </c>
      <c r="W6" s="1">
        <f>Table_an_n[[#This Row],[C14]]</f>
        <v>14.634146341463417</v>
      </c>
    </row>
    <row r="7" spans="1:25" x14ac:dyDescent="0.25">
      <c r="A7" s="2">
        <v>60</v>
      </c>
      <c r="B7" s="1">
        <f>Table_an[[#This Row],[C0]]/Table_an[[#This Row],[Sum]]*100</f>
        <v>8.8803088803088812</v>
      </c>
      <c r="C7" s="1">
        <f>Table_an[[#This Row],[C1]]/Table_an[[#This Row],[Sum]]*100</f>
        <v>1.158301158301158</v>
      </c>
      <c r="D7" s="1">
        <f>Table_an[[#This Row],[C2]]/Table_an[[#This Row],[Sum]]*100</f>
        <v>0</v>
      </c>
      <c r="E7" s="1">
        <f>Table_an[[#This Row],[C3]]/Table_an[[#This Row],[Sum]]*100</f>
        <v>0</v>
      </c>
      <c r="F7" s="1">
        <f>Table_an[[#This Row],[C4]]/Table_an[[#This Row],[Sum]]*100</f>
        <v>0</v>
      </c>
      <c r="G7" s="1">
        <f>Table_an[[#This Row],[C5]]/Table_an[[#This Row],[Sum]]*100</f>
        <v>0.38610038610038427</v>
      </c>
      <c r="H7" s="1">
        <f>Table_an[[#This Row],[C6]]/Table_an[[#This Row],[Sum]]*100</f>
        <v>0.77220077220077121</v>
      </c>
      <c r="I7" s="1">
        <f>Table_an[[#This Row],[C7]]/Table_an[[#This Row],[Sum]]*100</f>
        <v>0.38610038610038427</v>
      </c>
      <c r="J7" s="1">
        <f>Table_an[[#This Row],[C8]]/Table_an[[#This Row],[Sum]]*100</f>
        <v>68.339768339768341</v>
      </c>
      <c r="K7" s="1">
        <f>Table_an[[#This Row],[C9]]/Table_an[[#This Row],[Sum]]*100</f>
        <v>4.6332046332046222</v>
      </c>
      <c r="L7" s="1">
        <f>Table_an[[#This Row],[C10]]/Table_an[[#This Row],[Sum]]*100</f>
        <v>0</v>
      </c>
      <c r="M7" s="1">
        <f>Table_an[[#This Row],[C11]]/Table_an[[#This Row],[Sum]]*100</f>
        <v>0</v>
      </c>
      <c r="N7" s="1">
        <f>Table_an[[#This Row],[C12]]/Table_an[[#This Row],[Sum]]*100</f>
        <v>0</v>
      </c>
      <c r="O7" s="1">
        <f>Table_an[[#This Row],[C13]]/Table_an[[#This Row],[Sum]]*100</f>
        <v>0</v>
      </c>
      <c r="P7" s="1">
        <f>Table_an[[#This Row],[C14]]/Table_an[[#This Row],[Sum]]*100</f>
        <v>15.444015444015449</v>
      </c>
      <c r="Q7" s="1">
        <f t="shared" si="0"/>
        <v>100</v>
      </c>
      <c r="R7" s="1">
        <f t="shared" si="1"/>
        <v>100</v>
      </c>
      <c r="T7" s="3">
        <v>60</v>
      </c>
      <c r="U7" s="1">
        <f>Table_an_n[[#This Row],[C0]]</f>
        <v>8.8803088803088812</v>
      </c>
      <c r="V7" s="1">
        <f>SUM(Table_an_n[[#This Row],[C1]:[C13]])</f>
        <v>75.675675675675663</v>
      </c>
      <c r="W7" s="1">
        <f>Table_an_n[[#This Row],[C14]]</f>
        <v>15.444015444015449</v>
      </c>
    </row>
    <row r="8" spans="1:25" x14ac:dyDescent="0.25">
      <c r="A8" s="2">
        <v>70</v>
      </c>
      <c r="B8" s="1">
        <f>Table_an[[#This Row],[C0]]/Table_an[[#This Row],[Sum]]*100</f>
        <v>7.6142131979695566</v>
      </c>
      <c r="C8" s="1">
        <f>Table_an[[#This Row],[C1]]/Table_an[[#This Row],[Sum]]*100</f>
        <v>1.5228426395939112</v>
      </c>
      <c r="D8" s="1">
        <f>Table_an[[#This Row],[C2]]/Table_an[[#This Row],[Sum]]*100</f>
        <v>0</v>
      </c>
      <c r="E8" s="1">
        <f>Table_an[[#This Row],[C3]]/Table_an[[#This Row],[Sum]]*100</f>
        <v>0</v>
      </c>
      <c r="F8" s="1">
        <f>Table_an[[#This Row],[C4]]/Table_an[[#This Row],[Sum]]*100</f>
        <v>0</v>
      </c>
      <c r="G8" s="1">
        <f>Table_an[[#This Row],[C5]]/Table_an[[#This Row],[Sum]]*100</f>
        <v>0</v>
      </c>
      <c r="H8" s="1">
        <f>Table_an[[#This Row],[C6]]/Table_an[[#This Row],[Sum]]*100</f>
        <v>0.5076142131979704</v>
      </c>
      <c r="I8" s="1">
        <f>Table_an[[#This Row],[C7]]/Table_an[[#This Row],[Sum]]*100</f>
        <v>0</v>
      </c>
      <c r="J8" s="1">
        <f>Table_an[[#This Row],[C8]]/Table_an[[#This Row],[Sum]]*100</f>
        <v>69.543147208121781</v>
      </c>
      <c r="K8" s="1">
        <f>Table_an[[#This Row],[C9]]/Table_an[[#This Row],[Sum]]*100</f>
        <v>4.5685279187817329</v>
      </c>
      <c r="L8" s="1">
        <f>Table_an[[#This Row],[C10]]/Table_an[[#This Row],[Sum]]*100</f>
        <v>0</v>
      </c>
      <c r="M8" s="1">
        <f>Table_an[[#This Row],[C11]]/Table_an[[#This Row],[Sum]]*100</f>
        <v>0</v>
      </c>
      <c r="N8" s="1">
        <f>Table_an[[#This Row],[C12]]/Table_an[[#This Row],[Sum]]*100</f>
        <v>0</v>
      </c>
      <c r="O8" s="1">
        <f>Table_an[[#This Row],[C13]]/Table_an[[#This Row],[Sum]]*100</f>
        <v>0</v>
      </c>
      <c r="P8" s="1">
        <f>Table_an[[#This Row],[C14]]/Table_an[[#This Row],[Sum]]*100</f>
        <v>16.243654822335053</v>
      </c>
      <c r="Q8" s="1">
        <f t="shared" si="0"/>
        <v>100</v>
      </c>
      <c r="R8" s="1">
        <f t="shared" si="1"/>
        <v>100</v>
      </c>
      <c r="T8" s="3">
        <v>70</v>
      </c>
      <c r="U8" s="1">
        <f>Table_an_n[[#This Row],[C0]]</f>
        <v>7.6142131979695566</v>
      </c>
      <c r="V8" s="1">
        <f>SUM(Table_an_n[[#This Row],[C1]:[C13]])</f>
        <v>76.142131979695392</v>
      </c>
      <c r="W8" s="1">
        <f>Table_an_n[[#This Row],[C14]]</f>
        <v>16.243654822335053</v>
      </c>
    </row>
    <row r="9" spans="1:25" x14ac:dyDescent="0.25">
      <c r="A9" s="2">
        <v>80</v>
      </c>
      <c r="B9" s="1">
        <f>Table_an[[#This Row],[C0]]/Table_an[[#This Row],[Sum]]*100</f>
        <v>6.153846153846156</v>
      </c>
      <c r="C9" s="1">
        <f>Table_an[[#This Row],[C1]]/Table_an[[#This Row],[Sum]]*100</f>
        <v>0.76923076923077083</v>
      </c>
      <c r="D9" s="1">
        <f>Table_an[[#This Row],[C2]]/Table_an[[#This Row],[Sum]]*100</f>
        <v>0</v>
      </c>
      <c r="E9" s="1">
        <f>Table_an[[#This Row],[C3]]/Table_an[[#This Row],[Sum]]*100</f>
        <v>0</v>
      </c>
      <c r="F9" s="1">
        <f>Table_an[[#This Row],[C4]]/Table_an[[#This Row],[Sum]]*100</f>
        <v>0</v>
      </c>
      <c r="G9" s="1">
        <f>Table_an[[#This Row],[C5]]/Table_an[[#This Row],[Sum]]*100</f>
        <v>0</v>
      </c>
      <c r="H9" s="1">
        <f>Table_an[[#This Row],[C6]]/Table_an[[#This Row],[Sum]]*100</f>
        <v>0.76923076923077083</v>
      </c>
      <c r="I9" s="1">
        <f>Table_an[[#This Row],[C7]]/Table_an[[#This Row],[Sum]]*100</f>
        <v>0</v>
      </c>
      <c r="J9" s="1">
        <f>Table_an[[#This Row],[C8]]/Table_an[[#This Row],[Sum]]*100</f>
        <v>71.538461538461533</v>
      </c>
      <c r="K9" s="1">
        <f>Table_an[[#This Row],[C9]]/Table_an[[#This Row],[Sum]]*100</f>
        <v>5.3846153846153548</v>
      </c>
      <c r="L9" s="1">
        <f>Table_an[[#This Row],[C10]]/Table_an[[#This Row],[Sum]]*100</f>
        <v>0</v>
      </c>
      <c r="M9" s="1">
        <f>Table_an[[#This Row],[C11]]/Table_an[[#This Row],[Sum]]*100</f>
        <v>0</v>
      </c>
      <c r="N9" s="1">
        <f>Table_an[[#This Row],[C12]]/Table_an[[#This Row],[Sum]]*100</f>
        <v>0</v>
      </c>
      <c r="O9" s="1">
        <f>Table_an[[#This Row],[C13]]/Table_an[[#This Row],[Sum]]*100</f>
        <v>0</v>
      </c>
      <c r="P9" s="1">
        <f>Table_an[[#This Row],[C14]]/Table_an[[#This Row],[Sum]]*100</f>
        <v>15.384615384615415</v>
      </c>
      <c r="Q9" s="1">
        <f t="shared" si="0"/>
        <v>100</v>
      </c>
      <c r="R9" s="1">
        <f t="shared" si="1"/>
        <v>100</v>
      </c>
      <c r="T9" s="3">
        <v>80</v>
      </c>
      <c r="U9" s="1">
        <f>Table_an_n[[#This Row],[C0]]</f>
        <v>6.153846153846156</v>
      </c>
      <c r="V9" s="1">
        <f>SUM(Table_an_n[[#This Row],[C1]:[C13]])</f>
        <v>78.461538461538439</v>
      </c>
      <c r="W9" s="1">
        <f>Table_an_n[[#This Row],[C14]]</f>
        <v>15.384615384615415</v>
      </c>
    </row>
    <row r="10" spans="1:25" x14ac:dyDescent="0.25">
      <c r="A10" s="2">
        <v>90</v>
      </c>
      <c r="B10" s="1">
        <f>Table_an[[#This Row],[C0]]/Table_an[[#This Row],[Sum]]*100</f>
        <v>6.557377049180328</v>
      </c>
      <c r="C10" s="1">
        <f>Table_an[[#This Row],[C1]]/Table_an[[#This Row],[Sum]]*100</f>
        <v>1.6393442622950793</v>
      </c>
      <c r="D10" s="1">
        <f>Table_an[[#This Row],[C2]]/Table_an[[#This Row],[Sum]]*100</f>
        <v>0</v>
      </c>
      <c r="E10" s="1">
        <f>Table_an[[#This Row],[C3]]/Table_an[[#This Row],[Sum]]*100</f>
        <v>0</v>
      </c>
      <c r="F10" s="1">
        <f>Table_an[[#This Row],[C4]]/Table_an[[#This Row],[Sum]]*100</f>
        <v>0</v>
      </c>
      <c r="G10" s="1">
        <f>Table_an[[#This Row],[C5]]/Table_an[[#This Row],[Sum]]*100</f>
        <v>0</v>
      </c>
      <c r="H10" s="1">
        <f>Table_an[[#This Row],[C6]]/Table_an[[#This Row],[Sum]]*100</f>
        <v>0</v>
      </c>
      <c r="I10" s="1">
        <f>Table_an[[#This Row],[C7]]/Table_an[[#This Row],[Sum]]*100</f>
        <v>0</v>
      </c>
      <c r="J10" s="1">
        <f>Table_an[[#This Row],[C8]]/Table_an[[#This Row],[Sum]]*100</f>
        <v>68.852459016393468</v>
      </c>
      <c r="K10" s="1">
        <f>Table_an[[#This Row],[C9]]/Table_an[[#This Row],[Sum]]*100</f>
        <v>4.9180327868852487</v>
      </c>
      <c r="L10" s="1">
        <f>Table_an[[#This Row],[C10]]/Table_an[[#This Row],[Sum]]*100</f>
        <v>0</v>
      </c>
      <c r="M10" s="1">
        <f>Table_an[[#This Row],[C11]]/Table_an[[#This Row],[Sum]]*100</f>
        <v>0</v>
      </c>
      <c r="N10" s="1">
        <f>Table_an[[#This Row],[C12]]/Table_an[[#This Row],[Sum]]*100</f>
        <v>0</v>
      </c>
      <c r="O10" s="1">
        <f>Table_an[[#This Row],[C13]]/Table_an[[#This Row],[Sum]]*100</f>
        <v>0</v>
      </c>
      <c r="P10" s="1">
        <f>Table_an[[#This Row],[C14]]/Table_an[[#This Row],[Sum]]*100</f>
        <v>18.032786885245883</v>
      </c>
      <c r="Q10" s="1">
        <f t="shared" si="0"/>
        <v>100</v>
      </c>
      <c r="R10" s="1">
        <f t="shared" si="1"/>
        <v>100</v>
      </c>
      <c r="T10" s="3">
        <v>90</v>
      </c>
      <c r="U10" s="1">
        <f>Table_an_n[[#This Row],[C0]]</f>
        <v>6.557377049180328</v>
      </c>
      <c r="V10" s="1">
        <f>SUM(Table_an_n[[#This Row],[C1]:[C13]])</f>
        <v>75.409836065573799</v>
      </c>
      <c r="W10" s="1">
        <f>Table_an_n[[#This Row],[C14]]</f>
        <v>18.032786885245883</v>
      </c>
    </row>
    <row r="11" spans="1:25" x14ac:dyDescent="0.25">
      <c r="A11" s="2" t="s">
        <v>19</v>
      </c>
      <c r="B11" s="1">
        <f>SUBTOTAL(101,Table_an_n[C0])</f>
        <v>17.603602185830816</v>
      </c>
      <c r="C11" s="1">
        <f>SUBTOTAL(101,Table_an_n[C1])</f>
        <v>1.189993698835152</v>
      </c>
      <c r="D11" s="1">
        <f>SUBTOTAL(101,Table_an_n[C2])</f>
        <v>0.25198125835818591</v>
      </c>
      <c r="E11" s="1">
        <f>SUBTOTAL(101,Table_an_n[C3])</f>
        <v>0</v>
      </c>
      <c r="F11" s="1">
        <f>SUBTOTAL(101,Table_an_n[C4])</f>
        <v>0</v>
      </c>
      <c r="G11" s="1">
        <f>SUBTOTAL(101,Table_an_n[C5])</f>
        <v>1.476301132290601</v>
      </c>
      <c r="H11" s="1">
        <f>SUBTOTAL(101,Table_an_n[C6])</f>
        <v>0.45920358631489372</v>
      </c>
      <c r="I11" s="1">
        <f>SUBTOTAL(101,Table_an_n[C7])</f>
        <v>1.1341998758112433</v>
      </c>
      <c r="J11" s="1">
        <f>SUBTOTAL(101,Table_an_n[C8])</f>
        <v>61.654777608828709</v>
      </c>
      <c r="K11" s="1">
        <f>SUBTOTAL(101,Table_an_n[C9])</f>
        <v>3.9127263696475461</v>
      </c>
      <c r="L11" s="1">
        <f>SUBTOTAL(101,Table_an_n[C10])</f>
        <v>0</v>
      </c>
      <c r="M11" s="1">
        <f>SUBTOTAL(101,Table_an_n[C11])</f>
        <v>0</v>
      </c>
      <c r="N11" s="1">
        <f>SUBTOTAL(101,Table_an_n[C12])</f>
        <v>0</v>
      </c>
      <c r="O11" s="1">
        <f>SUBTOTAL(101,Table_an_n[C13])</f>
        <v>0</v>
      </c>
      <c r="P11" s="1">
        <f>SUBTOTAL(101,Table_an_n[C14])</f>
        <v>12.317214284082869</v>
      </c>
      <c r="R11" s="1"/>
      <c r="T11" s="3" t="s">
        <v>19</v>
      </c>
      <c r="U11" s="1">
        <f>SUBTOTAL(101,Table4[Not Classified Classes (%)])</f>
        <v>17.603602185830816</v>
      </c>
      <c r="V11" s="1">
        <f>SUBTOTAL(101,Table4[Partially Classified Classes (%)])</f>
        <v>70.079183530086326</v>
      </c>
      <c r="W11" s="1">
        <f>SUBTOTAL(101,Table4[Totally Classified Classes (%)])</f>
        <v>12.317214284082869</v>
      </c>
    </row>
    <row r="13" spans="1:25" x14ac:dyDescent="0.25">
      <c r="B13" s="1"/>
      <c r="C13" s="1"/>
      <c r="D13" s="1"/>
      <c r="E13" s="1"/>
      <c r="F13" s="1"/>
      <c r="G13" s="1"/>
      <c r="H13" s="1"/>
      <c r="T13" t="s">
        <v>17</v>
      </c>
      <c r="U13" t="s">
        <v>20</v>
      </c>
      <c r="V13" t="s">
        <v>21</v>
      </c>
      <c r="W13" t="s">
        <v>22</v>
      </c>
    </row>
    <row r="14" spans="1:25" x14ac:dyDescent="0.25">
      <c r="T14" s="4" t="s">
        <v>23</v>
      </c>
      <c r="U14" s="5">
        <v>-0.97799999999999998</v>
      </c>
      <c r="V14" s="5">
        <v>0.97250000000000003</v>
      </c>
      <c r="W14" s="5">
        <v>0.99519999999999997</v>
      </c>
      <c r="Y14" t="s">
        <v>24</v>
      </c>
    </row>
    <row r="15" spans="1:25" x14ac:dyDescent="0.25">
      <c r="T15" s="4" t="s">
        <v>25</v>
      </c>
      <c r="U15" s="5">
        <v>0.95650000000000002</v>
      </c>
      <c r="V15" s="5">
        <v>0.94579999999999997</v>
      </c>
      <c r="W15" s="5">
        <v>0.99039999999999995</v>
      </c>
      <c r="Y15" t="s">
        <v>26</v>
      </c>
    </row>
    <row r="29" spans="21:21" x14ac:dyDescent="0.25">
      <c r="U29">
        <f>25.65/7.97</f>
        <v>3.21831869510665</v>
      </c>
    </row>
  </sheetData>
  <conditionalFormatting sqref="B2:P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W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ellIs" dxfId="4" priority="1" operator="equal">
      <formula>0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9412-CABD-4AB6-80BF-60867CF1E393}">
  <sheetPr>
    <tabColor theme="4"/>
  </sheetPr>
  <dimension ref="A1:R11"/>
  <sheetViews>
    <sheetView workbookViewId="0">
      <selection activeCell="B2" sqref="B2:P10"/>
    </sheetView>
  </sheetViews>
  <sheetFormatPr defaultRowHeight="15" x14ac:dyDescent="0.25"/>
  <cols>
    <col min="1" max="18" width="8.7109375" customWidth="1"/>
  </cols>
  <sheetData>
    <row r="1" spans="1:18" x14ac:dyDescent="0.25">
      <c r="A1" t="s">
        <v>17</v>
      </c>
      <c r="B1" t="s">
        <v>16</v>
      </c>
      <c r="C1" t="s">
        <v>15</v>
      </c>
      <c r="D1" t="s">
        <v>14</v>
      </c>
      <c r="E1" t="s">
        <v>13</v>
      </c>
      <c r="F1" t="s">
        <v>12</v>
      </c>
      <c r="G1" t="s">
        <v>11</v>
      </c>
      <c r="H1" t="s">
        <v>10</v>
      </c>
      <c r="I1" t="s">
        <v>9</v>
      </c>
      <c r="J1" t="s">
        <v>8</v>
      </c>
      <c r="K1" t="s">
        <v>7</v>
      </c>
      <c r="L1" t="s">
        <v>6</v>
      </c>
      <c r="M1" t="s">
        <v>5</v>
      </c>
      <c r="N1" t="s">
        <v>4</v>
      </c>
      <c r="O1" t="s">
        <v>3</v>
      </c>
      <c r="P1" t="s">
        <v>2</v>
      </c>
      <c r="Q1" t="s">
        <v>1</v>
      </c>
      <c r="R1" t="s">
        <v>0</v>
      </c>
    </row>
    <row r="2" spans="1:18" x14ac:dyDescent="0.25">
      <c r="A2" s="2">
        <v>10</v>
      </c>
      <c r="B2" s="1">
        <v>9.7674418604651106E-2</v>
      </c>
      <c r="C2" s="1">
        <v>0</v>
      </c>
      <c r="D2" s="1">
        <v>0.334883720930232</v>
      </c>
      <c r="E2" s="1">
        <v>0</v>
      </c>
      <c r="F2" s="1">
        <v>0</v>
      </c>
      <c r="G2" s="1">
        <v>3.8759689922480599E-2</v>
      </c>
      <c r="H2" s="1">
        <v>7.7519379844961196E-3</v>
      </c>
      <c r="I2" s="1">
        <v>2.3255813953488299E-2</v>
      </c>
      <c r="J2" s="1">
        <v>0.32093023255813902</v>
      </c>
      <c r="K2" s="1">
        <v>3.25581395348837E-2</v>
      </c>
      <c r="L2" s="1">
        <v>0</v>
      </c>
      <c r="M2" s="1">
        <v>0</v>
      </c>
      <c r="N2" s="1">
        <v>0</v>
      </c>
      <c r="O2" s="1">
        <v>0</v>
      </c>
      <c r="P2" s="1">
        <v>4.6511627906976702E-2</v>
      </c>
      <c r="Q2" s="1">
        <f>SUM(Table_ac[[#This Row],[C0]:[C14]])</f>
        <v>0.90232558139534758</v>
      </c>
      <c r="R2" s="1">
        <f>ROUND(Table_ac[[#This Row],[Sum]],0)</f>
        <v>1</v>
      </c>
    </row>
    <row r="3" spans="1:18" x14ac:dyDescent="0.25">
      <c r="A3" s="2">
        <v>20</v>
      </c>
      <c r="B3" s="1">
        <v>4.7095761381475601E-2</v>
      </c>
      <c r="C3" s="1">
        <v>1.56985871271585E-3</v>
      </c>
      <c r="D3" s="1">
        <v>0.18995290423861799</v>
      </c>
      <c r="E3" s="1">
        <v>0</v>
      </c>
      <c r="F3" s="1">
        <v>0</v>
      </c>
      <c r="G3" s="1">
        <v>3.1397174254317102E-2</v>
      </c>
      <c r="H3" s="1">
        <v>9.4191522762951292E-3</v>
      </c>
      <c r="I3" s="1">
        <v>2.35478806907378E-2</v>
      </c>
      <c r="J3" s="1">
        <v>0.39246467817896302</v>
      </c>
      <c r="K3" s="1">
        <v>4.08163265306122E-2</v>
      </c>
      <c r="L3" s="1">
        <v>0</v>
      </c>
      <c r="M3" s="1">
        <v>0</v>
      </c>
      <c r="N3" s="1">
        <v>0</v>
      </c>
      <c r="O3" s="1">
        <v>0</v>
      </c>
      <c r="P3" s="1">
        <v>6.436420722135E-2</v>
      </c>
      <c r="Q3" s="1">
        <f>SUM(Table_ac[[#This Row],[C0]:[C14]])</f>
        <v>0.8006279434850847</v>
      </c>
      <c r="R3" s="1">
        <f>ROUND(Table_ac[[#This Row],[Sum]],0)</f>
        <v>1</v>
      </c>
    </row>
    <row r="4" spans="1:18" x14ac:dyDescent="0.25">
      <c r="A4" s="2">
        <v>30</v>
      </c>
      <c r="B4" s="1">
        <v>2.3961661341852999E-2</v>
      </c>
      <c r="C4" s="1">
        <v>1.5974440894568601E-3</v>
      </c>
      <c r="D4" s="1">
        <v>0.10702875399361</v>
      </c>
      <c r="E4" s="1">
        <v>0</v>
      </c>
      <c r="F4" s="1">
        <v>0</v>
      </c>
      <c r="G4" s="1">
        <v>1.7571884984025499E-2</v>
      </c>
      <c r="H4" s="1">
        <v>9.5846645367412102E-3</v>
      </c>
      <c r="I4" s="1">
        <v>2.2364217252396099E-2</v>
      </c>
      <c r="J4" s="1">
        <v>0.396166134185303</v>
      </c>
      <c r="K4" s="1">
        <v>4.4728434504792303E-2</v>
      </c>
      <c r="L4" s="1">
        <v>0</v>
      </c>
      <c r="M4" s="1">
        <v>0</v>
      </c>
      <c r="N4" s="1">
        <v>0</v>
      </c>
      <c r="O4" s="1">
        <v>0</v>
      </c>
      <c r="P4" s="1">
        <v>7.8274760383386502E-2</v>
      </c>
      <c r="Q4" s="1">
        <f>SUM(Table_ac[[#This Row],[C0]:[C14]])</f>
        <v>0.70127795527156456</v>
      </c>
      <c r="R4" s="1">
        <f>ROUND(Table_ac[[#This Row],[Sum]],0)</f>
        <v>1</v>
      </c>
    </row>
    <row r="5" spans="1:18" x14ac:dyDescent="0.25">
      <c r="A5" s="2">
        <v>40</v>
      </c>
      <c r="B5" s="1">
        <v>8.0645161290322492E-3</v>
      </c>
      <c r="C5" s="1">
        <v>1.6129032258064501E-3</v>
      </c>
      <c r="D5" s="1">
        <v>6.6129032258064505E-2</v>
      </c>
      <c r="E5" s="1">
        <v>0</v>
      </c>
      <c r="F5" s="1">
        <v>0</v>
      </c>
      <c r="G5" s="1">
        <v>9.6774193548387101E-3</v>
      </c>
      <c r="H5" s="1">
        <v>6.4516129032258004E-3</v>
      </c>
      <c r="I5" s="1">
        <v>1.2903225806451601E-2</v>
      </c>
      <c r="J5" s="1">
        <v>0.36774193548387002</v>
      </c>
      <c r="K5" s="1">
        <v>4.5161290322580601E-2</v>
      </c>
      <c r="L5" s="1">
        <v>0</v>
      </c>
      <c r="M5" s="1">
        <v>0</v>
      </c>
      <c r="N5" s="1">
        <v>0</v>
      </c>
      <c r="O5" s="1">
        <v>0</v>
      </c>
      <c r="P5" s="1">
        <v>8.3870967741935407E-2</v>
      </c>
      <c r="Q5" s="1">
        <f>SUM(Table_ac[[#This Row],[C0]:[C14]])</f>
        <v>0.6016129032258053</v>
      </c>
      <c r="R5" s="1">
        <f>ROUND(Table_ac[[#This Row],[Sum]],0)</f>
        <v>1</v>
      </c>
    </row>
    <row r="6" spans="1:18" x14ac:dyDescent="0.25">
      <c r="A6" s="2">
        <v>50</v>
      </c>
      <c r="B6" s="1">
        <v>3.24675324675324E-3</v>
      </c>
      <c r="C6" s="1">
        <v>0</v>
      </c>
      <c r="D6" s="1">
        <v>4.2207792207792201E-2</v>
      </c>
      <c r="E6" s="1">
        <v>0</v>
      </c>
      <c r="F6" s="1">
        <v>0</v>
      </c>
      <c r="G6" s="1">
        <v>4.87012987012987E-3</v>
      </c>
      <c r="H6" s="1">
        <v>4.87012987012987E-3</v>
      </c>
      <c r="I6" s="1">
        <v>6.4935064935064896E-3</v>
      </c>
      <c r="J6" s="1">
        <v>0.31493506493506401</v>
      </c>
      <c r="K6" s="1">
        <v>4.54545454545454E-2</v>
      </c>
      <c r="L6" s="1">
        <v>0</v>
      </c>
      <c r="M6" s="1">
        <v>0</v>
      </c>
      <c r="N6" s="1">
        <v>0</v>
      </c>
      <c r="O6" s="1">
        <v>0</v>
      </c>
      <c r="P6" s="1">
        <v>7.4675324675324603E-2</v>
      </c>
      <c r="Q6" s="1">
        <f>SUM(Table_ac[[#This Row],[C0]:[C14]])</f>
        <v>0.49675324675324573</v>
      </c>
      <c r="R6" s="1">
        <f>ROUND(Table_ac[[#This Row],[Sum]],0)</f>
        <v>0</v>
      </c>
    </row>
    <row r="7" spans="1:18" x14ac:dyDescent="0.25">
      <c r="A7" s="2">
        <v>60</v>
      </c>
      <c r="B7" s="1">
        <v>0</v>
      </c>
      <c r="C7" s="1">
        <v>0</v>
      </c>
      <c r="D7" s="1">
        <v>2.4711696869851699E-2</v>
      </c>
      <c r="E7" s="1">
        <v>0</v>
      </c>
      <c r="F7" s="1">
        <v>0</v>
      </c>
      <c r="G7" s="1">
        <v>0</v>
      </c>
      <c r="H7" s="1">
        <v>1.6474464579901099E-3</v>
      </c>
      <c r="I7" s="1">
        <v>3.2948929159802298E-3</v>
      </c>
      <c r="J7" s="1">
        <v>0.25041186161449702</v>
      </c>
      <c r="K7" s="1">
        <v>4.2833607907743002E-2</v>
      </c>
      <c r="L7" s="1">
        <v>0</v>
      </c>
      <c r="M7" s="1">
        <v>0</v>
      </c>
      <c r="N7" s="1">
        <v>0</v>
      </c>
      <c r="O7" s="1">
        <v>0</v>
      </c>
      <c r="P7" s="1">
        <v>6.7545304777594697E-2</v>
      </c>
      <c r="Q7" s="1">
        <f>SUM(Table_ac[[#This Row],[C0]:[C14]])</f>
        <v>0.39044481054365671</v>
      </c>
      <c r="R7" s="1">
        <f>ROUND(Table_ac[[#This Row],[Sum]],0)</f>
        <v>0</v>
      </c>
    </row>
    <row r="8" spans="1:18" x14ac:dyDescent="0.25">
      <c r="A8" s="2">
        <v>70</v>
      </c>
      <c r="B8" s="1">
        <v>0</v>
      </c>
      <c r="C8" s="1">
        <v>0</v>
      </c>
      <c r="D8" s="1">
        <v>1.8333333333333299E-2</v>
      </c>
      <c r="E8" s="1">
        <v>0</v>
      </c>
      <c r="F8" s="1">
        <v>0</v>
      </c>
      <c r="G8" s="1">
        <v>0</v>
      </c>
      <c r="H8" s="1">
        <v>1.6666666666666601E-3</v>
      </c>
      <c r="I8" s="1">
        <v>0</v>
      </c>
      <c r="J8" s="1">
        <v>0.181666666666666</v>
      </c>
      <c r="K8" s="1">
        <v>3.8333333333333303E-2</v>
      </c>
      <c r="L8" s="1">
        <v>0</v>
      </c>
      <c r="M8" s="1">
        <v>0</v>
      </c>
      <c r="N8" s="1">
        <v>0</v>
      </c>
      <c r="O8" s="1">
        <v>0</v>
      </c>
      <c r="P8" s="1">
        <v>5.5E-2</v>
      </c>
      <c r="Q8" s="1">
        <f>SUM(Table_ac[[#This Row],[C0]:[C14]])</f>
        <v>0.29499999999999926</v>
      </c>
      <c r="R8" s="1">
        <f>ROUND(Table_ac[[#This Row],[Sum]],0)</f>
        <v>0</v>
      </c>
    </row>
    <row r="9" spans="1:18" x14ac:dyDescent="0.25">
      <c r="A9" s="2">
        <v>80</v>
      </c>
      <c r="B9" s="1">
        <v>0</v>
      </c>
      <c r="C9" s="1">
        <v>0</v>
      </c>
      <c r="D9" s="1">
        <v>8.3752093802344999E-3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0.110552763819095</v>
      </c>
      <c r="K9" s="1">
        <v>3.8525963149078697E-2</v>
      </c>
      <c r="L9" s="1">
        <v>0</v>
      </c>
      <c r="M9" s="1">
        <v>0</v>
      </c>
      <c r="N9" s="1">
        <v>0</v>
      </c>
      <c r="O9" s="1">
        <v>0</v>
      </c>
      <c r="P9" s="1">
        <v>3.68509212730318E-2</v>
      </c>
      <c r="Q9" s="1">
        <f>SUM(Table_ac[[#This Row],[C0]:[C14]])</f>
        <v>0.19430485762144001</v>
      </c>
      <c r="R9" s="1">
        <f>ROUND(Table_ac[[#This Row],[Sum]],0)</f>
        <v>0</v>
      </c>
    </row>
    <row r="10" spans="1:18" x14ac:dyDescent="0.25">
      <c r="A10" s="2">
        <v>90</v>
      </c>
      <c r="B10" s="1">
        <v>0</v>
      </c>
      <c r="C10" s="1">
        <v>0</v>
      </c>
      <c r="D10" s="1">
        <v>3.3840947546531302E-3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2.8764805414551599E-2</v>
      </c>
      <c r="K10" s="1">
        <v>4.0609137055837498E-2</v>
      </c>
      <c r="L10" s="1">
        <v>0</v>
      </c>
      <c r="M10" s="1">
        <v>0</v>
      </c>
      <c r="N10" s="1">
        <v>0</v>
      </c>
      <c r="O10" s="1">
        <v>0</v>
      </c>
      <c r="P10" s="1">
        <v>1.8612521150592198E-2</v>
      </c>
      <c r="Q10" s="1">
        <f>SUM(Table_ac[[#This Row],[C0]:[C14]])</f>
        <v>9.1370558375634431E-2</v>
      </c>
      <c r="R10" s="1">
        <f>ROUND(Table_ac[[#This Row],[Sum]],0)</f>
        <v>0</v>
      </c>
    </row>
    <row r="11" spans="1:18" x14ac:dyDescent="0.25">
      <c r="A11" s="2" t="s">
        <v>18</v>
      </c>
      <c r="B11" s="1">
        <f>SUBTOTAL(101,Table_ac[C0])</f>
        <v>2.0004790078196132E-2</v>
      </c>
      <c r="C11" s="1">
        <f>SUBTOTAL(101,Table_ac[C1])</f>
        <v>5.3113400310879561E-4</v>
      </c>
      <c r="D11" s="1">
        <f>SUBTOTAL(101,Table_ac[C2])</f>
        <v>8.833405977404328E-2</v>
      </c>
      <c r="E11" s="1">
        <f>SUBTOTAL(101,Table_ac[C3])</f>
        <v>0</v>
      </c>
      <c r="F11" s="1">
        <f>SUBTOTAL(101,Table_ac[C4])</f>
        <v>0</v>
      </c>
      <c r="G11" s="1">
        <f>SUBTOTAL(101,Table_ac[C5])</f>
        <v>1.1364033153976863E-2</v>
      </c>
      <c r="H11" s="1">
        <f>SUBTOTAL(101,Table_ac[C6])</f>
        <v>4.5990678550605442E-3</v>
      </c>
      <c r="I11" s="1">
        <f>SUBTOTAL(101,Table_ac[C7])</f>
        <v>1.0206615234728947E-2</v>
      </c>
      <c r="J11" s="1">
        <f>SUBTOTAL(101,Table_ac[C8])</f>
        <v>0.26262601587290546</v>
      </c>
      <c r="K11" s="1">
        <f>SUBTOTAL(101,Table_ac[C9])</f>
        <v>4.1002308643711856E-2</v>
      </c>
      <c r="L11" s="1">
        <f>SUBTOTAL(101,Table_ac[C10])</f>
        <v>0</v>
      </c>
      <c r="M11" s="1">
        <f>SUBTOTAL(101,Table_ac[C11])</f>
        <v>0</v>
      </c>
      <c r="N11" s="1">
        <f>SUBTOTAL(101,Table_ac[C12])</f>
        <v>0</v>
      </c>
      <c r="O11" s="1">
        <f>SUBTOTAL(101,Table_ac[C13])</f>
        <v>0</v>
      </c>
      <c r="P11" s="1">
        <f>SUBTOTAL(101,Table_ac[C14])</f>
        <v>5.8411737236687994E-2</v>
      </c>
      <c r="R11" s="1"/>
    </row>
  </sheetData>
  <conditionalFormatting sqref="B2:P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P11">
    <cfRule type="cellIs" dxfId="3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A5CF5-9E74-4608-AA23-B6FFC70A1D1A}">
  <sheetPr>
    <tabColor theme="5"/>
  </sheetPr>
  <dimension ref="A1:W15"/>
  <sheetViews>
    <sheetView workbookViewId="0">
      <selection activeCell="J10" sqref="J10"/>
    </sheetView>
  </sheetViews>
  <sheetFormatPr defaultRowHeight="15" x14ac:dyDescent="0.25"/>
  <cols>
    <col min="1" max="18" width="8.7109375" customWidth="1"/>
    <col min="20" max="20" width="10.7109375" customWidth="1"/>
    <col min="21" max="23" width="15.7109375" customWidth="1"/>
  </cols>
  <sheetData>
    <row r="1" spans="1:23" x14ac:dyDescent="0.25">
      <c r="A1" t="s">
        <v>17</v>
      </c>
      <c r="B1" t="s">
        <v>16</v>
      </c>
      <c r="C1" t="s">
        <v>15</v>
      </c>
      <c r="D1" t="s">
        <v>14</v>
      </c>
      <c r="E1" t="s">
        <v>13</v>
      </c>
      <c r="F1" t="s">
        <v>12</v>
      </c>
      <c r="G1" t="s">
        <v>11</v>
      </c>
      <c r="H1" t="s">
        <v>10</v>
      </c>
      <c r="I1" t="s">
        <v>9</v>
      </c>
      <c r="J1" t="s">
        <v>8</v>
      </c>
      <c r="K1" t="s">
        <v>7</v>
      </c>
      <c r="L1" t="s">
        <v>6</v>
      </c>
      <c r="M1" t="s">
        <v>5</v>
      </c>
      <c r="N1" t="s">
        <v>4</v>
      </c>
      <c r="O1" t="s">
        <v>3</v>
      </c>
      <c r="P1" t="s">
        <v>2</v>
      </c>
      <c r="Q1" t="s">
        <v>1</v>
      </c>
      <c r="R1" t="s">
        <v>0</v>
      </c>
      <c r="T1" t="s">
        <v>17</v>
      </c>
      <c r="U1" t="s">
        <v>20</v>
      </c>
      <c r="V1" t="s">
        <v>21</v>
      </c>
      <c r="W1" t="s">
        <v>22</v>
      </c>
    </row>
    <row r="2" spans="1:23" x14ac:dyDescent="0.25">
      <c r="A2" s="2">
        <v>10</v>
      </c>
      <c r="B2" s="1">
        <f>Table_ac[[#This Row],[C0]]/Table_ac[[#This Row],[Sum]]*100</f>
        <v>10.824742268041247</v>
      </c>
      <c r="C2" s="1">
        <f>Table_ac[[#This Row],[C1]]/Table_ac[[#This Row],[Sum]]*100</f>
        <v>0</v>
      </c>
      <c r="D2" s="1">
        <f>Table_ac[[#This Row],[C2]]/Table_ac[[#This Row],[Sum]]*100</f>
        <v>37.113402061855659</v>
      </c>
      <c r="E2" s="1">
        <f>Table_ac[[#This Row],[C3]]/Table_ac[[#This Row],[Sum]]*100</f>
        <v>0</v>
      </c>
      <c r="F2" s="1">
        <f>Table_ac[[#This Row],[C4]]/Table_ac[[#This Row],[Sum]]*100</f>
        <v>0</v>
      </c>
      <c r="G2" s="1">
        <f>Table_ac[[#This Row],[C5]]/Table_ac[[#This Row],[Sum]]*100</f>
        <v>4.2955326460481134</v>
      </c>
      <c r="H2" s="1">
        <f>Table_ac[[#This Row],[C6]]/Table_ac[[#This Row],[Sum]]*100</f>
        <v>0.85910652920962272</v>
      </c>
      <c r="I2" s="1">
        <f>Table_ac[[#This Row],[C7]]/Table_ac[[#This Row],[Sum]]*100</f>
        <v>2.5773195876288613</v>
      </c>
      <c r="J2" s="1">
        <f>Table_ac[[#This Row],[C8]]/Table_ac[[#This Row],[Sum]]*100</f>
        <v>35.567010309278338</v>
      </c>
      <c r="K2" s="1">
        <f>Table_ac[[#This Row],[C9]]/Table_ac[[#This Row],[Sum]]*100</f>
        <v>3.6082474226804147</v>
      </c>
      <c r="L2" s="1">
        <f>Table_ac[[#This Row],[C10]]/Table_ac[[#This Row],[Sum]]*100</f>
        <v>0</v>
      </c>
      <c r="M2" s="1">
        <f>Table_ac[[#This Row],[C11]]/Table_ac[[#This Row],[Sum]]*100</f>
        <v>0</v>
      </c>
      <c r="N2" s="1">
        <f>Table_ac[[#This Row],[C12]]/Table_ac[[#This Row],[Sum]]*100</f>
        <v>0</v>
      </c>
      <c r="O2" s="1">
        <f>Table_ac[[#This Row],[C13]]/Table_ac[[#This Row],[Sum]]*100</f>
        <v>0</v>
      </c>
      <c r="P2" s="1">
        <f>Table_ac[[#This Row],[C14]]/Table_ac[[#This Row],[Sum]]*100</f>
        <v>5.1546391752577341</v>
      </c>
      <c r="Q2" s="1">
        <f>SUM(Table_ac_n[[#This Row],[C0]:[C14]])</f>
        <v>100</v>
      </c>
      <c r="R2" s="1">
        <f>ROUND(Table_ac_n[[#This Row],[Sum]],0)</f>
        <v>100</v>
      </c>
      <c r="T2" s="3">
        <v>10</v>
      </c>
      <c r="U2" s="1">
        <f>Table_ac_n[[#This Row],[C0]]</f>
        <v>10.824742268041247</v>
      </c>
      <c r="V2" s="1">
        <f>SUM(Table_ac_n[[#This Row],[C1]:[C13]])</f>
        <v>84.020618556701024</v>
      </c>
      <c r="W2" s="1">
        <f>Table_ac_n[[#This Row],[C14]]</f>
        <v>5.1546391752577341</v>
      </c>
    </row>
    <row r="3" spans="1:23" x14ac:dyDescent="0.25">
      <c r="A3" s="2">
        <v>20</v>
      </c>
      <c r="B3" s="1">
        <f>Table_ac[[#This Row],[C0]]/Table_ac[[#This Row],[Sum]]*100</f>
        <v>5.8823529411764746</v>
      </c>
      <c r="C3" s="1">
        <f>Table_ac[[#This Row],[C1]]/Table_ac[[#This Row],[Sum]]*100</f>
        <v>0.19607843137254871</v>
      </c>
      <c r="D3" s="1">
        <f>Table_ac[[#This Row],[C2]]/Table_ac[[#This Row],[Sum]]*100</f>
        <v>23.725490196078415</v>
      </c>
      <c r="E3" s="1">
        <f>Table_ac[[#This Row],[C3]]/Table_ac[[#This Row],[Sum]]*100</f>
        <v>0</v>
      </c>
      <c r="F3" s="1">
        <f>Table_ac[[#This Row],[C4]]/Table_ac[[#This Row],[Sum]]*100</f>
        <v>0</v>
      </c>
      <c r="G3" s="1">
        <f>Table_ac[[#This Row],[C5]]/Table_ac[[#This Row],[Sum]]*100</f>
        <v>3.9215686274509873</v>
      </c>
      <c r="H3" s="1">
        <f>Table_ac[[#This Row],[C6]]/Table_ac[[#This Row],[Sum]]*100</f>
        <v>1.1764705882352959</v>
      </c>
      <c r="I3" s="1">
        <f>Table_ac[[#This Row],[C7]]/Table_ac[[#This Row],[Sum]]*100</f>
        <v>2.9411764705882373</v>
      </c>
      <c r="J3" s="1">
        <f>Table_ac[[#This Row],[C8]]/Table_ac[[#This Row],[Sum]]*100</f>
        <v>49.019607843137244</v>
      </c>
      <c r="K3" s="1">
        <f>Table_ac[[#This Row],[C9]]/Table_ac[[#This Row],[Sum]]*100</f>
        <v>5.0980392156862795</v>
      </c>
      <c r="L3" s="1">
        <f>Table_ac[[#This Row],[C10]]/Table_ac[[#This Row],[Sum]]*100</f>
        <v>0</v>
      </c>
      <c r="M3" s="1">
        <f>Table_ac[[#This Row],[C11]]/Table_ac[[#This Row],[Sum]]*100</f>
        <v>0</v>
      </c>
      <c r="N3" s="1">
        <f>Table_ac[[#This Row],[C12]]/Table_ac[[#This Row],[Sum]]*100</f>
        <v>0</v>
      </c>
      <c r="O3" s="1">
        <f>Table_ac[[#This Row],[C13]]/Table_ac[[#This Row],[Sum]]*100</f>
        <v>0</v>
      </c>
      <c r="P3" s="1">
        <f>Table_ac[[#This Row],[C14]]/Table_ac[[#This Row],[Sum]]*100</f>
        <v>8.0392156862745168</v>
      </c>
      <c r="Q3" s="1">
        <f>SUM(Table_ac_n[[#This Row],[C0]:[C14]])</f>
        <v>100</v>
      </c>
      <c r="R3" s="1">
        <f>ROUND(Table_ac_n[[#This Row],[Sum]],0)</f>
        <v>100</v>
      </c>
      <c r="T3" s="3">
        <v>20</v>
      </c>
      <c r="U3" s="1">
        <f>Table_ac_n[[#This Row],[C0]]</f>
        <v>5.8823529411764746</v>
      </c>
      <c r="V3" s="1">
        <f>SUM(Table_ac_n[[#This Row],[C1]:[C13]])</f>
        <v>86.078431372549019</v>
      </c>
      <c r="W3" s="1">
        <f>Table_ac_n[[#This Row],[C14]]</f>
        <v>8.0392156862745168</v>
      </c>
    </row>
    <row r="4" spans="1:23" x14ac:dyDescent="0.25">
      <c r="A4" s="2">
        <v>30</v>
      </c>
      <c r="B4" s="1">
        <f>Table_ac[[#This Row],[C0]]/Table_ac[[#This Row],[Sum]]*100</f>
        <v>3.4168564920273341</v>
      </c>
      <c r="C4" s="1">
        <f>Table_ac[[#This Row],[C1]]/Table_ac[[#This Row],[Sum]]*100</f>
        <v>0.22779043280182135</v>
      </c>
      <c r="D4" s="1">
        <f>Table_ac[[#This Row],[C2]]/Table_ac[[#This Row],[Sum]]*100</f>
        <v>15.261958997722086</v>
      </c>
      <c r="E4" s="1">
        <f>Table_ac[[#This Row],[C3]]/Table_ac[[#This Row],[Sum]]*100</f>
        <v>0</v>
      </c>
      <c r="F4" s="1">
        <f>Table_ac[[#This Row],[C4]]/Table_ac[[#This Row],[Sum]]*100</f>
        <v>0</v>
      </c>
      <c r="G4" s="1">
        <f>Table_ac[[#This Row],[C5]]/Table_ac[[#This Row],[Sum]]*100</f>
        <v>2.5056947608200404</v>
      </c>
      <c r="H4" s="1">
        <f>Table_ac[[#This Row],[C6]]/Table_ac[[#This Row],[Sum]]*100</f>
        <v>1.3667425968109352</v>
      </c>
      <c r="I4" s="1">
        <f>Table_ac[[#This Row],[C7]]/Table_ac[[#This Row],[Sum]]*100</f>
        <v>3.1890660592255071</v>
      </c>
      <c r="J4" s="1">
        <f>Table_ac[[#This Row],[C8]]/Table_ac[[#This Row],[Sum]]*100</f>
        <v>56.492027334851933</v>
      </c>
      <c r="K4" s="1">
        <f>Table_ac[[#This Row],[C9]]/Table_ac[[#This Row],[Sum]]*100</f>
        <v>6.3781321184510293</v>
      </c>
      <c r="L4" s="1">
        <f>Table_ac[[#This Row],[C10]]/Table_ac[[#This Row],[Sum]]*100</f>
        <v>0</v>
      </c>
      <c r="M4" s="1">
        <f>Table_ac[[#This Row],[C11]]/Table_ac[[#This Row],[Sum]]*100</f>
        <v>0</v>
      </c>
      <c r="N4" s="1">
        <f>Table_ac[[#This Row],[C12]]/Table_ac[[#This Row],[Sum]]*100</f>
        <v>0</v>
      </c>
      <c r="O4" s="1">
        <f>Table_ac[[#This Row],[C13]]/Table_ac[[#This Row],[Sum]]*100</f>
        <v>0</v>
      </c>
      <c r="P4" s="1">
        <f>Table_ac[[#This Row],[C14]]/Table_ac[[#This Row],[Sum]]*100</f>
        <v>11.161731207289298</v>
      </c>
      <c r="Q4" s="1">
        <f>SUM(Table_ac_n[[#This Row],[C0]:[C14]])</f>
        <v>99.999999999999986</v>
      </c>
      <c r="R4" s="1">
        <f>ROUND(Table_ac_n[[#This Row],[Sum]],0)</f>
        <v>100</v>
      </c>
      <c r="T4" s="3">
        <v>30</v>
      </c>
      <c r="U4" s="1">
        <f>Table_ac_n[[#This Row],[C0]]</f>
        <v>3.4168564920273341</v>
      </c>
      <c r="V4" s="1">
        <f>SUM(Table_ac_n[[#This Row],[C1]:[C13]])</f>
        <v>85.421412300683357</v>
      </c>
      <c r="W4" s="1">
        <f>Table_ac_n[[#This Row],[C14]]</f>
        <v>11.161731207289298</v>
      </c>
    </row>
    <row r="5" spans="1:23" x14ac:dyDescent="0.25">
      <c r="A5" s="2">
        <v>40</v>
      </c>
      <c r="B5" s="1">
        <f>Table_ac[[#This Row],[C0]]/Table_ac[[#This Row],[Sum]]*100</f>
        <v>1.3404825737265427</v>
      </c>
      <c r="C5" s="1">
        <f>Table_ac[[#This Row],[C1]]/Table_ac[[#This Row],[Sum]]*100</f>
        <v>0.2680965147453086</v>
      </c>
      <c r="D5" s="1">
        <f>Table_ac[[#This Row],[C2]]/Table_ac[[#This Row],[Sum]]*100</f>
        <v>10.991957104557661</v>
      </c>
      <c r="E5" s="1">
        <f>Table_ac[[#This Row],[C3]]/Table_ac[[#This Row],[Sum]]*100</f>
        <v>0</v>
      </c>
      <c r="F5" s="1">
        <f>Table_ac[[#This Row],[C4]]/Table_ac[[#This Row],[Sum]]*100</f>
        <v>0</v>
      </c>
      <c r="G5" s="1">
        <f>Table_ac[[#This Row],[C5]]/Table_ac[[#This Row],[Sum]]*100</f>
        <v>1.6085790884718529</v>
      </c>
      <c r="H5" s="1">
        <f>Table_ac[[#This Row],[C6]]/Table_ac[[#This Row],[Sum]]*100</f>
        <v>1.0723860589812344</v>
      </c>
      <c r="I5" s="1">
        <f>Table_ac[[#This Row],[C7]]/Table_ac[[#This Row],[Sum]]*100</f>
        <v>2.1447721179624688</v>
      </c>
      <c r="J5" s="1">
        <f>Table_ac[[#This Row],[C8]]/Table_ac[[#This Row],[Sum]]*100</f>
        <v>61.126005361930261</v>
      </c>
      <c r="K5" s="1">
        <f>Table_ac[[#This Row],[C9]]/Table_ac[[#This Row],[Sum]]*100</f>
        <v>7.5067024128686395</v>
      </c>
      <c r="L5" s="1">
        <f>Table_ac[[#This Row],[C10]]/Table_ac[[#This Row],[Sum]]*100</f>
        <v>0</v>
      </c>
      <c r="M5" s="1">
        <f>Table_ac[[#This Row],[C11]]/Table_ac[[#This Row],[Sum]]*100</f>
        <v>0</v>
      </c>
      <c r="N5" s="1">
        <f>Table_ac[[#This Row],[C12]]/Table_ac[[#This Row],[Sum]]*100</f>
        <v>0</v>
      </c>
      <c r="O5" s="1">
        <f>Table_ac[[#This Row],[C13]]/Table_ac[[#This Row],[Sum]]*100</f>
        <v>0</v>
      </c>
      <c r="P5" s="1">
        <f>Table_ac[[#This Row],[C14]]/Table_ac[[#This Row],[Sum]]*100</f>
        <v>13.941018766756047</v>
      </c>
      <c r="Q5" s="1">
        <f>SUM(Table_ac_n[[#This Row],[C0]:[C14]])</f>
        <v>100.00000000000001</v>
      </c>
      <c r="R5" s="1">
        <f>ROUND(Table_ac_n[[#This Row],[Sum]],0)</f>
        <v>100</v>
      </c>
      <c r="T5" s="3">
        <v>40</v>
      </c>
      <c r="U5" s="1">
        <f>Table_ac_n[[#This Row],[C0]]</f>
        <v>1.3404825737265427</v>
      </c>
      <c r="V5" s="1">
        <f>SUM(Table_ac_n[[#This Row],[C1]:[C13]])</f>
        <v>84.718498659517422</v>
      </c>
      <c r="W5" s="1">
        <f>Table_ac_n[[#This Row],[C14]]</f>
        <v>13.941018766756047</v>
      </c>
    </row>
    <row r="6" spans="1:23" x14ac:dyDescent="0.25">
      <c r="A6" s="2">
        <v>50</v>
      </c>
      <c r="B6" s="1">
        <f>Table_ac[[#This Row],[C0]]/Table_ac[[#This Row],[Sum]]*100</f>
        <v>0.65359477124183007</v>
      </c>
      <c r="C6" s="1">
        <f>Table_ac[[#This Row],[C1]]/Table_ac[[#This Row],[Sum]]*100</f>
        <v>0</v>
      </c>
      <c r="D6" s="1">
        <f>Table_ac[[#This Row],[C2]]/Table_ac[[#This Row],[Sum]]*100</f>
        <v>8.4967320261438068</v>
      </c>
      <c r="E6" s="1">
        <f>Table_ac[[#This Row],[C3]]/Table_ac[[#This Row],[Sum]]*100</f>
        <v>0</v>
      </c>
      <c r="F6" s="1">
        <f>Table_ac[[#This Row],[C4]]/Table_ac[[#This Row],[Sum]]*100</f>
        <v>0</v>
      </c>
      <c r="G6" s="1">
        <f>Table_ac[[#This Row],[C5]]/Table_ac[[#This Row],[Sum]]*100</f>
        <v>0.98039215686274717</v>
      </c>
      <c r="H6" s="1">
        <f>Table_ac[[#This Row],[C6]]/Table_ac[[#This Row],[Sum]]*100</f>
        <v>0.98039215686274717</v>
      </c>
      <c r="I6" s="1">
        <f>Table_ac[[#This Row],[C7]]/Table_ac[[#This Row],[Sum]]*100</f>
        <v>1.3071895424836621</v>
      </c>
      <c r="J6" s="1">
        <f>Table_ac[[#This Row],[C8]]/Table_ac[[#This Row],[Sum]]*100</f>
        <v>63.398692810457455</v>
      </c>
      <c r="K6" s="1">
        <f>Table_ac[[#This Row],[C9]]/Table_ac[[#This Row],[Sum]]*100</f>
        <v>9.1503267973856293</v>
      </c>
      <c r="L6" s="1">
        <f>Table_ac[[#This Row],[C10]]/Table_ac[[#This Row],[Sum]]*100</f>
        <v>0</v>
      </c>
      <c r="M6" s="1">
        <f>Table_ac[[#This Row],[C11]]/Table_ac[[#This Row],[Sum]]*100</f>
        <v>0</v>
      </c>
      <c r="N6" s="1">
        <f>Table_ac[[#This Row],[C12]]/Table_ac[[#This Row],[Sum]]*100</f>
        <v>0</v>
      </c>
      <c r="O6" s="1">
        <f>Table_ac[[#This Row],[C13]]/Table_ac[[#This Row],[Sum]]*100</f>
        <v>0</v>
      </c>
      <c r="P6" s="1">
        <f>Table_ac[[#This Row],[C14]]/Table_ac[[#This Row],[Sum]]*100</f>
        <v>15.032679738562107</v>
      </c>
      <c r="Q6" s="1">
        <f>SUM(Table_ac_n[[#This Row],[C0]:[C14]])</f>
        <v>99.999999999999986</v>
      </c>
      <c r="R6" s="1">
        <f>ROUND(Table_ac_n[[#This Row],[Sum]],0)</f>
        <v>100</v>
      </c>
      <c r="T6" s="3">
        <v>50</v>
      </c>
      <c r="U6" s="1">
        <f>Table_ac_n[[#This Row],[C0]]</f>
        <v>0.65359477124183007</v>
      </c>
      <c r="V6" s="1">
        <f>SUM(Table_ac_n[[#This Row],[C1]:[C13]])</f>
        <v>84.313725490196049</v>
      </c>
      <c r="W6" s="1">
        <f>Table_ac_n[[#This Row],[C14]]</f>
        <v>15.032679738562107</v>
      </c>
    </row>
    <row r="7" spans="1:23" x14ac:dyDescent="0.25">
      <c r="A7" s="2">
        <v>60</v>
      </c>
      <c r="B7" s="1">
        <f>Table_ac[[#This Row],[C0]]/Table_ac[[#This Row],[Sum]]*100</f>
        <v>0</v>
      </c>
      <c r="C7" s="1">
        <f>Table_ac[[#This Row],[C1]]/Table_ac[[#This Row],[Sum]]*100</f>
        <v>0</v>
      </c>
      <c r="D7" s="1">
        <f>Table_ac[[#This Row],[C2]]/Table_ac[[#This Row],[Sum]]*100</f>
        <v>6.3291139240506347</v>
      </c>
      <c r="E7" s="1">
        <f>Table_ac[[#This Row],[C3]]/Table_ac[[#This Row],[Sum]]*100</f>
        <v>0</v>
      </c>
      <c r="F7" s="1">
        <f>Table_ac[[#This Row],[C4]]/Table_ac[[#This Row],[Sum]]*100</f>
        <v>0</v>
      </c>
      <c r="G7" s="1">
        <f>Table_ac[[#This Row],[C5]]/Table_ac[[#This Row],[Sum]]*100</f>
        <v>0</v>
      </c>
      <c r="H7" s="1">
        <f>Table_ac[[#This Row],[C6]]/Table_ac[[#This Row],[Sum]]*100</f>
        <v>0.42194092827004148</v>
      </c>
      <c r="I7" s="1">
        <f>Table_ac[[#This Row],[C7]]/Table_ac[[#This Row],[Sum]]*100</f>
        <v>0.84388185654008552</v>
      </c>
      <c r="J7" s="1">
        <f>Table_ac[[#This Row],[C8]]/Table_ac[[#This Row],[Sum]]*100</f>
        <v>64.135021097046391</v>
      </c>
      <c r="K7" s="1">
        <f>Table_ac[[#This Row],[C9]]/Table_ac[[#This Row],[Sum]]*100</f>
        <v>10.970464135021116</v>
      </c>
      <c r="L7" s="1">
        <f>Table_ac[[#This Row],[C10]]/Table_ac[[#This Row],[Sum]]*100</f>
        <v>0</v>
      </c>
      <c r="M7" s="1">
        <f>Table_ac[[#This Row],[C11]]/Table_ac[[#This Row],[Sum]]*100</f>
        <v>0</v>
      </c>
      <c r="N7" s="1">
        <f>Table_ac[[#This Row],[C12]]/Table_ac[[#This Row],[Sum]]*100</f>
        <v>0</v>
      </c>
      <c r="O7" s="1">
        <f>Table_ac[[#This Row],[C13]]/Table_ac[[#This Row],[Sum]]*100</f>
        <v>0</v>
      </c>
      <c r="P7" s="1">
        <f>Table_ac[[#This Row],[C14]]/Table_ac[[#This Row],[Sum]]*100</f>
        <v>17.299578059071749</v>
      </c>
      <c r="Q7" s="1">
        <f>SUM(Table_ac_n[[#This Row],[C0]:[C14]])</f>
        <v>100.00000000000001</v>
      </c>
      <c r="R7" s="1">
        <f>ROUND(Table_ac_n[[#This Row],[Sum]],0)</f>
        <v>100</v>
      </c>
      <c r="T7" s="3">
        <v>60</v>
      </c>
      <c r="U7" s="1">
        <f>Table_ac_n[[#This Row],[C0]]</f>
        <v>0</v>
      </c>
      <c r="V7" s="1">
        <f>SUM(Table_ac_n[[#This Row],[C1]:[C13]])</f>
        <v>82.700421940928265</v>
      </c>
      <c r="W7" s="1">
        <f>Table_ac_n[[#This Row],[C14]]</f>
        <v>17.299578059071749</v>
      </c>
    </row>
    <row r="8" spans="1:23" x14ac:dyDescent="0.25">
      <c r="A8" s="2">
        <v>70</v>
      </c>
      <c r="B8" s="1">
        <f>Table_ac[[#This Row],[C0]]/Table_ac[[#This Row],[Sum]]*100</f>
        <v>0</v>
      </c>
      <c r="C8" s="1">
        <f>Table_ac[[#This Row],[C1]]/Table_ac[[#This Row],[Sum]]*100</f>
        <v>0</v>
      </c>
      <c r="D8" s="1">
        <f>Table_ac[[#This Row],[C2]]/Table_ac[[#This Row],[Sum]]*100</f>
        <v>6.2146892655367267</v>
      </c>
      <c r="E8" s="1">
        <f>Table_ac[[#This Row],[C3]]/Table_ac[[#This Row],[Sum]]*100</f>
        <v>0</v>
      </c>
      <c r="F8" s="1">
        <f>Table_ac[[#This Row],[C4]]/Table_ac[[#This Row],[Sum]]*100</f>
        <v>0</v>
      </c>
      <c r="G8" s="1">
        <f>Table_ac[[#This Row],[C5]]/Table_ac[[#This Row],[Sum]]*100</f>
        <v>0</v>
      </c>
      <c r="H8" s="1">
        <f>Table_ac[[#This Row],[C6]]/Table_ac[[#This Row],[Sum]]*100</f>
        <v>0.5649717514124285</v>
      </c>
      <c r="I8" s="1">
        <f>Table_ac[[#This Row],[C7]]/Table_ac[[#This Row],[Sum]]*100</f>
        <v>0</v>
      </c>
      <c r="J8" s="1">
        <f>Table_ac[[#This Row],[C8]]/Table_ac[[#This Row],[Sum]]*100</f>
        <v>61.581920903954732</v>
      </c>
      <c r="K8" s="1">
        <f>Table_ac[[#This Row],[C9]]/Table_ac[[#This Row],[Sum]]*100</f>
        <v>12.994350282485897</v>
      </c>
      <c r="L8" s="1">
        <f>Table_ac[[#This Row],[C10]]/Table_ac[[#This Row],[Sum]]*100</f>
        <v>0</v>
      </c>
      <c r="M8" s="1">
        <f>Table_ac[[#This Row],[C11]]/Table_ac[[#This Row],[Sum]]*100</f>
        <v>0</v>
      </c>
      <c r="N8" s="1">
        <f>Table_ac[[#This Row],[C12]]/Table_ac[[#This Row],[Sum]]*100</f>
        <v>0</v>
      </c>
      <c r="O8" s="1">
        <f>Table_ac[[#This Row],[C13]]/Table_ac[[#This Row],[Sum]]*100</f>
        <v>0</v>
      </c>
      <c r="P8" s="1">
        <f>Table_ac[[#This Row],[C14]]/Table_ac[[#This Row],[Sum]]*100</f>
        <v>18.644067796610216</v>
      </c>
      <c r="Q8" s="1">
        <f>SUM(Table_ac_n[[#This Row],[C0]:[C14]])</f>
        <v>100</v>
      </c>
      <c r="R8" s="1">
        <f>ROUND(Table_ac_n[[#This Row],[Sum]],0)</f>
        <v>100</v>
      </c>
      <c r="T8" s="3">
        <v>70</v>
      </c>
      <c r="U8" s="1">
        <f>Table_ac_n[[#This Row],[C0]]</f>
        <v>0</v>
      </c>
      <c r="V8" s="1">
        <f>SUM(Table_ac_n[[#This Row],[C1]:[C13]])</f>
        <v>81.355932203389784</v>
      </c>
      <c r="W8" s="1">
        <f>Table_ac_n[[#This Row],[C14]]</f>
        <v>18.644067796610216</v>
      </c>
    </row>
    <row r="9" spans="1:23" x14ac:dyDescent="0.25">
      <c r="A9" s="2">
        <v>80</v>
      </c>
      <c r="B9" s="1">
        <f>Table_ac[[#This Row],[C0]]/Table_ac[[#This Row],[Sum]]*100</f>
        <v>0</v>
      </c>
      <c r="C9" s="1">
        <f>Table_ac[[#This Row],[C1]]/Table_ac[[#This Row],[Sum]]*100</f>
        <v>0</v>
      </c>
      <c r="D9" s="1">
        <f>Table_ac[[#This Row],[C2]]/Table_ac[[#This Row],[Sum]]*100</f>
        <v>4.3103448275862153</v>
      </c>
      <c r="E9" s="1">
        <f>Table_ac[[#This Row],[C3]]/Table_ac[[#This Row],[Sum]]*100</f>
        <v>0</v>
      </c>
      <c r="F9" s="1">
        <f>Table_ac[[#This Row],[C4]]/Table_ac[[#This Row],[Sum]]*100</f>
        <v>0</v>
      </c>
      <c r="G9" s="1">
        <f>Table_ac[[#This Row],[C5]]/Table_ac[[#This Row],[Sum]]*100</f>
        <v>0</v>
      </c>
      <c r="H9" s="1">
        <f>Table_ac[[#This Row],[C6]]/Table_ac[[#This Row],[Sum]]*100</f>
        <v>0</v>
      </c>
      <c r="I9" s="1">
        <f>Table_ac[[#This Row],[C7]]/Table_ac[[#This Row],[Sum]]*100</f>
        <v>0</v>
      </c>
      <c r="J9" s="1">
        <f>Table_ac[[#This Row],[C8]]/Table_ac[[#This Row],[Sum]]*100</f>
        <v>56.896551724137836</v>
      </c>
      <c r="K9" s="1">
        <f>Table_ac[[#This Row],[C9]]/Table_ac[[#This Row],[Sum]]*100</f>
        <v>19.827586206896591</v>
      </c>
      <c r="L9" s="1">
        <f>Table_ac[[#This Row],[C10]]/Table_ac[[#This Row],[Sum]]*100</f>
        <v>0</v>
      </c>
      <c r="M9" s="1">
        <f>Table_ac[[#This Row],[C11]]/Table_ac[[#This Row],[Sum]]*100</f>
        <v>0</v>
      </c>
      <c r="N9" s="1">
        <f>Table_ac[[#This Row],[C12]]/Table_ac[[#This Row],[Sum]]*100</f>
        <v>0</v>
      </c>
      <c r="O9" s="1">
        <f>Table_ac[[#This Row],[C13]]/Table_ac[[#This Row],[Sum]]*100</f>
        <v>0</v>
      </c>
      <c r="P9" s="1">
        <f>Table_ac[[#This Row],[C14]]/Table_ac[[#This Row],[Sum]]*100</f>
        <v>18.965517241379349</v>
      </c>
      <c r="Q9" s="1">
        <f>SUM(Table_ac_n[[#This Row],[C0]:[C14]])</f>
        <v>99.999999999999986</v>
      </c>
      <c r="R9" s="1">
        <f>ROUND(Table_ac_n[[#This Row],[Sum]],0)</f>
        <v>100</v>
      </c>
      <c r="T9" s="3">
        <v>80</v>
      </c>
      <c r="U9" s="1">
        <f>Table_ac_n[[#This Row],[C0]]</f>
        <v>0</v>
      </c>
      <c r="V9" s="1">
        <f>SUM(Table_ac_n[[#This Row],[C1]:[C13]])</f>
        <v>81.034482758620641</v>
      </c>
      <c r="W9" s="1">
        <f>Table_ac_n[[#This Row],[C14]]</f>
        <v>18.965517241379349</v>
      </c>
    </row>
    <row r="10" spans="1:23" x14ac:dyDescent="0.25">
      <c r="A10" s="2">
        <v>90</v>
      </c>
      <c r="B10" s="1">
        <f>Table_ac[[#This Row],[C0]]/Table_ac[[#This Row],[Sum]]*100</f>
        <v>0</v>
      </c>
      <c r="C10" s="1">
        <f>Table_ac[[#This Row],[C1]]/Table_ac[[#This Row],[Sum]]*100</f>
        <v>0</v>
      </c>
      <c r="D10" s="1">
        <f>Table_ac[[#This Row],[C2]]/Table_ac[[#This Row],[Sum]]*100</f>
        <v>3.7037037037037068</v>
      </c>
      <c r="E10" s="1">
        <f>Table_ac[[#This Row],[C3]]/Table_ac[[#This Row],[Sum]]*100</f>
        <v>0</v>
      </c>
      <c r="F10" s="1">
        <f>Table_ac[[#This Row],[C4]]/Table_ac[[#This Row],[Sum]]*100</f>
        <v>0</v>
      </c>
      <c r="G10" s="1">
        <f>Table_ac[[#This Row],[C5]]/Table_ac[[#This Row],[Sum]]*100</f>
        <v>0</v>
      </c>
      <c r="H10" s="1">
        <f>Table_ac[[#This Row],[C6]]/Table_ac[[#This Row],[Sum]]*100</f>
        <v>0</v>
      </c>
      <c r="I10" s="1">
        <f>Table_ac[[#This Row],[C7]]/Table_ac[[#This Row],[Sum]]*100</f>
        <v>0</v>
      </c>
      <c r="J10" s="1">
        <f>Table_ac[[#This Row],[C8]]/Table_ac[[#This Row],[Sum]]*100</f>
        <v>31.481481481481506</v>
      </c>
      <c r="K10" s="1">
        <f>Table_ac[[#This Row],[C9]]/Table_ac[[#This Row],[Sum]]*100</f>
        <v>44.444444444444414</v>
      </c>
      <c r="L10" s="1">
        <f>Table_ac[[#This Row],[C10]]/Table_ac[[#This Row],[Sum]]*100</f>
        <v>0</v>
      </c>
      <c r="M10" s="1">
        <f>Table_ac[[#This Row],[C11]]/Table_ac[[#This Row],[Sum]]*100</f>
        <v>0</v>
      </c>
      <c r="N10" s="1">
        <f>Table_ac[[#This Row],[C12]]/Table_ac[[#This Row],[Sum]]*100</f>
        <v>0</v>
      </c>
      <c r="O10" s="1">
        <f>Table_ac[[#This Row],[C13]]/Table_ac[[#This Row],[Sum]]*100</f>
        <v>0</v>
      </c>
      <c r="P10" s="1">
        <f>Table_ac[[#This Row],[C14]]/Table_ac[[#This Row],[Sum]]*100</f>
        <v>20.37037037037037</v>
      </c>
      <c r="Q10" s="1">
        <f>SUM(Table_ac_n[[#This Row],[C0]:[C14]])</f>
        <v>99.999999999999986</v>
      </c>
      <c r="R10" s="1">
        <f>ROUND(Table_ac_n[[#This Row],[Sum]],0)</f>
        <v>100</v>
      </c>
      <c r="T10" s="3">
        <v>90</v>
      </c>
      <c r="U10" s="1">
        <f>Table_ac_n[[#This Row],[C0]]</f>
        <v>0</v>
      </c>
      <c r="V10" s="1">
        <f>SUM(Table_ac_n[[#This Row],[C1]:[C13]])</f>
        <v>79.629629629629619</v>
      </c>
      <c r="W10" s="1">
        <f>Table_ac_n[[#This Row],[C14]]</f>
        <v>20.37037037037037</v>
      </c>
    </row>
    <row r="11" spans="1:23" x14ac:dyDescent="0.25">
      <c r="A11" s="2" t="s">
        <v>19</v>
      </c>
      <c r="B11" s="1">
        <f>SUBTOTAL(101,Table_ac_n[C0])</f>
        <v>2.4575587829126033</v>
      </c>
      <c r="C11" s="1">
        <f>SUBTOTAL(101,Table_ac_n[C1])</f>
        <v>7.6885042102186524E-2</v>
      </c>
      <c r="D11" s="1">
        <f>SUBTOTAL(101,Table_ac_n[C2])</f>
        <v>12.90526578969277</v>
      </c>
      <c r="E11" s="1">
        <f>SUBTOTAL(101,Table_ac_n[C3])</f>
        <v>0</v>
      </c>
      <c r="F11" s="1">
        <f>SUBTOTAL(101,Table_ac_n[C4])</f>
        <v>0</v>
      </c>
      <c r="G11" s="1">
        <f>SUBTOTAL(101,Table_ac_n[C5])</f>
        <v>1.47908525329486</v>
      </c>
      <c r="H11" s="1">
        <f>SUBTOTAL(101,Table_ac_n[C6])</f>
        <v>0.71577895664247837</v>
      </c>
      <c r="I11" s="1">
        <f>SUBTOTAL(101,Table_ac_n[C7])</f>
        <v>1.4448228482698691</v>
      </c>
      <c r="J11" s="1">
        <f>SUBTOTAL(101,Table_ac_n[C8])</f>
        <v>53.299813207363968</v>
      </c>
      <c r="K11" s="1">
        <f>SUBTOTAL(101,Table_ac_n[C9])</f>
        <v>13.330921448435555</v>
      </c>
      <c r="L11" s="1">
        <f>SUBTOTAL(101,Table_ac_n[C10])</f>
        <v>0</v>
      </c>
      <c r="M11" s="1">
        <f>SUBTOTAL(101,Table_ac_n[C11])</f>
        <v>0</v>
      </c>
      <c r="N11" s="1">
        <f>SUBTOTAL(101,Table_ac_n[C12])</f>
        <v>0</v>
      </c>
      <c r="O11" s="1">
        <f>SUBTOTAL(101,Table_ac_n[C13])</f>
        <v>0</v>
      </c>
      <c r="P11" s="1">
        <f>SUBTOTAL(101,Table_ac_n[C14])</f>
        <v>14.28986867128571</v>
      </c>
      <c r="R11" s="1"/>
      <c r="T11" s="3" t="s">
        <v>19</v>
      </c>
      <c r="U11" s="1">
        <f>SUBTOTAL(101,Table47[Not Classified Classes (%)])</f>
        <v>2.4575587829126033</v>
      </c>
      <c r="V11" s="1">
        <f>SUBTOTAL(101,Table47[Partially Classified Classes (%)])</f>
        <v>83.252572545801684</v>
      </c>
      <c r="W11" s="1">
        <f>SUBTOTAL(101,Table47[Totally Classified Classes (%)])</f>
        <v>14.28986867128571</v>
      </c>
    </row>
    <row r="13" spans="1:23" x14ac:dyDescent="0.25">
      <c r="T13" t="s">
        <v>17</v>
      </c>
      <c r="U13" t="s">
        <v>20</v>
      </c>
      <c r="V13" t="s">
        <v>21</v>
      </c>
      <c r="W13" t="s">
        <v>22</v>
      </c>
    </row>
    <row r="14" spans="1:23" x14ac:dyDescent="0.25">
      <c r="T14" s="4" t="s">
        <v>23</v>
      </c>
      <c r="U14" s="5">
        <v>-0.88180000000000003</v>
      </c>
      <c r="V14" s="5">
        <v>0.72340000000000004</v>
      </c>
      <c r="W14" s="5">
        <v>0.99070000000000003</v>
      </c>
    </row>
    <row r="15" spans="1:23" x14ac:dyDescent="0.25">
      <c r="T15" s="4" t="s">
        <v>25</v>
      </c>
      <c r="U15" s="5">
        <v>0.77759999999999996</v>
      </c>
      <c r="V15" s="5">
        <v>0.52329999999999999</v>
      </c>
      <c r="W15" s="5">
        <v>0.98150000000000004</v>
      </c>
    </row>
  </sheetData>
  <conditionalFormatting sqref="B2:P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W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ellIs" dxfId="2" priority="1" operator="equal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8E83E-D1D5-49F6-9E92-4AE55DFEA29B}">
  <sheetPr>
    <tabColor theme="9"/>
  </sheetPr>
  <dimension ref="Z1:AB11"/>
  <sheetViews>
    <sheetView workbookViewId="0">
      <selection activeCell="S36" sqref="S36"/>
    </sheetView>
  </sheetViews>
  <sheetFormatPr defaultRowHeight="15" x14ac:dyDescent="0.25"/>
  <cols>
    <col min="26" max="26" width="10.7109375" customWidth="1"/>
    <col min="27" max="28" width="20.7109375" customWidth="1"/>
  </cols>
  <sheetData>
    <row r="1" spans="26:28" x14ac:dyDescent="0.25">
      <c r="Z1" t="s">
        <v>27</v>
      </c>
      <c r="AA1" t="s">
        <v>29</v>
      </c>
      <c r="AB1" t="s">
        <v>28</v>
      </c>
    </row>
    <row r="2" spans="26:28" x14ac:dyDescent="0.25">
      <c r="Z2" s="6">
        <v>10</v>
      </c>
      <c r="AA2" s="1">
        <f>Table4[[#This Row],[Not Classified Classes (%)]]/Table47[[#This Row],[Not Classified Classes (%)]]</f>
        <v>4.7347165911439673</v>
      </c>
      <c r="AB2" s="1">
        <f>Table47[[#This Row],[Totally Classified Classes (%)]]/Table4[[#This Row],[Totally Classified Classes (%)]]</f>
        <v>1.5438144329896915</v>
      </c>
    </row>
    <row r="3" spans="26:28" x14ac:dyDescent="0.25">
      <c r="Z3" s="6">
        <v>20</v>
      </c>
      <c r="AA3" s="1">
        <f>Table4[[#This Row],[Not Classified Classes (%)]]/Table47[[#This Row],[Not Classified Classes (%)]]</f>
        <v>5.5386064030131754</v>
      </c>
      <c r="AB3" s="1">
        <f>Table47[[#This Row],[Totally Classified Classes (%)]]/Table4[[#This Row],[Totally Classified Classes (%)]]</f>
        <v>1.2196638655462184</v>
      </c>
    </row>
    <row r="4" spans="26:28" x14ac:dyDescent="0.25">
      <c r="Z4" s="6">
        <v>30</v>
      </c>
      <c r="AA4" s="1">
        <f>Table4[[#This Row],[Not Classified Classes (%)]]/Table47[[#This Row],[Not Classified Classes (%)]]</f>
        <v>6.0291845493562297</v>
      </c>
      <c r="AB4" s="1">
        <f>Table47[[#This Row],[Totally Classified Classes (%)]]/Table4[[#This Row],[Totally Classified Classes (%)]]</f>
        <v>1.1558592761326238</v>
      </c>
    </row>
    <row r="5" spans="26:28" x14ac:dyDescent="0.25">
      <c r="Z5" s="6">
        <v>40</v>
      </c>
      <c r="AA5" s="1">
        <f>Table4[[#This Row],[Not Classified Classes (%)]]/Table47[[#This Row],[Not Classified Classes (%)]]</f>
        <v>11.218045112781951</v>
      </c>
      <c r="AB5" s="1">
        <f>Table47[[#This Row],[Totally Classified Classes (%)]]/Table4[[#This Row],[Totally Classified Classes (%)]]</f>
        <v>1.209231845203403</v>
      </c>
    </row>
    <row r="6" spans="26:28" x14ac:dyDescent="0.25">
      <c r="Z6" s="6">
        <v>50</v>
      </c>
      <c r="AA6" s="1">
        <f>Table4[[#This Row],[Not Classified Classes (%)]]/Table47[[#This Row],[Not Classified Classes (%)]]</f>
        <v>14.926829268292686</v>
      </c>
      <c r="AB6" s="1">
        <f>Table47[[#This Row],[Totally Classified Classes (%)]]/Table4[[#This Row],[Totally Classified Classes (%)]]</f>
        <v>1.0272331154684105</v>
      </c>
    </row>
    <row r="7" spans="26:28" x14ac:dyDescent="0.25">
      <c r="Z7" s="6">
        <v>60</v>
      </c>
      <c r="AA7" s="1" t="e">
        <f>Table4[[#This Row],[Not Classified Classes (%)]]/Table47[[#This Row],[Not Classified Classes (%)]]</f>
        <v>#DIV/0!</v>
      </c>
      <c r="AB7" s="1">
        <f>Table47[[#This Row],[Totally Classified Classes (%)]]/Table4[[#This Row],[Totally Classified Classes (%)]]</f>
        <v>1.1201476793248955</v>
      </c>
    </row>
    <row r="8" spans="26:28" x14ac:dyDescent="0.25">
      <c r="Z8" s="6">
        <v>70</v>
      </c>
      <c r="AA8" s="1" t="e">
        <f>Table4[[#This Row],[Not Classified Classes (%)]]/Table47[[#This Row],[Not Classified Classes (%)]]</f>
        <v>#DIV/0!</v>
      </c>
      <c r="AB8" s="1">
        <f>Table47[[#This Row],[Totally Classified Classes (%)]]/Table4[[#This Row],[Totally Classified Classes (%)]]</f>
        <v>1.1477754237288145</v>
      </c>
    </row>
    <row r="9" spans="26:28" x14ac:dyDescent="0.25">
      <c r="Z9" s="6">
        <v>80</v>
      </c>
      <c r="AA9" s="1" t="e">
        <f>Table4[[#This Row],[Not Classified Classes (%)]]/Table47[[#This Row],[Not Classified Classes (%)]]</f>
        <v>#DIV/0!</v>
      </c>
      <c r="AB9" s="1">
        <f>Table47[[#This Row],[Totally Classified Classes (%)]]/Table4[[#This Row],[Totally Classified Classes (%)]]</f>
        <v>1.2327586206896552</v>
      </c>
    </row>
    <row r="10" spans="26:28" x14ac:dyDescent="0.25">
      <c r="Z10" s="6">
        <v>90</v>
      </c>
      <c r="AA10" s="1" t="e">
        <f>Table4[[#This Row],[Not Classified Classes (%)]]/Table47[[#This Row],[Not Classified Classes (%)]]</f>
        <v>#DIV/0!</v>
      </c>
      <c r="AB10" s="1">
        <f>Table47[[#This Row],[Totally Classified Classes (%)]]/Table4[[#This Row],[Totally Classified Classes (%)]]</f>
        <v>1.1296296296296309</v>
      </c>
    </row>
    <row r="11" spans="26:28" x14ac:dyDescent="0.25">
      <c r="Z11" s="6" t="s">
        <v>19</v>
      </c>
      <c r="AA11" s="7" t="e">
        <f>SUBTOTAL(101,Table9[AN/AC Not Classified])</f>
        <v>#DIV/0!</v>
      </c>
      <c r="AB11" s="7">
        <f>SUBTOTAL(101,Table9[AC/AN Totally Classified])</f>
        <v>1.1984570987459271</v>
      </c>
    </row>
  </sheetData>
  <conditionalFormatting sqref="AB2:AB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8E6E-1580-4109-8872-847DFBFAEBE2}">
  <sheetPr>
    <tabColor theme="4"/>
  </sheetPr>
  <dimension ref="A1:L11"/>
  <sheetViews>
    <sheetView workbookViewId="0">
      <selection activeCell="B2" sqref="B2:J10"/>
    </sheetView>
  </sheetViews>
  <sheetFormatPr defaultRowHeight="15" x14ac:dyDescent="0.25"/>
  <cols>
    <col min="1" max="12" width="8.7109375" customWidth="1"/>
  </cols>
  <sheetData>
    <row r="1" spans="1:12" x14ac:dyDescent="0.25">
      <c r="A1" t="s">
        <v>17</v>
      </c>
      <c r="B1" t="s">
        <v>16</v>
      </c>
      <c r="C1" t="s">
        <v>15</v>
      </c>
      <c r="D1" t="s">
        <v>14</v>
      </c>
      <c r="E1" t="s">
        <v>13</v>
      </c>
      <c r="F1" t="s">
        <v>12</v>
      </c>
      <c r="G1" t="s">
        <v>11</v>
      </c>
      <c r="H1" t="s">
        <v>10</v>
      </c>
      <c r="I1" t="s">
        <v>9</v>
      </c>
      <c r="J1" t="s">
        <v>8</v>
      </c>
      <c r="K1" t="s">
        <v>1</v>
      </c>
      <c r="L1" t="s">
        <v>0</v>
      </c>
    </row>
    <row r="2" spans="1:12" x14ac:dyDescent="0.25">
      <c r="A2" s="2">
        <v>10</v>
      </c>
      <c r="B2" s="8">
        <v>0.49663677130044798</v>
      </c>
      <c r="C2" s="8">
        <v>7.8475336322869904E-3</v>
      </c>
      <c r="D2" s="8">
        <v>7.8475336322869904E-3</v>
      </c>
      <c r="E2" s="8">
        <v>0</v>
      </c>
      <c r="F2" s="8">
        <v>6.6143497757847503E-2</v>
      </c>
      <c r="G2" s="8">
        <v>0.28139013452914702</v>
      </c>
      <c r="H2" s="8">
        <v>2.0179372197309399E-2</v>
      </c>
      <c r="I2" s="8">
        <v>0</v>
      </c>
      <c r="J2" s="8">
        <v>2.3542600896860898E-2</v>
      </c>
      <c r="K2" s="1">
        <f t="shared" ref="K2:K10" si="0">SUM(B2:J2)</f>
        <v>0.90358744394618662</v>
      </c>
      <c r="L2" s="1">
        <f t="shared" ref="L2:L10" si="1">ROUND(K2,0)</f>
        <v>1</v>
      </c>
    </row>
    <row r="3" spans="1:12" x14ac:dyDescent="0.25">
      <c r="A3" s="2">
        <v>20</v>
      </c>
      <c r="B3" s="8">
        <v>0.29590643274853801</v>
      </c>
      <c r="C3" s="8">
        <v>1.0526315789473601E-2</v>
      </c>
      <c r="D3" s="8">
        <v>5.84795321637426E-3</v>
      </c>
      <c r="E3" s="8">
        <v>0</v>
      </c>
      <c r="F3" s="8">
        <v>6.78362573099415E-2</v>
      </c>
      <c r="G3" s="8">
        <v>0.34035087719298202</v>
      </c>
      <c r="H3" s="8">
        <v>3.3918128654970701E-2</v>
      </c>
      <c r="I3" s="8">
        <v>0</v>
      </c>
      <c r="J3" s="8">
        <v>4.6783625730994101E-2</v>
      </c>
      <c r="K3" s="1">
        <f t="shared" si="0"/>
        <v>0.8011695906432742</v>
      </c>
      <c r="L3" s="1">
        <f t="shared" si="1"/>
        <v>1</v>
      </c>
    </row>
    <row r="4" spans="1:12" x14ac:dyDescent="0.25">
      <c r="A4" s="2">
        <v>30</v>
      </c>
      <c r="B4" s="8">
        <v>0.17598097502972601</v>
      </c>
      <c r="C4" s="8">
        <v>1.07015457788347E-2</v>
      </c>
      <c r="D4" s="8">
        <v>2.3781212841854902E-3</v>
      </c>
      <c r="E4" s="8">
        <v>0</v>
      </c>
      <c r="F4" s="8">
        <v>4.2806183115338799E-2</v>
      </c>
      <c r="G4" s="8">
        <v>0.37336504161712197</v>
      </c>
      <c r="H4" s="8">
        <v>3.56718192627824E-2</v>
      </c>
      <c r="I4" s="8">
        <v>0</v>
      </c>
      <c r="J4" s="8">
        <v>6.0642092746729999E-2</v>
      </c>
      <c r="K4" s="1">
        <f t="shared" si="0"/>
        <v>0.70154577883471947</v>
      </c>
      <c r="L4" s="1">
        <f t="shared" si="1"/>
        <v>1</v>
      </c>
    </row>
    <row r="5" spans="1:12" x14ac:dyDescent="0.25">
      <c r="A5" s="2">
        <v>40</v>
      </c>
      <c r="B5" s="8">
        <v>0.114182692307692</v>
      </c>
      <c r="C5" s="8">
        <v>9.6153846153846107E-3</v>
      </c>
      <c r="D5" s="8">
        <v>1.2019230769230701E-3</v>
      </c>
      <c r="E5" s="8">
        <v>0</v>
      </c>
      <c r="F5" s="8">
        <v>3.00480769230769E-2</v>
      </c>
      <c r="G5" s="8">
        <v>0.347355769230769</v>
      </c>
      <c r="H5" s="8">
        <v>3.4855769230769197E-2</v>
      </c>
      <c r="I5" s="8">
        <v>0</v>
      </c>
      <c r="J5" s="8">
        <v>6.6105769230769204E-2</v>
      </c>
      <c r="K5" s="1">
        <f t="shared" si="0"/>
        <v>0.60336538461538392</v>
      </c>
      <c r="L5" s="1">
        <f t="shared" si="1"/>
        <v>1</v>
      </c>
    </row>
    <row r="6" spans="1:12" x14ac:dyDescent="0.25">
      <c r="A6" s="2">
        <v>50</v>
      </c>
      <c r="B6" s="8">
        <v>6.9682151589242E-2</v>
      </c>
      <c r="C6" s="8">
        <v>7.3349633251833697E-3</v>
      </c>
      <c r="D6" s="8">
        <v>0</v>
      </c>
      <c r="E6" s="8">
        <v>0</v>
      </c>
      <c r="F6" s="8">
        <v>1.46699266503667E-2</v>
      </c>
      <c r="G6" s="8">
        <v>0.30684596577017098</v>
      </c>
      <c r="H6" s="8">
        <v>3.1784841075794601E-2</v>
      </c>
      <c r="I6" s="8">
        <v>0</v>
      </c>
      <c r="J6" s="8">
        <v>6.6014669926650296E-2</v>
      </c>
      <c r="K6" s="1">
        <f t="shared" si="0"/>
        <v>0.49633251833740794</v>
      </c>
      <c r="L6" s="1">
        <f t="shared" si="1"/>
        <v>0</v>
      </c>
    </row>
    <row r="7" spans="1:12" x14ac:dyDescent="0.25">
      <c r="A7" s="2">
        <v>60</v>
      </c>
      <c r="B7" s="8">
        <v>5.1995163240628701E-2</v>
      </c>
      <c r="C7" s="8">
        <v>6.0459492140266004E-3</v>
      </c>
      <c r="D7" s="8">
        <v>0</v>
      </c>
      <c r="E7" s="8">
        <v>0</v>
      </c>
      <c r="F7" s="8">
        <v>9.6735187424425596E-3</v>
      </c>
      <c r="G7" s="8">
        <v>0.24183796856106399</v>
      </c>
      <c r="H7" s="8">
        <v>2.5392986698911699E-2</v>
      </c>
      <c r="I7" s="8">
        <v>0</v>
      </c>
      <c r="J7" s="8">
        <v>5.8041112454655298E-2</v>
      </c>
      <c r="K7" s="1">
        <f t="shared" si="0"/>
        <v>0.39298669891172888</v>
      </c>
      <c r="L7" s="1">
        <f t="shared" si="1"/>
        <v>0</v>
      </c>
    </row>
    <row r="8" spans="1:12" x14ac:dyDescent="0.25">
      <c r="A8" s="2">
        <v>70</v>
      </c>
      <c r="B8" s="8">
        <v>2.8500619578686399E-2</v>
      </c>
      <c r="C8" s="8">
        <v>3.7174721189590998E-3</v>
      </c>
      <c r="D8" s="8">
        <v>0</v>
      </c>
      <c r="E8" s="8">
        <v>0</v>
      </c>
      <c r="F8" s="8">
        <v>3.7174721189590998E-3</v>
      </c>
      <c r="G8" s="8">
        <v>0.19206939281288701</v>
      </c>
      <c r="H8" s="8">
        <v>2.1065675340768201E-2</v>
      </c>
      <c r="I8" s="8">
        <v>0</v>
      </c>
      <c r="J8" s="8">
        <v>4.8327137546468397E-2</v>
      </c>
      <c r="K8" s="1">
        <f t="shared" si="0"/>
        <v>0.29739776951672819</v>
      </c>
      <c r="L8" s="1">
        <f t="shared" si="1"/>
        <v>0</v>
      </c>
    </row>
    <row r="9" spans="1:12" x14ac:dyDescent="0.25">
      <c r="A9" s="2">
        <v>80</v>
      </c>
      <c r="B9" s="8">
        <v>1.5950920245398698E-2</v>
      </c>
      <c r="C9" s="8">
        <v>2.4539877300613498E-3</v>
      </c>
      <c r="D9" s="8">
        <v>0</v>
      </c>
      <c r="E9" s="8">
        <v>0</v>
      </c>
      <c r="F9" s="8">
        <v>2.4539877300613498E-3</v>
      </c>
      <c r="G9" s="8">
        <v>0.126380368098159</v>
      </c>
      <c r="H9" s="8">
        <v>1.3496932515337399E-2</v>
      </c>
      <c r="I9" s="8">
        <v>0</v>
      </c>
      <c r="J9" s="8">
        <v>3.5582822085889497E-2</v>
      </c>
      <c r="K9" s="1">
        <f t="shared" si="0"/>
        <v>0.19631901840490731</v>
      </c>
      <c r="L9" s="1">
        <f t="shared" si="1"/>
        <v>0</v>
      </c>
    </row>
    <row r="10" spans="1:12" x14ac:dyDescent="0.25">
      <c r="A10" s="2">
        <v>90</v>
      </c>
      <c r="B10" s="8">
        <v>6.150061500615E-3</v>
      </c>
      <c r="C10" s="8">
        <v>1.230012300123E-3</v>
      </c>
      <c r="D10" s="8">
        <v>0</v>
      </c>
      <c r="E10" s="8">
        <v>0</v>
      </c>
      <c r="F10" s="8">
        <v>1.230012300123E-3</v>
      </c>
      <c r="G10" s="8">
        <v>5.9040590405904002E-2</v>
      </c>
      <c r="H10" s="8">
        <v>6.150061500615E-3</v>
      </c>
      <c r="I10" s="8">
        <v>0</v>
      </c>
      <c r="J10" s="8">
        <v>1.8450184501845001E-2</v>
      </c>
      <c r="K10" s="1">
        <f t="shared" si="0"/>
        <v>9.2250922509225008E-2</v>
      </c>
      <c r="L10" s="1">
        <f t="shared" si="1"/>
        <v>0</v>
      </c>
    </row>
    <row r="11" spans="1:12" x14ac:dyDescent="0.25">
      <c r="A11" s="3" t="s">
        <v>18</v>
      </c>
      <c r="B11" s="1">
        <f>SUBTOTAL(101,Leaves_an[C0])</f>
        <v>0.13944286528233052</v>
      </c>
      <c r="C11" s="1">
        <f>SUBTOTAL(101,Leaves_an[C1])</f>
        <v>6.6081293893703683E-3</v>
      </c>
      <c r="D11" s="1">
        <f>SUBTOTAL(101,Leaves_an[C2])</f>
        <v>1.919503467752201E-3</v>
      </c>
      <c r="E11" s="1">
        <f>SUBTOTAL(101,Leaves_an[C3])</f>
        <v>0</v>
      </c>
      <c r="F11" s="1">
        <f>SUBTOTAL(101,Leaves_an[C4])</f>
        <v>2.6508770294239717E-2</v>
      </c>
      <c r="G11" s="1">
        <f>SUBTOTAL(101,Leaves_an[C5])</f>
        <v>0.25207067869091165</v>
      </c>
      <c r="H11" s="1">
        <f>SUBTOTAL(101,Leaves_an[C6])</f>
        <v>2.472395405302873E-2</v>
      </c>
      <c r="I11" s="1">
        <f>SUBTOTAL(101,Leaves_an[C7])</f>
        <v>0</v>
      </c>
      <c r="J11" s="1">
        <f>SUBTOTAL(101,Leaves_an[C8])</f>
        <v>4.7054446124540295E-2</v>
      </c>
      <c r="L11" s="1"/>
    </row>
  </sheetData>
  <conditionalFormatting sqref="B11:J11">
    <cfRule type="cellIs" dxfId="1" priority="1" operator="equal">
      <formula>0</formula>
    </cfRule>
  </conditionalFormatting>
  <conditionalFormatting sqref="B2:J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K2:K10" formulaRange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E8A0-9850-4ABF-9B2C-255AB368BDA0}">
  <sheetPr>
    <tabColor theme="5"/>
  </sheetPr>
  <dimension ref="A1:O39"/>
  <sheetViews>
    <sheetView workbookViewId="0">
      <selection activeCell="F8" sqref="F8"/>
    </sheetView>
  </sheetViews>
  <sheetFormatPr defaultRowHeight="15" x14ac:dyDescent="0.25"/>
  <cols>
    <col min="1" max="1" width="16.28515625" bestFit="1" customWidth="1"/>
    <col min="2" max="10" width="8.7109375" customWidth="1"/>
    <col min="12" max="12" width="8.28515625" bestFit="1" customWidth="1"/>
    <col min="13" max="13" width="26.28515625" bestFit="1" customWidth="1"/>
    <col min="14" max="14" width="30.42578125" bestFit="1" customWidth="1"/>
    <col min="15" max="15" width="29.140625" bestFit="1" customWidth="1"/>
  </cols>
  <sheetData>
    <row r="1" spans="1:15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L1" t="s">
        <v>17</v>
      </c>
      <c r="M1" t="s">
        <v>20</v>
      </c>
      <c r="N1" t="s">
        <v>21</v>
      </c>
      <c r="O1" t="s">
        <v>22</v>
      </c>
    </row>
    <row r="2" spans="1:15" x14ac:dyDescent="0.25">
      <c r="A2" s="10">
        <v>0.1</v>
      </c>
      <c r="B2" s="19">
        <f>Leaves_an[[#This Row],[C0]]/Leaves_an[[#This Row],[Sum]]</f>
        <v>0.54962779156327601</v>
      </c>
      <c r="C2" s="19">
        <f>Leaves_an[[#This Row],[C1]]/Leaves_an[[#This Row],[Sum]]</f>
        <v>8.6848635235732118E-3</v>
      </c>
      <c r="D2" s="19">
        <f>Leaves_an[[#This Row],[C2]]/Leaves_an[[#This Row],[Sum]]</f>
        <v>8.6848635235732118E-3</v>
      </c>
      <c r="E2" s="19">
        <f>Leaves_an[[#This Row],[C3]]/Leaves_an[[#This Row],[Sum]]</f>
        <v>0</v>
      </c>
      <c r="F2" s="19">
        <f>Leaves_an[[#This Row],[C4]]/Leaves_an[[#This Row],[Sum]]</f>
        <v>7.3200992555831373E-2</v>
      </c>
      <c r="G2" s="19">
        <f>Leaves_an[[#This Row],[C5]]/Leaves_an[[#This Row],[Sum]]</f>
        <v>0.3114143920595529</v>
      </c>
      <c r="H2" s="19">
        <f>Leaves_an[[#This Row],[C6]]/Leaves_an[[#This Row],[Sum]]</f>
        <v>2.2332506203473969E-2</v>
      </c>
      <c r="I2" s="19">
        <f>Leaves_an[[#This Row],[C7]]/Leaves_an[[#This Row],[Sum]]</f>
        <v>0</v>
      </c>
      <c r="J2" s="19">
        <f>Leaves_an[[#This Row],[C8]]/Leaves_an[[#This Row],[Sum]]</f>
        <v>2.6054590570719554E-2</v>
      </c>
      <c r="L2" s="3">
        <v>10</v>
      </c>
      <c r="M2" s="1">
        <f>Table_an_n12[[#This Row],[0 Classif.]]</f>
        <v>0.54962779156327601</v>
      </c>
      <c r="N2" s="1">
        <f>SUM(Table_an_n12[[#This Row],[1 Classif.]:[7 Classif.]])</f>
        <v>0.42431761786600469</v>
      </c>
      <c r="O2" s="1">
        <f>Table_an_n12[[#This Row],[8 Classif.]]</f>
        <v>2.6054590570719554E-2</v>
      </c>
    </row>
    <row r="3" spans="1:15" x14ac:dyDescent="0.25">
      <c r="A3" s="10">
        <v>0.2</v>
      </c>
      <c r="B3" s="19">
        <f>Leaves_an[[#This Row],[C0]]/Leaves_an[[#This Row],[Sum]]</f>
        <v>0.36934306569343095</v>
      </c>
      <c r="C3" s="19">
        <f>Leaves_an[[#This Row],[C1]]/Leaves_an[[#This Row],[Sum]]</f>
        <v>1.3138686131386768E-2</v>
      </c>
      <c r="D3" s="19">
        <f>Leaves_an[[#This Row],[C2]]/Leaves_an[[#This Row],[Sum]]</f>
        <v>7.2992700729926953E-3</v>
      </c>
      <c r="E3" s="19">
        <f>Leaves_an[[#This Row],[C3]]/Leaves_an[[#This Row],[Sum]]</f>
        <v>0</v>
      </c>
      <c r="F3" s="19">
        <f>Leaves_an[[#This Row],[C4]]/Leaves_an[[#This Row],[Sum]]</f>
        <v>8.4671532846715372E-2</v>
      </c>
      <c r="G3" s="19">
        <f>Leaves_an[[#This Row],[C5]]/Leaves_an[[#This Row],[Sum]]</f>
        <v>0.42481751824817499</v>
      </c>
      <c r="H3" s="19">
        <f>Leaves_an[[#This Row],[C6]]/Leaves_an[[#This Row],[Sum]]</f>
        <v>4.2335766423357624E-2</v>
      </c>
      <c r="I3" s="19">
        <f>Leaves_an[[#This Row],[C7]]/Leaves_an[[#This Row],[Sum]]</f>
        <v>0</v>
      </c>
      <c r="J3" s="19">
        <f>Leaves_an[[#This Row],[C8]]/Leaves_an[[#This Row],[Sum]]</f>
        <v>5.839416058394159E-2</v>
      </c>
      <c r="L3" s="3">
        <v>20</v>
      </c>
      <c r="M3" s="1">
        <f>Table_an_n12[[#This Row],[0 Classif.]]</f>
        <v>0.36934306569343095</v>
      </c>
      <c r="N3" s="1">
        <f>SUM(Table_an_n12[[#This Row],[1 Classif.]:[7 Classif.]])</f>
        <v>0.57226277372262735</v>
      </c>
      <c r="O3" s="1">
        <f>Table_an_n12[[#This Row],[8 Classif.]]</f>
        <v>5.839416058394159E-2</v>
      </c>
    </row>
    <row r="4" spans="1:15" x14ac:dyDescent="0.25">
      <c r="A4" s="10">
        <v>0.3</v>
      </c>
      <c r="B4" s="19">
        <f>Leaves_an[[#This Row],[C0]]/Leaves_an[[#This Row],[Sum]]</f>
        <v>0.2508474576271183</v>
      </c>
      <c r="C4" s="19">
        <f>Leaves_an[[#This Row],[C1]]/Leaves_an[[#This Row],[Sum]]</f>
        <v>1.5254237288135587E-2</v>
      </c>
      <c r="D4" s="19">
        <f>Leaves_an[[#This Row],[C2]]/Leaves_an[[#This Row],[Sum]]</f>
        <v>3.389830508474577E-3</v>
      </c>
      <c r="E4" s="19">
        <f>Leaves_an[[#This Row],[C3]]/Leaves_an[[#This Row],[Sum]]</f>
        <v>0</v>
      </c>
      <c r="F4" s="19">
        <f>Leaves_an[[#This Row],[C4]]/Leaves_an[[#This Row],[Sum]]</f>
        <v>6.1016949152542348E-2</v>
      </c>
      <c r="G4" s="19">
        <f>Leaves_an[[#This Row],[C5]]/Leaves_an[[#This Row],[Sum]]</f>
        <v>0.53220338983050863</v>
      </c>
      <c r="H4" s="19">
        <f>Leaves_an[[#This Row],[C6]]/Leaves_an[[#This Row],[Sum]]</f>
        <v>5.0847457627118724E-2</v>
      </c>
      <c r="I4" s="19">
        <f>Leaves_an[[#This Row],[C7]]/Leaves_an[[#This Row],[Sum]]</f>
        <v>0</v>
      </c>
      <c r="J4" s="19">
        <f>Leaves_an[[#This Row],[C8]]/Leaves_an[[#This Row],[Sum]]</f>
        <v>8.6440677966101706E-2</v>
      </c>
      <c r="L4" s="3">
        <v>30</v>
      </c>
      <c r="M4" s="1">
        <f>Table_an_n12[[#This Row],[0 Classif.]]</f>
        <v>0.2508474576271183</v>
      </c>
      <c r="N4" s="1">
        <f>SUM(Table_an_n12[[#This Row],[1 Classif.]:[7 Classif.]])</f>
        <v>0.66271186440677987</v>
      </c>
      <c r="O4" s="1">
        <f>Table_an_n12[[#This Row],[8 Classif.]]</f>
        <v>8.6440677966101706E-2</v>
      </c>
    </row>
    <row r="5" spans="1:15" x14ac:dyDescent="0.25">
      <c r="A5" s="10">
        <v>0.4</v>
      </c>
      <c r="B5" s="19">
        <f>Leaves_an[[#This Row],[C0]]/Leaves_an[[#This Row],[Sum]]</f>
        <v>0.18924302788844594</v>
      </c>
      <c r="C5" s="19">
        <f>Leaves_an[[#This Row],[C1]]/Leaves_an[[#This Row],[Sum]]</f>
        <v>1.5936254980079691E-2</v>
      </c>
      <c r="D5" s="19">
        <f>Leaves_an[[#This Row],[C2]]/Leaves_an[[#This Row],[Sum]]</f>
        <v>1.992031872509951E-3</v>
      </c>
      <c r="E5" s="19">
        <f>Leaves_an[[#This Row],[C3]]/Leaves_an[[#This Row],[Sum]]</f>
        <v>0</v>
      </c>
      <c r="F5" s="19">
        <f>Leaves_an[[#This Row],[C4]]/Leaves_an[[#This Row],[Sum]]</f>
        <v>4.9800796812749022E-2</v>
      </c>
      <c r="G5" s="19">
        <f>Leaves_an[[#This Row],[C5]]/Leaves_an[[#This Row],[Sum]]</f>
        <v>0.57569721115537875</v>
      </c>
      <c r="H5" s="19">
        <f>Leaves_an[[#This Row],[C6]]/Leaves_an[[#This Row],[Sum]]</f>
        <v>5.7768924302788856E-2</v>
      </c>
      <c r="I5" s="19">
        <f>Leaves_an[[#This Row],[C7]]/Leaves_an[[#This Row],[Sum]]</f>
        <v>0</v>
      </c>
      <c r="J5" s="19">
        <f>Leaves_an[[#This Row],[C8]]/Leaves_an[[#This Row],[Sum]]</f>
        <v>0.10956175298804789</v>
      </c>
      <c r="L5" s="3">
        <v>40</v>
      </c>
      <c r="M5" s="1">
        <f>Table_an_n12[[#This Row],[0 Classif.]]</f>
        <v>0.18924302788844594</v>
      </c>
      <c r="N5" s="1">
        <f>SUM(Table_an_n12[[#This Row],[1 Classif.]:[7 Classif.]])</f>
        <v>0.70119521912350635</v>
      </c>
      <c r="O5" s="1">
        <f>Table_an_n12[[#This Row],[8 Classif.]]</f>
        <v>0.10956175298804789</v>
      </c>
    </row>
    <row r="6" spans="1:15" x14ac:dyDescent="0.25">
      <c r="A6" s="10">
        <v>0.5</v>
      </c>
      <c r="B6" s="19">
        <f>Leaves_an[[#This Row],[C0]]/Leaves_an[[#This Row],[Sum]]</f>
        <v>0.14039408866995073</v>
      </c>
      <c r="C6" s="19">
        <f>Leaves_an[[#This Row],[C1]]/Leaves_an[[#This Row],[Sum]]</f>
        <v>1.4778325123152712E-2</v>
      </c>
      <c r="D6" s="19">
        <f>Leaves_an[[#This Row],[C2]]/Leaves_an[[#This Row],[Sum]]</f>
        <v>0</v>
      </c>
      <c r="E6" s="19">
        <f>Leaves_an[[#This Row],[C3]]/Leaves_an[[#This Row],[Sum]]</f>
        <v>0</v>
      </c>
      <c r="F6" s="19">
        <f>Leaves_an[[#This Row],[C4]]/Leaves_an[[#This Row],[Sum]]</f>
        <v>2.9556650246305344E-2</v>
      </c>
      <c r="G6" s="19">
        <f>Leaves_an[[#This Row],[C5]]/Leaves_an[[#This Row],[Sum]]</f>
        <v>0.61822660098522175</v>
      </c>
      <c r="H6" s="19">
        <f>Leaves_an[[#This Row],[C6]]/Leaves_an[[#This Row],[Sum]]</f>
        <v>6.4039408866995079E-2</v>
      </c>
      <c r="I6" s="19">
        <f>Leaves_an[[#This Row],[C7]]/Leaves_an[[#This Row],[Sum]]</f>
        <v>0</v>
      </c>
      <c r="J6" s="19">
        <f>Leaves_an[[#This Row],[C8]]/Leaves_an[[#This Row],[Sum]]</f>
        <v>0.13300492610837433</v>
      </c>
      <c r="L6" s="3">
        <v>50</v>
      </c>
      <c r="M6" s="1">
        <f>Table_an_n12[[#This Row],[0 Classif.]]</f>
        <v>0.14039408866995073</v>
      </c>
      <c r="N6" s="1">
        <f>SUM(Table_an_n12[[#This Row],[1 Classif.]:[7 Classif.]])</f>
        <v>0.72660098522167493</v>
      </c>
      <c r="O6" s="1">
        <f>Table_an_n12[[#This Row],[8 Classif.]]</f>
        <v>0.13300492610837433</v>
      </c>
    </row>
    <row r="7" spans="1:15" x14ac:dyDescent="0.25">
      <c r="A7" s="10">
        <v>0.6</v>
      </c>
      <c r="B7" s="19">
        <f>Leaves_an[[#This Row],[C0]]/Leaves_an[[#This Row],[Sum]]</f>
        <v>0.13230769230769221</v>
      </c>
      <c r="C7" s="19">
        <f>Leaves_an[[#This Row],[C1]]/Leaves_an[[#This Row],[Sum]]</f>
        <v>1.5384615384615391E-2</v>
      </c>
      <c r="D7" s="19">
        <f>Leaves_an[[#This Row],[C2]]/Leaves_an[[#This Row],[Sum]]</f>
        <v>0</v>
      </c>
      <c r="E7" s="19">
        <f>Leaves_an[[#This Row],[C3]]/Leaves_an[[#This Row],[Sum]]</f>
        <v>0</v>
      </c>
      <c r="F7" s="19">
        <f>Leaves_an[[#This Row],[C4]]/Leaves_an[[#This Row],[Sum]]</f>
        <v>2.4615384615384622E-2</v>
      </c>
      <c r="G7" s="19">
        <f>Leaves_an[[#This Row],[C5]]/Leaves_an[[#This Row],[Sum]]</f>
        <v>0.61538461538461553</v>
      </c>
      <c r="H7" s="19">
        <f>Leaves_an[[#This Row],[C6]]/Leaves_an[[#This Row],[Sum]]</f>
        <v>6.4615384615384575E-2</v>
      </c>
      <c r="I7" s="19">
        <f>Leaves_an[[#This Row],[C7]]/Leaves_an[[#This Row],[Sum]]</f>
        <v>0</v>
      </c>
      <c r="J7" s="19">
        <f>Leaves_an[[#This Row],[C8]]/Leaves_an[[#This Row],[Sum]]</f>
        <v>0.14769230769230757</v>
      </c>
      <c r="L7" s="3">
        <v>60</v>
      </c>
      <c r="M7" s="1">
        <f>Table_an_n12[[#This Row],[0 Classif.]]</f>
        <v>0.13230769230769221</v>
      </c>
      <c r="N7" s="1">
        <f>SUM(Table_an_n12[[#This Row],[1 Classif.]:[7 Classif.]])</f>
        <v>0.7200000000000002</v>
      </c>
      <c r="O7" s="1">
        <f>Table_an_n12[[#This Row],[8 Classif.]]</f>
        <v>0.14769230769230757</v>
      </c>
    </row>
    <row r="8" spans="1:15" x14ac:dyDescent="0.25">
      <c r="A8" s="10">
        <v>0.7</v>
      </c>
      <c r="B8" s="19">
        <f>Leaves_an[[#This Row],[C0]]/Leaves_an[[#This Row],[Sum]]</f>
        <v>9.5833333333333159E-2</v>
      </c>
      <c r="C8" s="19">
        <f>Leaves_an[[#This Row],[C1]]/Leaves_an[[#This Row],[Sum]]</f>
        <v>1.2499999999999992E-2</v>
      </c>
      <c r="D8" s="19">
        <f>Leaves_an[[#This Row],[C2]]/Leaves_an[[#This Row],[Sum]]</f>
        <v>0</v>
      </c>
      <c r="E8" s="19">
        <f>Leaves_an[[#This Row],[C3]]/Leaves_an[[#This Row],[Sum]]</f>
        <v>0</v>
      </c>
      <c r="F8" s="19">
        <f>Leaves_an[[#This Row],[C4]]/Leaves_an[[#This Row],[Sum]]</f>
        <v>1.2499999999999992E-2</v>
      </c>
      <c r="G8" s="19">
        <f>Leaves_an[[#This Row],[C5]]/Leaves_an[[#This Row],[Sum]]</f>
        <v>0.64583333333333348</v>
      </c>
      <c r="H8" s="19">
        <f>Leaves_an[[#This Row],[C6]]/Leaves_an[[#This Row],[Sum]]</f>
        <v>7.0833333333333179E-2</v>
      </c>
      <c r="I8" s="19">
        <f>Leaves_an[[#This Row],[C7]]/Leaves_an[[#This Row],[Sum]]</f>
        <v>0</v>
      </c>
      <c r="J8" s="19">
        <f>Leaves_an[[#This Row],[C8]]/Leaves_an[[#This Row],[Sum]]</f>
        <v>0.16250000000000023</v>
      </c>
      <c r="L8" s="3">
        <v>70</v>
      </c>
      <c r="M8" s="1">
        <f>Table_an_n12[[#This Row],[0 Classif.]]</f>
        <v>9.5833333333333159E-2</v>
      </c>
      <c r="N8" s="1">
        <f>SUM(Table_an_n12[[#This Row],[1 Classif.]:[7 Classif.]])</f>
        <v>0.7416666666666667</v>
      </c>
      <c r="O8" s="1">
        <f>Table_an_n12[[#This Row],[8 Classif.]]</f>
        <v>0.16250000000000023</v>
      </c>
    </row>
    <row r="9" spans="1:15" x14ac:dyDescent="0.25">
      <c r="A9" s="10">
        <v>0.8</v>
      </c>
      <c r="B9" s="19">
        <f>Leaves_an[[#This Row],[C0]]/Leaves_an[[#This Row],[Sum]]</f>
        <v>8.1249999999999892E-2</v>
      </c>
      <c r="C9" s="19">
        <f>Leaves_an[[#This Row],[C1]]/Leaves_an[[#This Row],[Sum]]</f>
        <v>1.2500000000000042E-2</v>
      </c>
      <c r="D9" s="19">
        <f>Leaves_an[[#This Row],[C2]]/Leaves_an[[#This Row],[Sum]]</f>
        <v>0</v>
      </c>
      <c r="E9" s="19">
        <f>Leaves_an[[#This Row],[C3]]/Leaves_an[[#This Row],[Sum]]</f>
        <v>0</v>
      </c>
      <c r="F9" s="19">
        <f>Leaves_an[[#This Row],[C4]]/Leaves_an[[#This Row],[Sum]]</f>
        <v>1.2500000000000042E-2</v>
      </c>
      <c r="G9" s="19">
        <f>Leaves_an[[#This Row],[C5]]/Leaves_an[[#This Row],[Sum]]</f>
        <v>0.6437499999999996</v>
      </c>
      <c r="H9" s="19">
        <f>Leaves_an[[#This Row],[C6]]/Leaves_an[[#This Row],[Sum]]</f>
        <v>6.8750000000000103E-2</v>
      </c>
      <c r="I9" s="19">
        <f>Leaves_an[[#This Row],[C7]]/Leaves_an[[#This Row],[Sum]]</f>
        <v>0</v>
      </c>
      <c r="J9" s="19">
        <f>Leaves_an[[#This Row],[C8]]/Leaves_an[[#This Row],[Sum]]</f>
        <v>0.18125000000000024</v>
      </c>
      <c r="L9" s="3">
        <v>80</v>
      </c>
      <c r="M9" s="1">
        <f>Table_an_n12[[#This Row],[0 Classif.]]</f>
        <v>8.1249999999999892E-2</v>
      </c>
      <c r="N9" s="1">
        <f>SUM(Table_an_n12[[#This Row],[1 Classif.]:[7 Classif.]])</f>
        <v>0.73749999999999982</v>
      </c>
      <c r="O9" s="1">
        <f>Table_an_n12[[#This Row],[8 Classif.]]</f>
        <v>0.18125000000000024</v>
      </c>
    </row>
    <row r="10" spans="1:15" x14ac:dyDescent="0.25">
      <c r="A10" s="10">
        <v>0.9</v>
      </c>
      <c r="B10" s="19">
        <f>Leaves_an[[#This Row],[C0]]/Leaves_an[[#This Row],[Sum]]</f>
        <v>6.6666666666666666E-2</v>
      </c>
      <c r="C10" s="19">
        <f>Leaves_an[[#This Row],[C1]]/Leaves_an[[#This Row],[Sum]]</f>
        <v>1.3333333333333332E-2</v>
      </c>
      <c r="D10" s="19">
        <f>Leaves_an[[#This Row],[C2]]/Leaves_an[[#This Row],[Sum]]</f>
        <v>0</v>
      </c>
      <c r="E10" s="19">
        <f>Leaves_an[[#This Row],[C3]]/Leaves_an[[#This Row],[Sum]]</f>
        <v>0</v>
      </c>
      <c r="F10" s="19">
        <f>Leaves_an[[#This Row],[C4]]/Leaves_an[[#This Row],[Sum]]</f>
        <v>1.3333333333333332E-2</v>
      </c>
      <c r="G10" s="19">
        <f>Leaves_an[[#This Row],[C5]]/Leaves_an[[#This Row],[Sum]]</f>
        <v>0.64</v>
      </c>
      <c r="H10" s="19">
        <f>Leaves_an[[#This Row],[C6]]/Leaves_an[[#This Row],[Sum]]</f>
        <v>6.6666666666666666E-2</v>
      </c>
      <c r="I10" s="19">
        <f>Leaves_an[[#This Row],[C7]]/Leaves_an[[#This Row],[Sum]]</f>
        <v>0</v>
      </c>
      <c r="J10" s="19">
        <f>Leaves_an[[#This Row],[C8]]/Leaves_an[[#This Row],[Sum]]</f>
        <v>0.19999999999999998</v>
      </c>
      <c r="L10" s="3">
        <v>90</v>
      </c>
      <c r="M10" s="1">
        <f>Table_an_n12[[#This Row],[0 Classif.]]</f>
        <v>6.6666666666666666E-2</v>
      </c>
      <c r="N10" s="1">
        <f>SUM(Table_an_n12[[#This Row],[1 Classif.]:[7 Classif.]])</f>
        <v>0.73333333333333328</v>
      </c>
      <c r="O10" s="1">
        <f>Table_an_n12[[#This Row],[8 Classif.]]</f>
        <v>0.19999999999999998</v>
      </c>
    </row>
    <row r="11" spans="1:15" x14ac:dyDescent="0.25">
      <c r="A11" t="s">
        <v>19</v>
      </c>
      <c r="B11" s="19">
        <f>SUBTOTAL(101,Table_an_n12[0 Classif.])</f>
        <v>0.20839034708332374</v>
      </c>
      <c r="C11" s="19">
        <f>SUBTOTAL(101,Table_an_n12[1 Classif.])</f>
        <v>1.3501146196030746E-2</v>
      </c>
      <c r="D11" s="19">
        <f>SUBTOTAL(101,Table_an_n12[2 Classif.])</f>
        <v>2.3739995530611593E-3</v>
      </c>
      <c r="E11" s="19">
        <f>SUBTOTAL(101,Table_an_n12[3 Classif.])</f>
        <v>0</v>
      </c>
      <c r="F11" s="19">
        <f>SUBTOTAL(101,Table_an_n12[4 Classif.])</f>
        <v>4.0132848840317939E-2</v>
      </c>
      <c r="G11" s="19">
        <f>SUBTOTAL(101,Table_an_n12[5 Classif.])</f>
        <v>0.55636967344408728</v>
      </c>
      <c r="H11" s="19">
        <f>SUBTOTAL(101,Table_an_n12[6 Classif.])</f>
        <v>5.6465494226568755E-2</v>
      </c>
      <c r="I11" s="19">
        <f>SUBTOTAL(101,Table_an_n12[7 Classif.])</f>
        <v>0</v>
      </c>
      <c r="J11" s="19">
        <f>SUBTOTAL(101,Table_an_n12[8 Classif.])</f>
        <v>0.12276649065661033</v>
      </c>
      <c r="L11" s="3" t="s">
        <v>19</v>
      </c>
      <c r="M11" s="1">
        <f>SUBTOTAL(101,Table413[Not Classified Classes (%)])</f>
        <v>0.20839034708332374</v>
      </c>
      <c r="N11" s="1">
        <f>SUBTOTAL(101,Table413[Partially Classified Classes (%)])</f>
        <v>0.6688431622600659</v>
      </c>
      <c r="O11" s="1">
        <f>SUBTOTAL(101,Table413[Totally Classified Classes (%)])</f>
        <v>0.12276649065661033</v>
      </c>
    </row>
    <row r="13" spans="1:15" x14ac:dyDescent="0.25">
      <c r="B13" s="1"/>
      <c r="C13" s="1"/>
      <c r="D13" s="1"/>
      <c r="E13" s="1"/>
      <c r="F13" s="1"/>
      <c r="G13" s="1"/>
      <c r="H13" s="1"/>
    </row>
    <row r="16" spans="1:15" x14ac:dyDescent="0.25">
      <c r="A16" t="s">
        <v>40</v>
      </c>
      <c r="B16" s="8">
        <f>Table_an_n12[[#Totals],[0 Classif.]]</f>
        <v>0.20839034708332374</v>
      </c>
      <c r="C16" s="8">
        <f>Table_an_n12[[#Totals],[1 Classif.]]</f>
        <v>1.3501146196030746E-2</v>
      </c>
      <c r="D16" s="8">
        <f>Table_an_n12[[#Totals],[2 Classif.]]</f>
        <v>2.3739995530611593E-3</v>
      </c>
      <c r="E16" s="8">
        <f>Table_an_n12[[#Totals],[3 Classif.]]</f>
        <v>0</v>
      </c>
      <c r="F16" s="8">
        <f>Table_an_n12[[#Totals],[4 Classif.]]</f>
        <v>4.0132848840317939E-2</v>
      </c>
      <c r="G16" s="8">
        <f>Table_an_n12[[#Totals],[5 Classif.]]</f>
        <v>0.55636967344408728</v>
      </c>
      <c r="H16" s="8">
        <f>Table_an_n12[[#Totals],[6 Classif.]]</f>
        <v>5.6465494226568755E-2</v>
      </c>
      <c r="I16" s="8">
        <f>Table_an_n12[[#Totals],[7 Classif.]]</f>
        <v>0</v>
      </c>
      <c r="J16" s="8">
        <f>Table_an_n12[[#Totals],[8 Classif.]]</f>
        <v>0.12276649065661033</v>
      </c>
    </row>
    <row r="17" spans="1:10" x14ac:dyDescent="0.25">
      <c r="A17" t="s">
        <v>41</v>
      </c>
      <c r="B17" s="8">
        <f>Table_an_n1216[[#Totals],[0 Classif.]]</f>
        <v>2.4186802216807125E-2</v>
      </c>
      <c r="C17" s="8">
        <f>Table_an_n1216[[#Totals],[1 Classif.]]</f>
        <v>0.12999941714344357</v>
      </c>
      <c r="D17" s="8">
        <f>Table_an_n1216[[#Totals],[2 Classif.]]</f>
        <v>1.7504251597353785E-3</v>
      </c>
      <c r="E17" s="8">
        <f>Table_an_n1216[[#Totals],[3 Classif.]]</f>
        <v>0</v>
      </c>
      <c r="F17" s="8">
        <f>Table_an_n1216[[#Totals],[4 Classif.]]</f>
        <v>3.9335062014878276E-2</v>
      </c>
      <c r="G17" s="8">
        <f>Table_an_n1216[[#Totals],[5 Classif.]]</f>
        <v>0.53868887003476706</v>
      </c>
      <c r="H17" s="8">
        <f>Table_an_n1216[[#Totals],[6 Classif.]]</f>
        <v>0.12622579512631052</v>
      </c>
      <c r="I17" s="8">
        <f>Table_an_n1216[[#Totals],[7 Classif.]]</f>
        <v>0</v>
      </c>
      <c r="J17" s="8">
        <f>Table_an_n1216[[#Totals],[8 Classif.]]</f>
        <v>0.13981362830405805</v>
      </c>
    </row>
    <row r="20" spans="1:10" x14ac:dyDescent="0.25">
      <c r="B20" s="11"/>
      <c r="C20" s="11"/>
      <c r="D20" s="11"/>
      <c r="E20" s="11"/>
      <c r="F20" s="11"/>
    </row>
    <row r="21" spans="1:10" x14ac:dyDescent="0.25">
      <c r="B21" s="11"/>
      <c r="C21" s="11"/>
      <c r="D21" s="11"/>
      <c r="E21" s="11"/>
      <c r="F21" s="11"/>
      <c r="G21" s="11"/>
    </row>
    <row r="22" spans="1:10" x14ac:dyDescent="0.25">
      <c r="B22" s="8"/>
      <c r="C22" s="8"/>
      <c r="D22" s="8"/>
      <c r="E22" s="8"/>
      <c r="F22" s="8"/>
      <c r="G22" s="8"/>
    </row>
    <row r="29" spans="1:10" x14ac:dyDescent="0.25">
      <c r="C29" s="11">
        <f t="shared" ref="C29:C37" si="0">SUM(C2:F2)</f>
        <v>9.0570719602977801E-2</v>
      </c>
    </row>
    <row r="30" spans="1:10" x14ac:dyDescent="0.25">
      <c r="C30" s="11">
        <f t="shared" si="0"/>
        <v>0.10510948905109484</v>
      </c>
    </row>
    <row r="31" spans="1:10" x14ac:dyDescent="0.25">
      <c r="C31" s="11">
        <f t="shared" si="0"/>
        <v>7.9661016949152508E-2</v>
      </c>
    </row>
    <row r="32" spans="1:10" x14ac:dyDescent="0.25">
      <c r="C32" s="11">
        <f t="shared" si="0"/>
        <v>6.7729083665338669E-2</v>
      </c>
    </row>
    <row r="33" spans="3:3" x14ac:dyDescent="0.25">
      <c r="C33" s="11">
        <f t="shared" si="0"/>
        <v>4.433497536945806E-2</v>
      </c>
    </row>
    <row r="34" spans="3:3" x14ac:dyDescent="0.25">
      <c r="C34" s="11">
        <f t="shared" si="0"/>
        <v>4.0000000000000015E-2</v>
      </c>
    </row>
    <row r="35" spans="3:3" x14ac:dyDescent="0.25">
      <c r="C35" s="11">
        <f t="shared" si="0"/>
        <v>2.4999999999999984E-2</v>
      </c>
    </row>
    <row r="36" spans="3:3" x14ac:dyDescent="0.25">
      <c r="C36" s="11">
        <f t="shared" si="0"/>
        <v>2.5000000000000085E-2</v>
      </c>
    </row>
    <row r="37" spans="3:3" x14ac:dyDescent="0.25">
      <c r="C37" s="11">
        <f t="shared" si="0"/>
        <v>2.6666666666666665E-2</v>
      </c>
    </row>
    <row r="38" spans="3:3" x14ac:dyDescent="0.25">
      <c r="C38" s="11"/>
    </row>
    <row r="39" spans="3:3" x14ac:dyDescent="0.25">
      <c r="C39" s="11"/>
    </row>
  </sheetData>
  <conditionalFormatting sqref="M2:O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C523-6378-4EB1-AB16-578343CB1400}">
  <sheetPr>
    <tabColor theme="4"/>
  </sheetPr>
  <dimension ref="A1:L11"/>
  <sheetViews>
    <sheetView workbookViewId="0">
      <selection activeCell="B2" sqref="B2"/>
    </sheetView>
  </sheetViews>
  <sheetFormatPr defaultRowHeight="15" x14ac:dyDescent="0.25"/>
  <cols>
    <col min="1" max="4" width="8.7109375" customWidth="1"/>
    <col min="5" max="5" width="8.7109375" hidden="1" customWidth="1"/>
    <col min="6" max="8" width="8.7109375" customWidth="1"/>
    <col min="9" max="9" width="8.7109375" hidden="1" customWidth="1"/>
    <col min="10" max="12" width="8.7109375" customWidth="1"/>
  </cols>
  <sheetData>
    <row r="1" spans="1:12" x14ac:dyDescent="0.25">
      <c r="A1" t="s">
        <v>17</v>
      </c>
      <c r="B1" t="s">
        <v>16</v>
      </c>
      <c r="C1" t="s">
        <v>15</v>
      </c>
      <c r="D1" t="s">
        <v>14</v>
      </c>
      <c r="E1" t="s">
        <v>13</v>
      </c>
      <c r="F1" t="s">
        <v>12</v>
      </c>
      <c r="G1" t="s">
        <v>11</v>
      </c>
      <c r="H1" t="s">
        <v>10</v>
      </c>
      <c r="I1" t="s">
        <v>9</v>
      </c>
      <c r="J1" t="s">
        <v>8</v>
      </c>
      <c r="K1" t="s">
        <v>1</v>
      </c>
      <c r="L1" t="s">
        <v>0</v>
      </c>
    </row>
    <row r="2" spans="1:12" x14ac:dyDescent="0.25">
      <c r="A2" s="2">
        <v>10</v>
      </c>
      <c r="B2" s="12">
        <v>9.6124031007751895E-2</v>
      </c>
      <c r="C2" s="12">
        <v>0.32713178294573603</v>
      </c>
      <c r="D2" s="12">
        <v>6.2015503875968896E-3</v>
      </c>
      <c r="E2" s="12">
        <v>0</v>
      </c>
      <c r="F2" s="12">
        <v>7.9069767441860395E-2</v>
      </c>
      <c r="G2" s="12">
        <v>0.32093023255813902</v>
      </c>
      <c r="H2" s="12">
        <v>2.7906976744186001E-2</v>
      </c>
      <c r="I2" s="12">
        <v>0</v>
      </c>
      <c r="J2" s="12">
        <v>4.4961240310077498E-2</v>
      </c>
      <c r="K2" s="12">
        <f t="shared" ref="K2:K10" si="0">SUM(B2:J2)</f>
        <v>0.90232558139534769</v>
      </c>
      <c r="L2" s="12">
        <f t="shared" ref="L2:L10" si="1">ROUND(K2,0)</f>
        <v>1</v>
      </c>
    </row>
    <row r="3" spans="1:12" x14ac:dyDescent="0.25">
      <c r="A3" s="2">
        <v>20</v>
      </c>
      <c r="B3" s="12">
        <v>4.71698113207547E-2</v>
      </c>
      <c r="C3" s="12">
        <v>0.187106918238993</v>
      </c>
      <c r="D3" s="12">
        <v>3.1446540880503099E-3</v>
      </c>
      <c r="E3" s="12">
        <v>0</v>
      </c>
      <c r="F3" s="12">
        <v>6.4465408805031404E-2</v>
      </c>
      <c r="G3" s="12">
        <v>0.39779874213836403</v>
      </c>
      <c r="H3" s="12">
        <v>3.7735849056603703E-2</v>
      </c>
      <c r="I3" s="12">
        <v>0</v>
      </c>
      <c r="J3" s="12">
        <v>6.2893081761006206E-2</v>
      </c>
      <c r="K3" s="12">
        <f t="shared" si="0"/>
        <v>0.80031446540880324</v>
      </c>
      <c r="L3" s="12">
        <f t="shared" si="1"/>
        <v>1</v>
      </c>
    </row>
    <row r="4" spans="1:12" x14ac:dyDescent="0.25">
      <c r="A4" s="2">
        <v>30</v>
      </c>
      <c r="B4" s="12">
        <v>2.0766773162939199E-2</v>
      </c>
      <c r="C4" s="12">
        <v>0.105431309904153</v>
      </c>
      <c r="D4" s="12">
        <v>1.5974440894568601E-3</v>
      </c>
      <c r="E4" s="12">
        <v>0</v>
      </c>
      <c r="F4" s="12">
        <v>3.8338658146964799E-2</v>
      </c>
      <c r="G4" s="12">
        <v>0.41373801916932901</v>
      </c>
      <c r="H4" s="12">
        <v>4.1533546325878502E-2</v>
      </c>
      <c r="I4" s="12">
        <v>0</v>
      </c>
      <c r="J4" s="12">
        <v>7.9872204472843406E-2</v>
      </c>
      <c r="K4" s="12">
        <f t="shared" si="0"/>
        <v>0.70127795527156467</v>
      </c>
      <c r="L4" s="12">
        <f t="shared" si="1"/>
        <v>1</v>
      </c>
    </row>
    <row r="5" spans="1:12" x14ac:dyDescent="0.25">
      <c r="A5" s="2">
        <v>40</v>
      </c>
      <c r="B5" s="12">
        <v>9.6618357487922701E-3</v>
      </c>
      <c r="C5" s="12">
        <v>7.0853462157809896E-2</v>
      </c>
      <c r="D5" s="12">
        <v>1.6103059581320401E-3</v>
      </c>
      <c r="E5" s="12">
        <v>0</v>
      </c>
      <c r="F5" s="12">
        <v>3.5426731078904899E-2</v>
      </c>
      <c r="G5" s="12">
        <v>0.36070853462157798</v>
      </c>
      <c r="H5" s="12">
        <v>4.5088566827697199E-2</v>
      </c>
      <c r="I5" s="12">
        <v>0</v>
      </c>
      <c r="J5" s="12">
        <v>7.8904991948470199E-2</v>
      </c>
      <c r="K5" s="12">
        <f t="shared" si="0"/>
        <v>0.60225442834138454</v>
      </c>
      <c r="L5" s="12">
        <f t="shared" si="1"/>
        <v>1</v>
      </c>
    </row>
    <row r="6" spans="1:12" x14ac:dyDescent="0.25">
      <c r="A6" s="2">
        <v>50</v>
      </c>
      <c r="B6" s="12">
        <v>3.2626427406199001E-3</v>
      </c>
      <c r="C6" s="12">
        <v>4.07830342577487E-2</v>
      </c>
      <c r="D6" s="12">
        <v>0</v>
      </c>
      <c r="E6" s="12">
        <v>0</v>
      </c>
      <c r="F6" s="12">
        <v>1.7944535073409401E-2</v>
      </c>
      <c r="G6" s="12">
        <v>0.31484502446981999</v>
      </c>
      <c r="H6" s="12">
        <v>4.5676998368678598E-2</v>
      </c>
      <c r="I6" s="12">
        <v>0</v>
      </c>
      <c r="J6" s="12">
        <v>7.5040783034257694E-2</v>
      </c>
      <c r="K6" s="12">
        <f t="shared" si="0"/>
        <v>0.49755301794453433</v>
      </c>
      <c r="L6" s="12">
        <f t="shared" si="1"/>
        <v>0</v>
      </c>
    </row>
    <row r="7" spans="1:12" x14ac:dyDescent="0.25">
      <c r="A7" s="2">
        <v>60</v>
      </c>
      <c r="B7" s="12">
        <v>0</v>
      </c>
      <c r="C7" s="12">
        <v>2.7960526315789401E-2</v>
      </c>
      <c r="D7" s="12">
        <v>0</v>
      </c>
      <c r="E7" s="12">
        <v>0</v>
      </c>
      <c r="F7" s="12">
        <v>9.8684210526315697E-3</v>
      </c>
      <c r="G7" s="12">
        <v>0.24506578947368399</v>
      </c>
      <c r="H7" s="12">
        <v>4.4407894736842098E-2</v>
      </c>
      <c r="I7" s="12">
        <v>0</v>
      </c>
      <c r="J7" s="12">
        <v>6.5789473684210495E-2</v>
      </c>
      <c r="K7" s="12">
        <f t="shared" si="0"/>
        <v>0.39309210526315758</v>
      </c>
      <c r="L7" s="12">
        <f t="shared" si="1"/>
        <v>0</v>
      </c>
    </row>
    <row r="8" spans="1:12" x14ac:dyDescent="0.25">
      <c r="A8" s="2">
        <v>70</v>
      </c>
      <c r="B8" s="12">
        <v>0</v>
      </c>
      <c r="C8" s="12">
        <v>1.65837479270315E-2</v>
      </c>
      <c r="D8" s="12">
        <v>0</v>
      </c>
      <c r="E8" s="12">
        <v>0</v>
      </c>
      <c r="F8" s="12">
        <v>3.3167495854063002E-3</v>
      </c>
      <c r="G8" s="12">
        <v>0.18905472636815901</v>
      </c>
      <c r="H8" s="12">
        <v>3.8142620232172401E-2</v>
      </c>
      <c r="I8" s="12">
        <v>0</v>
      </c>
      <c r="J8" s="12">
        <v>4.9751243781094502E-2</v>
      </c>
      <c r="K8" s="12">
        <f t="shared" si="0"/>
        <v>0.29684908789386372</v>
      </c>
      <c r="L8" s="12">
        <f t="shared" si="1"/>
        <v>0</v>
      </c>
    </row>
    <row r="9" spans="1:12" x14ac:dyDescent="0.25">
      <c r="A9" s="2">
        <v>80</v>
      </c>
      <c r="B9" s="12">
        <v>0</v>
      </c>
      <c r="C9" s="12">
        <v>1.1744966442953E-2</v>
      </c>
      <c r="D9" s="12">
        <v>0</v>
      </c>
      <c r="E9" s="12">
        <v>0</v>
      </c>
      <c r="F9" s="12">
        <v>0</v>
      </c>
      <c r="G9" s="12">
        <v>0.114093959731543</v>
      </c>
      <c r="H9" s="12">
        <v>3.3557046979865703E-2</v>
      </c>
      <c r="I9" s="12">
        <v>0</v>
      </c>
      <c r="J9" s="12">
        <v>3.5234899328859003E-2</v>
      </c>
      <c r="K9" s="12">
        <f t="shared" si="0"/>
        <v>0.1946308724832207</v>
      </c>
      <c r="L9" s="12">
        <f t="shared" si="1"/>
        <v>0</v>
      </c>
    </row>
    <row r="10" spans="1:12" x14ac:dyDescent="0.25">
      <c r="A10" s="2">
        <v>90</v>
      </c>
      <c r="B10" s="12">
        <v>0</v>
      </c>
      <c r="C10" s="12">
        <v>3.3783783783783699E-3</v>
      </c>
      <c r="D10" s="12">
        <v>0</v>
      </c>
      <c r="E10" s="12">
        <v>0</v>
      </c>
      <c r="F10" s="12">
        <v>0</v>
      </c>
      <c r="G10" s="12">
        <v>3.04054054054054E-2</v>
      </c>
      <c r="H10" s="12">
        <v>3.8851351351351301E-2</v>
      </c>
      <c r="I10" s="12">
        <v>0</v>
      </c>
      <c r="J10" s="12">
        <v>2.0270270270270199E-2</v>
      </c>
      <c r="K10" s="12">
        <f t="shared" si="0"/>
        <v>9.2905405405405275E-2</v>
      </c>
      <c r="L10" s="12">
        <f t="shared" si="1"/>
        <v>0</v>
      </c>
    </row>
    <row r="11" spans="1:12" x14ac:dyDescent="0.25">
      <c r="A11" s="3" t="s">
        <v>18</v>
      </c>
      <c r="B11" s="12">
        <f>SUBTOTAL(101,Leaves_ac[C0])</f>
        <v>1.9665010442317551E-2</v>
      </c>
      <c r="C11" s="12">
        <f>SUBTOTAL(101,Leaves_ac[C1])</f>
        <v>8.7886014063176976E-2</v>
      </c>
      <c r="D11" s="12">
        <f>SUBTOTAL(101,Leaves_ac[C2])</f>
        <v>1.3948838359151223E-3</v>
      </c>
      <c r="E11" s="12">
        <f>SUBTOTAL(101,Leaves_ac[C3])</f>
        <v>0</v>
      </c>
      <c r="F11" s="12">
        <f>SUBTOTAL(101,Leaves_ac[C4])</f>
        <v>2.7603363464912087E-2</v>
      </c>
      <c r="G11" s="12">
        <f>SUBTOTAL(101,Leaves_ac[C5])</f>
        <v>0.26518227043733567</v>
      </c>
      <c r="H11" s="12">
        <f>SUBTOTAL(101,Leaves_ac[C6])</f>
        <v>3.9211205624808392E-2</v>
      </c>
      <c r="I11" s="12">
        <f>SUBTOTAL(101,Leaves_ac[C7])</f>
        <v>0</v>
      </c>
      <c r="J11" s="12">
        <f>SUBTOTAL(101,Leaves_ac[C8])</f>
        <v>5.6968687621232132E-2</v>
      </c>
      <c r="K11" s="12"/>
      <c r="L11" s="12"/>
    </row>
  </sheetData>
  <conditionalFormatting sqref="B11:J11">
    <cfRule type="cellIs" dxfId="0" priority="1" operator="equal">
      <formula>0</formula>
    </cfRule>
  </conditionalFormatting>
  <conditionalFormatting sqref="B2:J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K2:K10" formulaRange="1"/>
  </ignoredErrors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AA84-738C-459C-B062-8B1454F48005}">
  <sheetPr>
    <tabColor theme="5"/>
  </sheetPr>
  <dimension ref="A1:O21"/>
  <sheetViews>
    <sheetView workbookViewId="0">
      <selection activeCell="C2" sqref="C2:F11"/>
    </sheetView>
  </sheetViews>
  <sheetFormatPr defaultRowHeight="15" x14ac:dyDescent="0.25"/>
  <cols>
    <col min="1" max="1" width="9.7109375" bestFit="1" customWidth="1"/>
    <col min="2" max="4" width="8.7109375" customWidth="1"/>
    <col min="5" max="5" width="8.7109375" hidden="1" customWidth="1"/>
    <col min="6" max="8" width="8.7109375" customWidth="1"/>
    <col min="9" max="9" width="8.7109375" hidden="1" customWidth="1"/>
    <col min="10" max="10" width="8.7109375" customWidth="1"/>
    <col min="12" max="12" width="10.7109375" customWidth="1"/>
    <col min="13" max="15" width="15.7109375" customWidth="1"/>
  </cols>
  <sheetData>
    <row r="1" spans="1:15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L1" t="s">
        <v>17</v>
      </c>
      <c r="M1" t="s">
        <v>20</v>
      </c>
      <c r="N1" t="s">
        <v>21</v>
      </c>
      <c r="O1" t="s">
        <v>22</v>
      </c>
    </row>
    <row r="2" spans="1:15" x14ac:dyDescent="0.25">
      <c r="A2" s="9">
        <v>0.1</v>
      </c>
      <c r="B2" s="19">
        <f>Leaves_ac[[#This Row],[C0]]/Leaves_ac[[#This Row],[Sum]]</f>
        <v>0.10652920962199322</v>
      </c>
      <c r="C2" s="19">
        <f>Leaves_ac[[#This Row],[C1]]/Leaves_ac[[#This Row],[Sum]]</f>
        <v>0.36254295532646047</v>
      </c>
      <c r="D2" s="19">
        <f>Leaves_ac[[#This Row],[C2]]/Leaves_ac[[#This Row],[Sum]]</f>
        <v>6.8728522336769741E-3</v>
      </c>
      <c r="E2" s="19">
        <f>Leaves_ac[[#This Row],[C3]]/Leaves_ac[[#This Row],[Sum]]</f>
        <v>0</v>
      </c>
      <c r="F2" s="19">
        <f>Leaves_ac[[#This Row],[C4]]/Leaves_ac[[#This Row],[Sum]]</f>
        <v>8.7628865979381479E-2</v>
      </c>
      <c r="G2" s="19">
        <f>Leaves_ac[[#This Row],[C5]]/Leaves_ac[[#This Row],[Sum]]</f>
        <v>0.35567010309278341</v>
      </c>
      <c r="H2" s="19">
        <f>Leaves_ac[[#This Row],[C6]]/Leaves_ac[[#This Row],[Sum]]</f>
        <v>3.0927835051546382E-2</v>
      </c>
      <c r="I2" s="19">
        <f>Leaves_ac[[#This Row],[C7]]/Leaves_ac[[#This Row],[Sum]]</f>
        <v>0</v>
      </c>
      <c r="J2" s="19">
        <f>Leaves_ac[[#This Row],[C8]]/Leaves_ac[[#This Row],[Sum]]</f>
        <v>4.9828178694158114E-2</v>
      </c>
      <c r="L2" s="3">
        <v>10</v>
      </c>
      <c r="M2" s="1">
        <f>Table_an_n1216[[#This Row],[0 Classif.]]</f>
        <v>0.10652920962199322</v>
      </c>
      <c r="N2" s="1">
        <f>SUM(Table_an_n1216[[#This Row],[1 Classif.]:[7 Classif.]])</f>
        <v>0.84364261168384869</v>
      </c>
      <c r="O2" s="1">
        <f>Table_an_n1216[[#This Row],[8 Classif.]]</f>
        <v>4.9828178694158114E-2</v>
      </c>
    </row>
    <row r="3" spans="1:15" x14ac:dyDescent="0.25">
      <c r="A3" s="9">
        <v>0.2</v>
      </c>
      <c r="B3" s="19">
        <f>Leaves_ac[[#This Row],[C0]]/Leaves_ac[[#This Row],[Sum]]</f>
        <v>5.8939096267190683E-2</v>
      </c>
      <c r="C3" s="19">
        <f>Leaves_ac[[#This Row],[C1]]/Leaves_ac[[#This Row],[Sum]]</f>
        <v>0.23379174852652224</v>
      </c>
      <c r="D3" s="19">
        <f>Leaves_ac[[#This Row],[C2]]/Leaves_ac[[#This Row],[Sum]]</f>
        <v>3.9292730844793745E-3</v>
      </c>
      <c r="E3" s="19">
        <f>Leaves_ac[[#This Row],[C3]]/Leaves_ac[[#This Row],[Sum]]</f>
        <v>0</v>
      </c>
      <c r="F3" s="19">
        <f>Leaves_ac[[#This Row],[C4]]/Leaves_ac[[#This Row],[Sum]]</f>
        <v>8.0550098231827238E-2</v>
      </c>
      <c r="G3" s="19">
        <f>Leaves_ac[[#This Row],[C5]]/Leaves_ac[[#This Row],[Sum]]</f>
        <v>0.49705304518664062</v>
      </c>
      <c r="H3" s="19">
        <f>Leaves_ac[[#This Row],[C6]]/Leaves_ac[[#This Row],[Sum]]</f>
        <v>4.715127701375247E-2</v>
      </c>
      <c r="I3" s="19">
        <f>Leaves_ac[[#This Row],[C7]]/Leaves_ac[[#This Row],[Sum]]</f>
        <v>0</v>
      </c>
      <c r="J3" s="19">
        <f>Leaves_ac[[#This Row],[C8]]/Leaves_ac[[#This Row],[Sum]]</f>
        <v>7.8585461689587494E-2</v>
      </c>
      <c r="L3" s="3">
        <v>20</v>
      </c>
      <c r="M3" s="1">
        <f>Table_an_n1216[[#This Row],[0 Classif.]]</f>
        <v>5.8939096267190683E-2</v>
      </c>
      <c r="N3" s="1">
        <f>SUM(Table_an_n1216[[#This Row],[1 Classif.]:[7 Classif.]])</f>
        <v>0.86247544204322191</v>
      </c>
      <c r="O3" s="1">
        <f>Table_an_n1216[[#This Row],[8 Classif.]]</f>
        <v>7.8585461689587494E-2</v>
      </c>
    </row>
    <row r="4" spans="1:15" x14ac:dyDescent="0.25">
      <c r="A4" s="9">
        <v>0.3</v>
      </c>
      <c r="B4" s="19">
        <f>Leaves_ac[[#This Row],[C0]]/Leaves_ac[[#This Row],[Sum]]</f>
        <v>2.9612756264236796E-2</v>
      </c>
      <c r="C4" s="19">
        <f>Leaves_ac[[#This Row],[C1]]/Leaves_ac[[#This Row],[Sum]]</f>
        <v>0.15034168564920242</v>
      </c>
      <c r="D4" s="19">
        <f>Leaves_ac[[#This Row],[C2]]/Leaves_ac[[#This Row],[Sum]]</f>
        <v>2.2779043280182132E-3</v>
      </c>
      <c r="E4" s="19">
        <f>Leaves_ac[[#This Row],[C3]]/Leaves_ac[[#This Row],[Sum]]</f>
        <v>0</v>
      </c>
      <c r="F4" s="19">
        <f>Leaves_ac[[#This Row],[C4]]/Leaves_ac[[#This Row],[Sum]]</f>
        <v>5.4669703872437338E-2</v>
      </c>
      <c r="G4" s="19">
        <f>Leaves_ac[[#This Row],[C5]]/Leaves_ac[[#This Row],[Sum]]</f>
        <v>0.58997722095672045</v>
      </c>
      <c r="H4" s="19">
        <f>Leaves_ac[[#This Row],[C6]]/Leaves_ac[[#This Row],[Sum]]</f>
        <v>5.9225512528473745E-2</v>
      </c>
      <c r="I4" s="19">
        <f>Leaves_ac[[#This Row],[C7]]/Leaves_ac[[#This Row],[Sum]]</f>
        <v>0</v>
      </c>
      <c r="J4" s="19">
        <f>Leaves_ac[[#This Row],[C8]]/Leaves_ac[[#This Row],[Sum]]</f>
        <v>0.11389521640091123</v>
      </c>
      <c r="L4" s="3">
        <v>30</v>
      </c>
      <c r="M4" s="1">
        <f>Table_an_n1216[[#This Row],[0 Classif.]]</f>
        <v>2.9612756264236796E-2</v>
      </c>
      <c r="N4" s="1">
        <f>SUM(Table_an_n1216[[#This Row],[1 Classif.]:[7 Classif.]])</f>
        <v>0.85649202733485219</v>
      </c>
      <c r="O4" s="1">
        <f>Table_an_n1216[[#This Row],[8 Classif.]]</f>
        <v>0.11389521640091123</v>
      </c>
    </row>
    <row r="5" spans="1:15" x14ac:dyDescent="0.25">
      <c r="A5" s="9">
        <v>0.4</v>
      </c>
      <c r="B5" s="19">
        <f>Leaves_ac[[#This Row],[C0]]/Leaves_ac[[#This Row],[Sum]]</f>
        <v>1.604278074866311E-2</v>
      </c>
      <c r="C5" s="19">
        <f>Leaves_ac[[#This Row],[C1]]/Leaves_ac[[#This Row],[Sum]]</f>
        <v>0.11764705882352933</v>
      </c>
      <c r="D5" s="19">
        <f>Leaves_ac[[#This Row],[C2]]/Leaves_ac[[#This Row],[Sum]]</f>
        <v>2.6737967914438436E-3</v>
      </c>
      <c r="E5" s="19">
        <f>Leaves_ac[[#This Row],[C3]]/Leaves_ac[[#This Row],[Sum]]</f>
        <v>0</v>
      </c>
      <c r="F5" s="19">
        <f>Leaves_ac[[#This Row],[C4]]/Leaves_ac[[#This Row],[Sum]]</f>
        <v>5.8823529411764587E-2</v>
      </c>
      <c r="G5" s="19">
        <f>Leaves_ac[[#This Row],[C5]]/Leaves_ac[[#This Row],[Sum]]</f>
        <v>0.59893048128342263</v>
      </c>
      <c r="H5" s="19">
        <f>Leaves_ac[[#This Row],[C6]]/Leaves_ac[[#This Row],[Sum]]</f>
        <v>7.4866310160427746E-2</v>
      </c>
      <c r="I5" s="19">
        <f>Leaves_ac[[#This Row],[C7]]/Leaves_ac[[#This Row],[Sum]]</f>
        <v>0</v>
      </c>
      <c r="J5" s="19">
        <f>Leaves_ac[[#This Row],[C8]]/Leaves_ac[[#This Row],[Sum]]</f>
        <v>0.13101604278074871</v>
      </c>
      <c r="L5" s="3">
        <v>40</v>
      </c>
      <c r="M5" s="1">
        <f>Table_an_n1216[[#This Row],[0 Classif.]]</f>
        <v>1.604278074866311E-2</v>
      </c>
      <c r="N5" s="1">
        <f>SUM(Table_an_n1216[[#This Row],[1 Classif.]:[7 Classif.]])</f>
        <v>0.8529411764705882</v>
      </c>
      <c r="O5" s="1">
        <f>Table_an_n1216[[#This Row],[8 Classif.]]</f>
        <v>0.13101604278074871</v>
      </c>
    </row>
    <row r="6" spans="1:15" x14ac:dyDescent="0.25">
      <c r="A6" s="9">
        <v>0.5</v>
      </c>
      <c r="B6" s="19">
        <f>Leaves_ac[[#This Row],[C0]]/Leaves_ac[[#This Row],[Sum]]</f>
        <v>6.5573770491803339E-3</v>
      </c>
      <c r="C6" s="19">
        <f>Leaves_ac[[#This Row],[C1]]/Leaves_ac[[#This Row],[Sum]]</f>
        <v>8.1967213114754064E-2</v>
      </c>
      <c r="D6" s="19">
        <f>Leaves_ac[[#This Row],[C2]]/Leaves_ac[[#This Row],[Sum]]</f>
        <v>0</v>
      </c>
      <c r="E6" s="19">
        <f>Leaves_ac[[#This Row],[C3]]/Leaves_ac[[#This Row],[Sum]]</f>
        <v>0</v>
      </c>
      <c r="F6" s="19">
        <f>Leaves_ac[[#This Row],[C4]]/Leaves_ac[[#This Row],[Sum]]</f>
        <v>3.6065573770491736E-2</v>
      </c>
      <c r="G6" s="19">
        <f>Leaves_ac[[#This Row],[C5]]/Leaves_ac[[#This Row],[Sum]]</f>
        <v>0.63278688524590143</v>
      </c>
      <c r="H6" s="19">
        <f>Leaves_ac[[#This Row],[C6]]/Leaves_ac[[#This Row],[Sum]]</f>
        <v>9.180327868852467E-2</v>
      </c>
      <c r="I6" s="19">
        <f>Leaves_ac[[#This Row],[C7]]/Leaves_ac[[#This Row],[Sum]]</f>
        <v>0</v>
      </c>
      <c r="J6" s="19">
        <f>Leaves_ac[[#This Row],[C8]]/Leaves_ac[[#This Row],[Sum]]</f>
        <v>0.15081967213114766</v>
      </c>
      <c r="L6" s="3">
        <v>50</v>
      </c>
      <c r="M6" s="1">
        <f>Table_an_n1216[[#This Row],[0 Classif.]]</f>
        <v>6.5573770491803339E-3</v>
      </c>
      <c r="N6" s="1">
        <f>SUM(Table_an_n1216[[#This Row],[1 Classif.]:[7 Classif.]])</f>
        <v>0.84262295081967187</v>
      </c>
      <c r="O6" s="1">
        <f>Table_an_n1216[[#This Row],[8 Classif.]]</f>
        <v>0.15081967213114766</v>
      </c>
    </row>
    <row r="7" spans="1:15" x14ac:dyDescent="0.25">
      <c r="A7" s="9">
        <v>0.6</v>
      </c>
      <c r="B7" s="19">
        <f>Leaves_ac[[#This Row],[C0]]/Leaves_ac[[#This Row],[Sum]]</f>
        <v>0</v>
      </c>
      <c r="C7" s="19">
        <f>Leaves_ac[[#This Row],[C1]]/Leaves_ac[[#This Row],[Sum]]</f>
        <v>7.1129707112970578E-2</v>
      </c>
      <c r="D7" s="19">
        <f>Leaves_ac[[#This Row],[C2]]/Leaves_ac[[#This Row],[Sum]]</f>
        <v>0</v>
      </c>
      <c r="E7" s="19">
        <f>Leaves_ac[[#This Row],[C3]]/Leaves_ac[[#This Row],[Sum]]</f>
        <v>0</v>
      </c>
      <c r="F7" s="19">
        <f>Leaves_ac[[#This Row],[C4]]/Leaves_ac[[#This Row],[Sum]]</f>
        <v>2.5104602510460247E-2</v>
      </c>
      <c r="G7" s="19">
        <f>Leaves_ac[[#This Row],[C5]]/Leaves_ac[[#This Row],[Sum]]</f>
        <v>0.62343096234309614</v>
      </c>
      <c r="H7" s="19">
        <f>Leaves_ac[[#This Row],[C6]]/Leaves_ac[[#This Row],[Sum]]</f>
        <v>0.1129707112970712</v>
      </c>
      <c r="I7" s="19">
        <f>Leaves_ac[[#This Row],[C7]]/Leaves_ac[[#This Row],[Sum]]</f>
        <v>0</v>
      </c>
      <c r="J7" s="19">
        <f>Leaves_ac[[#This Row],[C8]]/Leaves_ac[[#This Row],[Sum]]</f>
        <v>0.16736401673640172</v>
      </c>
      <c r="L7" s="3">
        <v>60</v>
      </c>
      <c r="M7" s="1">
        <f>Table_an_n1216[[#This Row],[0 Classif.]]</f>
        <v>0</v>
      </c>
      <c r="N7" s="1">
        <f>SUM(Table_an_n1216[[#This Row],[1 Classif.]:[7 Classif.]])</f>
        <v>0.83263598326359811</v>
      </c>
      <c r="O7" s="1">
        <f>Table_an_n1216[[#This Row],[8 Classif.]]</f>
        <v>0.16736401673640172</v>
      </c>
    </row>
    <row r="8" spans="1:15" x14ac:dyDescent="0.25">
      <c r="A8" s="9">
        <v>0.7</v>
      </c>
      <c r="B8" s="19">
        <f>Leaves_ac[[#This Row],[C0]]/Leaves_ac[[#This Row],[Sum]]</f>
        <v>0</v>
      </c>
      <c r="C8" s="19">
        <f>Leaves_ac[[#This Row],[C1]]/Leaves_ac[[#This Row],[Sum]]</f>
        <v>5.5865921787709522E-2</v>
      </c>
      <c r="D8" s="19">
        <f>Leaves_ac[[#This Row],[C2]]/Leaves_ac[[#This Row],[Sum]]</f>
        <v>0</v>
      </c>
      <c r="E8" s="19">
        <f>Leaves_ac[[#This Row],[C3]]/Leaves_ac[[#This Row],[Sum]]</f>
        <v>0</v>
      </c>
      <c r="F8" s="19">
        <f>Leaves_ac[[#This Row],[C4]]/Leaves_ac[[#This Row],[Sum]]</f>
        <v>1.1173184357541905E-2</v>
      </c>
      <c r="G8" s="19">
        <f>Leaves_ac[[#This Row],[C5]]/Leaves_ac[[#This Row],[Sum]]</f>
        <v>0.63687150837988826</v>
      </c>
      <c r="H8" s="19">
        <f>Leaves_ac[[#This Row],[C6]]/Leaves_ac[[#This Row],[Sum]]</f>
        <v>0.12849162011173174</v>
      </c>
      <c r="I8" s="19">
        <f>Leaves_ac[[#This Row],[C7]]/Leaves_ac[[#This Row],[Sum]]</f>
        <v>0</v>
      </c>
      <c r="J8" s="19">
        <f>Leaves_ac[[#This Row],[C8]]/Leaves_ac[[#This Row],[Sum]]</f>
        <v>0.16759776536312856</v>
      </c>
      <c r="L8" s="3">
        <v>70</v>
      </c>
      <c r="M8" s="1">
        <f>Table_an_n1216[[#This Row],[0 Classif.]]</f>
        <v>0</v>
      </c>
      <c r="N8" s="1">
        <f>SUM(Table_an_n1216[[#This Row],[1 Classif.]:[7 Classif.]])</f>
        <v>0.83240223463687146</v>
      </c>
      <c r="O8" s="1">
        <f>Table_an_n1216[[#This Row],[8 Classif.]]</f>
        <v>0.16759776536312856</v>
      </c>
    </row>
    <row r="9" spans="1:15" x14ac:dyDescent="0.25">
      <c r="A9" s="9">
        <v>0.8</v>
      </c>
      <c r="B9" s="19">
        <f>Leaves_ac[[#This Row],[C0]]/Leaves_ac[[#This Row],[Sum]]</f>
        <v>0</v>
      </c>
      <c r="C9" s="19">
        <f>Leaves_ac[[#This Row],[C1]]/Leaves_ac[[#This Row],[Sum]]</f>
        <v>6.0344827586207031E-2</v>
      </c>
      <c r="D9" s="19">
        <f>Leaves_ac[[#This Row],[C2]]/Leaves_ac[[#This Row],[Sum]]</f>
        <v>0</v>
      </c>
      <c r="E9" s="19">
        <f>Leaves_ac[[#This Row],[C3]]/Leaves_ac[[#This Row],[Sum]]</f>
        <v>0</v>
      </c>
      <c r="F9" s="19">
        <f>Leaves_ac[[#This Row],[C4]]/Leaves_ac[[#This Row],[Sum]]</f>
        <v>0</v>
      </c>
      <c r="G9" s="19">
        <f>Leaves_ac[[#This Row],[C5]]/Leaves_ac[[#This Row],[Sum]]</f>
        <v>0.58620689655172331</v>
      </c>
      <c r="H9" s="19">
        <f>Leaves_ac[[#This Row],[C6]]/Leaves_ac[[#This Row],[Sum]]</f>
        <v>0.17241379310344862</v>
      </c>
      <c r="I9" s="19">
        <f>Leaves_ac[[#This Row],[C7]]/Leaves_ac[[#This Row],[Sum]]</f>
        <v>0</v>
      </c>
      <c r="J9" s="19">
        <f>Leaves_ac[[#This Row],[C8]]/Leaves_ac[[#This Row],[Sum]]</f>
        <v>0.18103448275862111</v>
      </c>
      <c r="L9" s="3">
        <v>80</v>
      </c>
      <c r="M9" s="1">
        <f>Table_an_n1216[[#This Row],[0 Classif.]]</f>
        <v>0</v>
      </c>
      <c r="N9" s="1">
        <f>SUM(Table_an_n1216[[#This Row],[1 Classif.]:[7 Classif.]])</f>
        <v>0.818965517241379</v>
      </c>
      <c r="O9" s="1">
        <f>Table_an_n1216[[#This Row],[8 Classif.]]</f>
        <v>0.18103448275862111</v>
      </c>
    </row>
    <row r="10" spans="1:15" x14ac:dyDescent="0.25">
      <c r="A10" s="9">
        <v>0.9</v>
      </c>
      <c r="B10" s="19">
        <f>Leaves_ac[[#This Row],[C0]]/Leaves_ac[[#This Row],[Sum]]</f>
        <v>0</v>
      </c>
      <c r="C10" s="19">
        <f>Leaves_ac[[#This Row],[C1]]/Leaves_ac[[#This Row],[Sum]]</f>
        <v>3.636363636363632E-2</v>
      </c>
      <c r="D10" s="19">
        <f>Leaves_ac[[#This Row],[C2]]/Leaves_ac[[#This Row],[Sum]]</f>
        <v>0</v>
      </c>
      <c r="E10" s="19">
        <f>Leaves_ac[[#This Row],[C3]]/Leaves_ac[[#This Row],[Sum]]</f>
        <v>0</v>
      </c>
      <c r="F10" s="19">
        <f>Leaves_ac[[#This Row],[C4]]/Leaves_ac[[#This Row],[Sum]]</f>
        <v>0</v>
      </c>
      <c r="G10" s="19">
        <f>Leaves_ac[[#This Row],[C5]]/Leaves_ac[[#This Row],[Sum]]</f>
        <v>0.32727272727272766</v>
      </c>
      <c r="H10" s="19">
        <f>Leaves_ac[[#This Row],[C6]]/Leaves_ac[[#This Row],[Sum]]</f>
        <v>0.41818181818181821</v>
      </c>
      <c r="I10" s="19">
        <f>Leaves_ac[[#This Row],[C7]]/Leaves_ac[[#This Row],[Sum]]</f>
        <v>0</v>
      </c>
      <c r="J10" s="19">
        <f>Leaves_ac[[#This Row],[C8]]/Leaves_ac[[#This Row],[Sum]]</f>
        <v>0.21818181818181773</v>
      </c>
      <c r="L10" s="3">
        <v>90</v>
      </c>
      <c r="M10" s="1">
        <f>Table_an_n1216[[#This Row],[0 Classif.]]</f>
        <v>0</v>
      </c>
      <c r="N10" s="1">
        <f>SUM(Table_an_n1216[[#This Row],[1 Classif.]:[7 Classif.]])</f>
        <v>0.78181818181818219</v>
      </c>
      <c r="O10" s="1">
        <f>Table_an_n1216[[#This Row],[8 Classif.]]</f>
        <v>0.21818181818181773</v>
      </c>
    </row>
    <row r="11" spans="1:15" x14ac:dyDescent="0.25">
      <c r="A11" t="s">
        <v>19</v>
      </c>
      <c r="B11" s="19">
        <f>SUBTOTAL(101,Table_an_n1216[0 Classif.])</f>
        <v>2.4186802216807125E-2</v>
      </c>
      <c r="C11" s="19">
        <f>SUBTOTAL(101,Table_an_n1216[1 Classif.])</f>
        <v>0.12999941714344357</v>
      </c>
      <c r="D11" s="19">
        <f>SUBTOTAL(101,Table_an_n1216[2 Classif.])</f>
        <v>1.7504251597353785E-3</v>
      </c>
      <c r="E11" s="19">
        <f>SUBTOTAL(101,Table_an_n1216[3 Classif.])</f>
        <v>0</v>
      </c>
      <c r="F11" s="19">
        <f>SUBTOTAL(101,Table_an_n1216[4 Classif.])</f>
        <v>3.9335062014878276E-2</v>
      </c>
      <c r="G11" s="19">
        <f>SUBTOTAL(101,Table_an_n1216[5 Classif.])</f>
        <v>0.53868887003476706</v>
      </c>
      <c r="H11" s="19">
        <f>SUBTOTAL(101,Table_an_n1216[6 Classif.])</f>
        <v>0.12622579512631052</v>
      </c>
      <c r="I11" s="19">
        <f>SUBTOTAL(101,Table_an_n1216[7 Classif.])</f>
        <v>0</v>
      </c>
      <c r="J11" s="19">
        <f>SUBTOTAL(101,Table_an_n1216[8 Classif.])</f>
        <v>0.13981362830405805</v>
      </c>
      <c r="L11" s="3" t="s">
        <v>19</v>
      </c>
      <c r="M11" s="1">
        <f>SUBTOTAL(101,Table41317[Not Classified Classes (%)])</f>
        <v>2.4186802216807125E-2</v>
      </c>
      <c r="N11" s="1">
        <f>SUBTOTAL(101,Table41317[Partially Classified Classes (%)])</f>
        <v>0.8359995694791349</v>
      </c>
      <c r="O11" s="1">
        <f>SUBTOTAL(101,Table41317[Totally Classified Classes (%)])</f>
        <v>0.13981362830405805</v>
      </c>
    </row>
    <row r="13" spans="1:15" x14ac:dyDescent="0.25">
      <c r="B13" s="1"/>
      <c r="C13" s="1"/>
      <c r="D13" s="1"/>
      <c r="E13" s="1"/>
      <c r="F13" s="1"/>
      <c r="G13" s="1"/>
      <c r="H13" s="1"/>
    </row>
    <row r="14" spans="1:15" x14ac:dyDescent="0.25">
      <c r="B14" s="1"/>
    </row>
    <row r="15" spans="1:15" x14ac:dyDescent="0.25">
      <c r="B15" s="1"/>
    </row>
    <row r="16" spans="1:15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</sheetData>
  <conditionalFormatting sqref="M2:O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B2:J2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matrixes_an</vt:lpstr>
      <vt:lpstr>matrixes_an_norm</vt:lpstr>
      <vt:lpstr>matrixes_ac</vt:lpstr>
      <vt:lpstr>matrixes_ac_norm</vt:lpstr>
      <vt:lpstr>Graphs</vt:lpstr>
      <vt:lpstr>leaves_an</vt:lpstr>
      <vt:lpstr>leaves_an_norm</vt:lpstr>
      <vt:lpstr>leaves_ac</vt:lpstr>
      <vt:lpstr>leaves_ac_norm</vt:lpstr>
      <vt:lpstr>Graphs Leaves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Favato Barcelos Pedro Paulo</cp:lastModifiedBy>
  <dcterms:created xsi:type="dcterms:W3CDTF">2023-02-03T20:32:18Z</dcterms:created>
  <dcterms:modified xsi:type="dcterms:W3CDTF">2023-05-02T22:26:43Z</dcterms:modified>
</cp:coreProperties>
</file>