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sk 2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C23" i="1"/>
  <c r="A31" i="1" l="1"/>
  <c r="B39" i="1"/>
  <c r="B80" i="1"/>
  <c r="B42" i="1"/>
  <c r="B51" i="1"/>
  <c r="B79" i="1"/>
  <c r="B53" i="1"/>
  <c r="B58" i="1"/>
  <c r="B44" i="1"/>
  <c r="B29" i="1"/>
  <c r="B30" i="1"/>
  <c r="B31" i="1"/>
  <c r="B33" i="1"/>
  <c r="B50" i="1"/>
  <c r="B59" i="1"/>
  <c r="B36" i="1"/>
  <c r="B69" i="1"/>
  <c r="B67" i="1"/>
  <c r="B74" i="1"/>
  <c r="B38" i="1"/>
  <c r="B46" i="1"/>
  <c r="B40" i="1"/>
  <c r="B49" i="1"/>
  <c r="B66" i="1"/>
  <c r="B75" i="1"/>
  <c r="B52" i="1"/>
  <c r="B71" i="1"/>
  <c r="B48" i="1"/>
  <c r="B65" i="1"/>
  <c r="B60" i="1"/>
  <c r="B54" i="1"/>
  <c r="B62" i="1"/>
  <c r="B56" i="1"/>
  <c r="B73" i="1"/>
  <c r="B63" i="1"/>
  <c r="B61" i="1"/>
  <c r="B68" i="1"/>
  <c r="B70" i="1"/>
  <c r="B64" i="1"/>
  <c r="B57" i="1"/>
  <c r="B35" i="1"/>
  <c r="B77" i="1"/>
  <c r="B76" i="1"/>
  <c r="B32" i="1"/>
  <c r="B47" i="1"/>
  <c r="B78" i="1"/>
  <c r="B72" i="1"/>
  <c r="B34" i="1"/>
  <c r="B43" i="1"/>
  <c r="B55" i="1"/>
  <c r="B45" i="1"/>
  <c r="B41" i="1"/>
  <c r="B37" i="1"/>
  <c r="C41" i="1"/>
  <c r="C72" i="1"/>
  <c r="C52" i="1"/>
  <c r="C75" i="1"/>
  <c r="C76" i="1"/>
  <c r="C57" i="1"/>
  <c r="D57" i="1" s="1"/>
  <c r="C54" i="1"/>
  <c r="C79" i="1"/>
  <c r="C69" i="1"/>
  <c r="D69" i="1" s="1"/>
  <c r="C31" i="1"/>
  <c r="C71" i="1"/>
  <c r="C58" i="1"/>
  <c r="C50" i="1"/>
  <c r="D72" i="1"/>
  <c r="C67" i="1"/>
  <c r="C37" i="1"/>
  <c r="C65" i="1"/>
  <c r="D79" i="1"/>
  <c r="C38" i="1"/>
  <c r="C47" i="1"/>
  <c r="C46" i="1"/>
  <c r="C70" i="1"/>
  <c r="C51" i="1"/>
  <c r="C61" i="1"/>
  <c r="D61" i="1" s="1"/>
  <c r="C74" i="1"/>
  <c r="D74" i="1" s="1"/>
  <c r="C34" i="1"/>
  <c r="D31" i="1"/>
  <c r="C64" i="1"/>
  <c r="D64" i="1" s="1"/>
  <c r="C40" i="1"/>
  <c r="C56" i="1"/>
  <c r="D56" i="1" s="1"/>
  <c r="D52" i="1"/>
  <c r="C49" i="1"/>
  <c r="D71" i="1"/>
  <c r="C59" i="1"/>
  <c r="C44" i="1"/>
  <c r="C68" i="1"/>
  <c r="C35" i="1"/>
  <c r="C45" i="1"/>
  <c r="C39" i="1"/>
  <c r="C66" i="1"/>
  <c r="D59" i="1"/>
  <c r="C60" i="1"/>
  <c r="D60" i="1" s="1"/>
  <c r="C43" i="1"/>
  <c r="C32" i="1"/>
  <c r="C63" i="1"/>
  <c r="C55" i="1"/>
  <c r="C48" i="1"/>
  <c r="C80" i="1"/>
  <c r="D80" i="1" s="1"/>
  <c r="C30" i="1"/>
  <c r="D35" i="1"/>
  <c r="C36" i="1"/>
  <c r="D36" i="1" s="1"/>
  <c r="C62" i="1"/>
  <c r="C42" i="1"/>
  <c r="D37" i="1"/>
  <c r="C77" i="1"/>
  <c r="D58" i="1"/>
  <c r="D65" i="1"/>
  <c r="D51" i="1"/>
  <c r="C53" i="1"/>
  <c r="D66" i="1"/>
  <c r="D41" i="1"/>
  <c r="C73" i="1"/>
  <c r="D73" i="1" s="1"/>
  <c r="C78" i="1"/>
  <c r="D78" i="1" s="1"/>
  <c r="C33" i="1"/>
  <c r="C29" i="1"/>
  <c r="D29" i="1" s="1"/>
  <c r="I4" i="1" l="1"/>
  <c r="H4" i="1"/>
  <c r="O4" i="1"/>
  <c r="D53" i="1"/>
  <c r="D32" i="1"/>
  <c r="D34" i="1"/>
  <c r="D76" i="1"/>
  <c r="L4" i="1"/>
  <c r="S4" i="1"/>
  <c r="D77" i="1"/>
  <c r="D43" i="1"/>
  <c r="D70" i="1"/>
  <c r="D75" i="1"/>
  <c r="T4" i="1"/>
  <c r="P3" i="1"/>
  <c r="D42" i="1"/>
  <c r="D39" i="1"/>
  <c r="D46" i="1"/>
  <c r="N3" i="1"/>
  <c r="O3" i="1"/>
  <c r="D33" i="1"/>
  <c r="R4" i="1"/>
  <c r="D62" i="1"/>
  <c r="D45" i="1"/>
  <c r="D47" i="1"/>
  <c r="R3" i="1"/>
  <c r="D49" i="1"/>
  <c r="U3" i="1"/>
  <c r="D40" i="1"/>
  <c r="T3" i="1"/>
  <c r="D30" i="1"/>
  <c r="D68" i="1"/>
  <c r="D38" i="1"/>
  <c r="L3" i="1"/>
  <c r="N4" i="1"/>
  <c r="Q3" i="1"/>
  <c r="D48" i="1"/>
  <c r="D44" i="1"/>
  <c r="D67" i="1"/>
  <c r="S3" i="1"/>
  <c r="P4" i="1"/>
  <c r="U4" i="1"/>
  <c r="D55" i="1"/>
  <c r="D50" i="1"/>
  <c r="Q4" i="1"/>
  <c r="D63" i="1"/>
  <c r="D54" i="1"/>
  <c r="M3" i="1" l="1"/>
  <c r="M4" i="1"/>
  <c r="F13" i="1"/>
  <c r="F12" i="1"/>
  <c r="K12" i="1" l="1"/>
  <c r="K14" i="1"/>
  <c r="K13" i="1"/>
  <c r="F14" i="1"/>
  <c r="F16" i="1" s="1"/>
  <c r="H12" i="1" s="1"/>
  <c r="I12" i="1" s="1"/>
  <c r="H13" i="1" l="1"/>
  <c r="I13" i="1" s="1"/>
  <c r="H14" i="1"/>
  <c r="I14" i="1" s="1"/>
  <c r="I16" i="1" s="1"/>
  <c r="I9" i="1"/>
  <c r="I10" i="1" s="1"/>
</calcChain>
</file>

<file path=xl/sharedStrings.xml><?xml version="1.0" encoding="utf-8"?>
<sst xmlns="http://schemas.openxmlformats.org/spreadsheetml/2006/main" count="72" uniqueCount="61">
  <si>
    <t>Параметр</t>
  </si>
  <si>
    <t>Коэф-т сепарации</t>
  </si>
  <si>
    <t>Внутренний диаметр</t>
  </si>
  <si>
    <t>Диаметр штутцера</t>
  </si>
  <si>
    <t>Глубина спуска насоса</t>
  </si>
  <si>
    <t>Буферное давление</t>
  </si>
  <si>
    <t xml:space="preserve">Линейное давление </t>
  </si>
  <si>
    <t>Пластовое давление</t>
  </si>
  <si>
    <t>Давление насыщения</t>
  </si>
  <si>
    <t>Объёмная обводнённость</t>
  </si>
  <si>
    <t>Газовый фактор</t>
  </si>
  <si>
    <t>Обводнённость</t>
  </si>
  <si>
    <t>Вязкость нефти в пластовых условиях</t>
  </si>
  <si>
    <t>Вязкость воды в пластовых условиях</t>
  </si>
  <si>
    <t xml:space="preserve">Объёмный коэффициент </t>
  </si>
  <si>
    <t>Плотность нефти</t>
  </si>
  <si>
    <t>Плотность воды</t>
  </si>
  <si>
    <t>Пластовая темепература</t>
  </si>
  <si>
    <t>Значение</t>
  </si>
  <si>
    <t>Единицы измерений</t>
  </si>
  <si>
    <t>мм</t>
  </si>
  <si>
    <t>м</t>
  </si>
  <si>
    <t>атм</t>
  </si>
  <si>
    <t>м3/сут</t>
  </si>
  <si>
    <t>%</t>
  </si>
  <si>
    <t>сПз</t>
  </si>
  <si>
    <t>м3/м3</t>
  </si>
  <si>
    <t>г/см3</t>
  </si>
  <si>
    <t>ºC</t>
  </si>
  <si>
    <t>Дебит жидкости</t>
  </si>
  <si>
    <t>Дебит воды по техрежиму</t>
  </si>
  <si>
    <t>Дебит нефти по техрежиму</t>
  </si>
  <si>
    <t>Дебит газа по техрежиму</t>
  </si>
  <si>
    <t>Сумма</t>
  </si>
  <si>
    <t>PVT строка Standing</t>
  </si>
  <si>
    <t>PVT строка McCain</t>
  </si>
  <si>
    <t>Hm</t>
  </si>
  <si>
    <t>T</t>
  </si>
  <si>
    <t>PVT по корреляции Standing</t>
  </si>
  <si>
    <t>PVT по корреляции McCain</t>
  </si>
  <si>
    <t>Доля газа</t>
  </si>
  <si>
    <t>Дебит смеси</t>
  </si>
  <si>
    <t>Вязкость газа</t>
  </si>
  <si>
    <t>Вязкость воды</t>
  </si>
  <si>
    <t>Вязкость нефти</t>
  </si>
  <si>
    <t>Вязкость смеси</t>
  </si>
  <si>
    <t>Плотность газа</t>
  </si>
  <si>
    <t>Плотность смеси</t>
  </si>
  <si>
    <t>Часть 1</t>
  </si>
  <si>
    <t>Часть 2</t>
  </si>
  <si>
    <t>IPR</t>
  </si>
  <si>
    <t>VLP</t>
  </si>
  <si>
    <t>Давление на забое</t>
  </si>
  <si>
    <t>Давление буферное</t>
  </si>
  <si>
    <t>Коэф-т продуктивности</t>
  </si>
  <si>
    <t>м3/сут/атм</t>
  </si>
  <si>
    <t>Часть 3</t>
  </si>
  <si>
    <t>Solution</t>
  </si>
  <si>
    <t>Q</t>
  </si>
  <si>
    <t>P_wf</t>
  </si>
  <si>
    <t>Дебит скважины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</si>
</sst>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/>
    <xf numFmtId="10" fontId="0" fillId="0" borderId="0" xfId="0" applyNumberFormat="1"/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IPR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 2'!$A$29:$A$80</c:f>
              <c:numCache>
                <c:formatCode>General</c:formatCode>
                <c:ptCount val="52"/>
                <c:pt idx="0">
                  <c:v>0</c:v>
                </c:pt>
                <c:pt idx="1">
                  <c:v>10</c:v>
                </c:pt>
                <c:pt idx="2" formatCode="0.00">
                  <c:v>19.149999999999999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170</c:v>
                </c:pt>
                <c:pt idx="19">
                  <c:v>180</c:v>
                </c:pt>
                <c:pt idx="20">
                  <c:v>190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250</c:v>
                </c:pt>
                <c:pt idx="27">
                  <c:v>260</c:v>
                </c:pt>
                <c:pt idx="28">
                  <c:v>270</c:v>
                </c:pt>
                <c:pt idx="29">
                  <c:v>280</c:v>
                </c:pt>
                <c:pt idx="30">
                  <c:v>290</c:v>
                </c:pt>
                <c:pt idx="31">
                  <c:v>300</c:v>
                </c:pt>
                <c:pt idx="32">
                  <c:v>310</c:v>
                </c:pt>
                <c:pt idx="33">
                  <c:v>320</c:v>
                </c:pt>
                <c:pt idx="34">
                  <c:v>330</c:v>
                </c:pt>
                <c:pt idx="35">
                  <c:v>340</c:v>
                </c:pt>
                <c:pt idx="36">
                  <c:v>350</c:v>
                </c:pt>
                <c:pt idx="37">
                  <c:v>360</c:v>
                </c:pt>
                <c:pt idx="38">
                  <c:v>370</c:v>
                </c:pt>
                <c:pt idx="39">
                  <c:v>380</c:v>
                </c:pt>
                <c:pt idx="40">
                  <c:v>390</c:v>
                </c:pt>
                <c:pt idx="41">
                  <c:v>400</c:v>
                </c:pt>
                <c:pt idx="42">
                  <c:v>410</c:v>
                </c:pt>
                <c:pt idx="43">
                  <c:v>420</c:v>
                </c:pt>
                <c:pt idx="44">
                  <c:v>430</c:v>
                </c:pt>
                <c:pt idx="45">
                  <c:v>440</c:v>
                </c:pt>
                <c:pt idx="46">
                  <c:v>450</c:v>
                </c:pt>
                <c:pt idx="47">
                  <c:v>460</c:v>
                </c:pt>
                <c:pt idx="48">
                  <c:v>470</c:v>
                </c:pt>
                <c:pt idx="49">
                  <c:v>480</c:v>
                </c:pt>
                <c:pt idx="50">
                  <c:v>490</c:v>
                </c:pt>
                <c:pt idx="51">
                  <c:v>500</c:v>
                </c:pt>
              </c:numCache>
            </c:numRef>
          </c:xVal>
          <c:yVal>
            <c:numRef>
              <c:f>'Task 2'!$B$29:$B$80</c:f>
              <c:numCache>
                <c:formatCode>0.00</c:formatCode>
                <c:ptCount val="52"/>
                <c:pt idx="0">
                  <c:v>299</c:v>
                </c:pt>
                <c:pt idx="1">
                  <c:v>222.07692307692307</c:v>
                </c:pt>
                <c:pt idx="2">
                  <c:v>145.43473517862881</c:v>
                </c:pt>
                <c:pt idx="3">
                  <c:v>137.12138655200815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BD-475D-B492-86781F55FA22}"/>
            </c:ext>
          </c:extLst>
        </c:ser>
        <c:ser>
          <c:idx val="1"/>
          <c:order val="1"/>
          <c:tx>
            <c:v>VLP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'Task 2'!$A$29:$A$80</c:f>
              <c:numCache>
                <c:formatCode>General</c:formatCode>
                <c:ptCount val="52"/>
                <c:pt idx="0">
                  <c:v>0</c:v>
                </c:pt>
                <c:pt idx="1">
                  <c:v>10</c:v>
                </c:pt>
                <c:pt idx="2" formatCode="0.00">
                  <c:v>19.149999999999999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170</c:v>
                </c:pt>
                <c:pt idx="19">
                  <c:v>180</c:v>
                </c:pt>
                <c:pt idx="20">
                  <c:v>190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250</c:v>
                </c:pt>
                <c:pt idx="27">
                  <c:v>260</c:v>
                </c:pt>
                <c:pt idx="28">
                  <c:v>270</c:v>
                </c:pt>
                <c:pt idx="29">
                  <c:v>280</c:v>
                </c:pt>
                <c:pt idx="30">
                  <c:v>290</c:v>
                </c:pt>
                <c:pt idx="31">
                  <c:v>300</c:v>
                </c:pt>
                <c:pt idx="32">
                  <c:v>310</c:v>
                </c:pt>
                <c:pt idx="33">
                  <c:v>320</c:v>
                </c:pt>
                <c:pt idx="34">
                  <c:v>330</c:v>
                </c:pt>
                <c:pt idx="35">
                  <c:v>340</c:v>
                </c:pt>
                <c:pt idx="36">
                  <c:v>350</c:v>
                </c:pt>
                <c:pt idx="37">
                  <c:v>360</c:v>
                </c:pt>
                <c:pt idx="38">
                  <c:v>370</c:v>
                </c:pt>
                <c:pt idx="39">
                  <c:v>380</c:v>
                </c:pt>
                <c:pt idx="40">
                  <c:v>390</c:v>
                </c:pt>
                <c:pt idx="41">
                  <c:v>400</c:v>
                </c:pt>
                <c:pt idx="42">
                  <c:v>410</c:v>
                </c:pt>
                <c:pt idx="43">
                  <c:v>420</c:v>
                </c:pt>
                <c:pt idx="44">
                  <c:v>430</c:v>
                </c:pt>
                <c:pt idx="45">
                  <c:v>440</c:v>
                </c:pt>
                <c:pt idx="46">
                  <c:v>450</c:v>
                </c:pt>
                <c:pt idx="47">
                  <c:v>460</c:v>
                </c:pt>
                <c:pt idx="48">
                  <c:v>470</c:v>
                </c:pt>
                <c:pt idx="49">
                  <c:v>480</c:v>
                </c:pt>
                <c:pt idx="50">
                  <c:v>490</c:v>
                </c:pt>
                <c:pt idx="51">
                  <c:v>500</c:v>
                </c:pt>
              </c:numCache>
            </c:numRef>
          </c:xVal>
          <c:yVal>
            <c:numRef>
              <c:f>'Task 2'!$D$29:$D$80</c:f>
              <c:numCache>
                <c:formatCode>General</c:formatCode>
                <c:ptCount val="52"/>
                <c:pt idx="0">
                  <c:v>292.38683589878548</c:v>
                </c:pt>
                <c:pt idx="1">
                  <c:v>284.17941915544827</c:v>
                </c:pt>
                <c:pt idx="2">
                  <c:v>278.597269377776</c:v>
                </c:pt>
                <c:pt idx="3">
                  <c:v>278.18740212705444</c:v>
                </c:pt>
                <c:pt idx="4">
                  <c:v>273.70311500908707</c:v>
                </c:pt>
                <c:pt idx="5">
                  <c:v>270.36355812122093</c:v>
                </c:pt>
                <c:pt idx="6">
                  <c:v>267.89749186751965</c:v>
                </c:pt>
                <c:pt idx="7">
                  <c:v>266.1876660979446</c:v>
                </c:pt>
                <c:pt idx="8">
                  <c:v>265.12552307666334</c:v>
                </c:pt>
                <c:pt idx="9">
                  <c:v>264.65324410180727</c:v>
                </c:pt>
                <c:pt idx="10">
                  <c:v>264.7189030539231</c:v>
                </c:pt>
                <c:pt idx="11">
                  <c:v>265.30145991194951</c:v>
                </c:pt>
                <c:pt idx="12">
                  <c:v>266.38539351011639</c:v>
                </c:pt>
                <c:pt idx="13">
                  <c:v>267.952873869531</c:v>
                </c:pt>
                <c:pt idx="14">
                  <c:v>269.99877531351507</c:v>
                </c:pt>
                <c:pt idx="15">
                  <c:v>272.52551287786645</c:v>
                </c:pt>
                <c:pt idx="16">
                  <c:v>275.52255108895525</c:v>
                </c:pt>
                <c:pt idx="17">
                  <c:v>278.98788994475376</c:v>
                </c:pt>
                <c:pt idx="18">
                  <c:v>282.9097829541534</c:v>
                </c:pt>
                <c:pt idx="19">
                  <c:v>287.23751052470442</c:v>
                </c:pt>
                <c:pt idx="20">
                  <c:v>291.01222969912209</c:v>
                </c:pt>
                <c:pt idx="21">
                  <c:v>294.76341827956185</c:v>
                </c:pt>
                <c:pt idx="22">
                  <c:v>298.47055484248187</c:v>
                </c:pt>
                <c:pt idx="23">
                  <c:v>302.15167476125953</c:v>
                </c:pt>
                <c:pt idx="24">
                  <c:v>305.7724686142131</c:v>
                </c:pt>
                <c:pt idx="25">
                  <c:v>309.37165211401714</c:v>
                </c:pt>
                <c:pt idx="26">
                  <c:v>312.95033175544103</c:v>
                </c:pt>
                <c:pt idx="27">
                  <c:v>316.48240870285809</c:v>
                </c:pt>
                <c:pt idx="28">
                  <c:v>319.98358352210209</c:v>
                </c:pt>
                <c:pt idx="29">
                  <c:v>323.47168532700761</c:v>
                </c:pt>
                <c:pt idx="30">
                  <c:v>326.91214965465156</c:v>
                </c:pt>
                <c:pt idx="31">
                  <c:v>330.32592501881965</c:v>
                </c:pt>
                <c:pt idx="32">
                  <c:v>333.72226562337875</c:v>
                </c:pt>
                <c:pt idx="33">
                  <c:v>337.07272923993526</c:v>
                </c:pt>
                <c:pt idx="34">
                  <c:v>340.38128285480843</c:v>
                </c:pt>
                <c:pt idx="35">
                  <c:v>343.66853738208084</c:v>
                </c:pt>
                <c:pt idx="36">
                  <c:v>346.93916842267333</c:v>
                </c:pt>
                <c:pt idx="37">
                  <c:v>350.19341979367653</c:v>
                </c:pt>
                <c:pt idx="38">
                  <c:v>353.43166468175036</c:v>
                </c:pt>
                <c:pt idx="39">
                  <c:v>356.65580454522734</c:v>
                </c:pt>
                <c:pt idx="40">
                  <c:v>359.86810727032946</c:v>
                </c:pt>
                <c:pt idx="41">
                  <c:v>363.07028797780629</c:v>
                </c:pt>
                <c:pt idx="42">
                  <c:v>366.26083728572826</c:v>
                </c:pt>
                <c:pt idx="43">
                  <c:v>369.44326238686671</c:v>
                </c:pt>
                <c:pt idx="44">
                  <c:v>372.61947003202539</c:v>
                </c:pt>
                <c:pt idx="45">
                  <c:v>375.78761826294294</c:v>
                </c:pt>
                <c:pt idx="46">
                  <c:v>378.94935186137445</c:v>
                </c:pt>
                <c:pt idx="47">
                  <c:v>382.10775797580203</c:v>
                </c:pt>
                <c:pt idx="48">
                  <c:v>385.26227987705175</c:v>
                </c:pt>
                <c:pt idx="49">
                  <c:v>388.41254922928596</c:v>
                </c:pt>
                <c:pt idx="50">
                  <c:v>391.56055955482475</c:v>
                </c:pt>
                <c:pt idx="51">
                  <c:v>394.70539535670429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BD-475D-B492-86781F55FA22}"/>
            </c:ext>
          </c:extLst>
        </c:ser>
        <c:ser>
          <c:idx val="2"/>
          <c:order val="2"/>
          <c:tx>
            <c:v>Intersection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1.0088999999999999</c:v>
              </c:pt>
            </c:numLit>
          </c:xVal>
          <c:yVal>
            <c:numLit>
              <c:formatCode>General</c:formatCode>
              <c:ptCount val="1"/>
              <c:pt idx="0">
                <c:v>291.23899999999998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695D-4935-8255-6398991F9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35631"/>
        <c:axId val="89533135"/>
      </c:scatterChart>
      <c:valAx>
        <c:axId val="89535631"/>
        <c:scaling>
          <c:orientation val="minMax"/>
          <c:max val="5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Q_liq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533135"/>
        <c:crosses val="autoZero"/>
        <c:crossBetween val="midCat"/>
      </c:valAx>
      <c:valAx>
        <c:axId val="89533135"/>
        <c:scaling>
          <c:orientation val="minMax"/>
          <c:max val="4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 </a:t>
                </a:r>
                <a:r>
                  <a:rPr lang="en-US"/>
                  <a:t>P_wf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5356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1047750</xdr:colOff>
      <xdr:row>25</xdr:row>
      <xdr:rowOff>180976</xdr:rowOff>
    </xdr:from>
    <xdr:to>
      <xdr:col>14</xdr:col>
      <xdr:colOff>38100</xdr:colOff>
      <xdr:row>50</xdr:row>
      <xdr:rowOff>28576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nifloc_vba-master\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intersection"/>
      <definedName name="IPR_pwf_atma"/>
      <definedName name="MF_mu_mix_cP"/>
      <definedName name="MF_p_choke_atma"/>
      <definedName name="MF_p_pipeline_atma"/>
      <definedName name="MF_rho_mix_kgm3"/>
      <definedName name="PVT_encode_string"/>
      <definedName name="PVT_mu_gas_cP"/>
      <definedName name="PVT_mu_oil_cP"/>
      <definedName name="PVT_mu_wat_cP"/>
      <definedName name="PVT_rho_gas_kgm3"/>
      <definedName name="PVT_rho_oil_kgm3"/>
      <definedName name="PVT_rho_wat_kgm3"/>
      <definedName name="PVT_rs_m3m3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topLeftCell="A46" workbookViewId="0">
      <selection activeCell="D29" sqref="D29:D80"/>
    </sheetView>
  </sheetViews>
  <sheetFormatPr defaultRowHeight="15" x14ac:dyDescent="0.25"/>
  <cols>
    <col min="1" max="1" width="36.85546875" customWidth="1"/>
    <col min="2" max="2" width="20.140625" style="1" customWidth="1"/>
    <col min="3" max="3" width="27" customWidth="1"/>
    <col min="4" max="4" width="14.140625" customWidth="1"/>
    <col min="5" max="5" width="30.85546875" customWidth="1"/>
    <col min="6" max="6" width="10.28515625" bestFit="1" customWidth="1"/>
    <col min="11" max="11" width="27.5703125" customWidth="1"/>
    <col min="12" max="12" width="10.7109375" customWidth="1"/>
    <col min="13" max="13" width="13.42578125" customWidth="1"/>
    <col min="14" max="14" width="14.28515625" customWidth="1"/>
    <col min="15" max="15" width="14.7109375" customWidth="1"/>
    <col min="16" max="16" width="15.140625" customWidth="1"/>
    <col min="17" max="17" width="15.7109375" customWidth="1"/>
    <col min="18" max="18" width="15.5703125" customWidth="1"/>
    <col min="19" max="19" width="16.28515625" customWidth="1"/>
    <col min="20" max="20" width="17.28515625" customWidth="1"/>
    <col min="21" max="21" width="18.140625" customWidth="1"/>
  </cols>
  <sheetData>
    <row r="1" spans="1:21" x14ac:dyDescent="0.25">
      <c r="A1" s="3" t="s">
        <v>0</v>
      </c>
      <c r="B1" s="4" t="s">
        <v>18</v>
      </c>
      <c r="C1" s="3" t="s">
        <v>19</v>
      </c>
    </row>
    <row r="2" spans="1:21" x14ac:dyDescent="0.25">
      <c r="A2" s="3" t="s">
        <v>1</v>
      </c>
      <c r="B2" s="4">
        <v>0.7</v>
      </c>
      <c r="C2" s="3"/>
      <c r="H2" t="s">
        <v>36</v>
      </c>
      <c r="I2" t="s">
        <v>37</v>
      </c>
      <c r="K2" t="s">
        <v>48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16</v>
      </c>
      <c r="T2" t="s">
        <v>15</v>
      </c>
      <c r="U2" t="s">
        <v>47</v>
      </c>
    </row>
    <row r="3" spans="1:21" x14ac:dyDescent="0.25">
      <c r="A3" s="3" t="s">
        <v>2</v>
      </c>
      <c r="B3" s="4">
        <v>79</v>
      </c>
      <c r="C3" s="3" t="s">
        <v>20</v>
      </c>
      <c r="H3">
        <v>0</v>
      </c>
      <c r="I3">
        <v>20</v>
      </c>
      <c r="K3" t="s">
        <v>38</v>
      </c>
      <c r="L3" s="17">
        <f>[1]!PVT_rs_m3m3(B6,20,0.7,B17,B18,,B12,B9,B19,B16,,0,B2,B6,20)/100</f>
        <v>0.30615491314870502</v>
      </c>
      <c r="M3" s="17">
        <f>B10*B13*B18/100/S3*1000+B10*(1-B13/100)*B17/T3*1000+B10*(1-B13/100)*B12*0.0007/U3*1000</f>
        <v>25.559127623735769</v>
      </c>
      <c r="N3" s="17">
        <f>[1]!PVT_mu_gas_cP(B6,20,0.7,B17,B18,,B12,B9,B19,B16,,0,B2,B6,20)</f>
        <v>1.242997379694734E-2</v>
      </c>
      <c r="O3" s="17">
        <f>[1]!PVT_mu_wat_cP(B6,20,0.7,B17,B18,,B12,B9,B19,B16,,0,B2,B6,20)</f>
        <v>1.0522652378595934</v>
      </c>
      <c r="P3" s="17">
        <f>[1]!PVT_mu_oil_cP(B6,20,0.7,B17,B18,,B12,B9,B19,B16,,0,B2,B6,20)</f>
        <v>2.7466491968635336</v>
      </c>
      <c r="Q3" s="17">
        <f>[1]!MF_mu_mix_cP(B10,B13,B6,20,C22)</f>
        <v>1.1287672650176617</v>
      </c>
      <c r="R3" s="17">
        <f>[1]!PVT_rho_gas_kgm3(B6,20,0.7,B17,B18,,B12,B9,B19,B16,,0,B2,B6,20)</f>
        <v>59.579990486091035</v>
      </c>
      <c r="S3" s="17">
        <f>[1]!PVT_rho_wat_kgm3(B6,20,0.7,B17,B18,,B12,B9,B19,B16,,0,B2,B6,20)</f>
        <v>1008.0796695859193</v>
      </c>
      <c r="T3" s="17">
        <f>[1]!PVT_rho_oil_kgm3(B6,20,0.7,B17,B18,,B12,B9,B19,B16,,0,B2,B6,20)</f>
        <v>746.29320362917827</v>
      </c>
      <c r="U3" s="17">
        <f>[1]!MF_rho_mix_kgm3(B10,B13,B6,20,C22)</f>
        <v>490.33854324979632</v>
      </c>
    </row>
    <row r="4" spans="1:21" x14ac:dyDescent="0.25">
      <c r="A4" s="3" t="s">
        <v>3</v>
      </c>
      <c r="B4" s="4">
        <v>10</v>
      </c>
      <c r="C4" s="3" t="s">
        <v>20</v>
      </c>
      <c r="H4" s="1">
        <f>B5</f>
        <v>3474</v>
      </c>
      <c r="I4" s="1">
        <f>B19</f>
        <v>110</v>
      </c>
      <c r="K4" t="s">
        <v>39</v>
      </c>
      <c r="L4" s="17">
        <f>[1]!PVT_rs_m3m3(B6,20,0.7,B17,B18,,B12,B9,B19,B16,,1,B2,B6,20)/100</f>
        <v>0.50162018570384381</v>
      </c>
      <c r="M4" s="17">
        <f>B10*B13*B18/100/S4*1000+B10*(1-B13/100)*B17/T4*1000+B10*(1-B13/100)*B12*0.0007/U4*1000</f>
        <v>25.979234450682434</v>
      </c>
      <c r="N4" s="17">
        <f>[1]!PVT_mu_gas_cP(B6,20,0.7,B17,B18,,B12,B9,B19,B16,,1,B2,B6,20)</f>
        <v>1.242997379694734E-2</v>
      </c>
      <c r="O4" s="17">
        <f>[1]!PVT_mu_wat_cP(B6,20,0.7,B17,B18,,B12,B9,B19,B16,,1,B2,B6,20)</f>
        <v>1.0522652378595934</v>
      </c>
      <c r="P4" s="17">
        <f>[1]!PVT_mu_oil_cP(B6,20,0.7,B17,B18,,B12,B9,B19,B16,,1,B2,B6,20)</f>
        <v>1.3923298904578871</v>
      </c>
      <c r="Q4" s="17">
        <f>[1]!MF_mu_mix_cP(B10,B13,B6,20,C23)</f>
        <v>0.75106730877037098</v>
      </c>
      <c r="R4" s="17">
        <f>[1]!PVT_rho_gas_kgm3(B6,20,0.7,B17,B18,,B12,B9,B19,B16,,1,B2,B6,20)</f>
        <v>59.579990486091035</v>
      </c>
      <c r="S4" s="17">
        <f>[1]!PVT_rho_wat_kgm3(B6,20,0.7,B17,B18,,B12,B9,B19,B16,,1,B2,B6,20)</f>
        <v>1008.0796695859193</v>
      </c>
      <c r="T4" s="17">
        <f>[1]!PVT_rho_oil_kgm3(B6,20,0.7,B17,B18,,B12,B9,B19,B16,,1,B2,B6,20)</f>
        <v>716.61245962681653</v>
      </c>
      <c r="U4" s="17">
        <f>[1]!MF_rho_mix_kgm3(B10,B13,B6,20,C23)</f>
        <v>495.62980152806443</v>
      </c>
    </row>
    <row r="5" spans="1:21" x14ac:dyDescent="0.25">
      <c r="A5" s="3" t="s">
        <v>4</v>
      </c>
      <c r="B5" s="4">
        <v>3474</v>
      </c>
      <c r="C5" s="3" t="s">
        <v>21</v>
      </c>
    </row>
    <row r="6" spans="1:21" x14ac:dyDescent="0.25">
      <c r="A6" s="3" t="s">
        <v>5</v>
      </c>
      <c r="B6" s="4">
        <v>57</v>
      </c>
      <c r="C6" s="3" t="s">
        <v>22</v>
      </c>
    </row>
    <row r="7" spans="1:21" ht="15.75" thickBot="1" x14ac:dyDescent="0.3">
      <c r="A7" s="3" t="s">
        <v>6</v>
      </c>
      <c r="B7" s="4">
        <v>27</v>
      </c>
      <c r="C7" s="3" t="s">
        <v>22</v>
      </c>
    </row>
    <row r="8" spans="1:21" x14ac:dyDescent="0.25">
      <c r="A8" s="3" t="s">
        <v>7</v>
      </c>
      <c r="B8" s="4">
        <v>299</v>
      </c>
      <c r="C8" s="3" t="s">
        <v>22</v>
      </c>
      <c r="H8" s="10" t="s">
        <v>57</v>
      </c>
      <c r="I8" s="11"/>
    </row>
    <row r="9" spans="1:21" x14ac:dyDescent="0.25">
      <c r="A9" s="3" t="s">
        <v>8</v>
      </c>
      <c r="B9" s="4">
        <v>213.3</v>
      </c>
      <c r="C9" s="3" t="s">
        <v>22</v>
      </c>
      <c r="H9" s="14" t="s">
        <v>58</v>
      </c>
      <c r="I9" s="15">
        <f>[1]!crv_intersection(A29:A80,B29:B80,A29:A80,D29:D80)</f>
        <v>0.96239548363742011</v>
      </c>
    </row>
    <row r="10" spans="1:21" ht="15.75" thickBot="1" x14ac:dyDescent="0.3">
      <c r="A10" s="3" t="s">
        <v>29</v>
      </c>
      <c r="B10" s="4">
        <v>19.149999999999999</v>
      </c>
      <c r="C10" s="3" t="s">
        <v>23</v>
      </c>
      <c r="H10" s="12" t="s">
        <v>59</v>
      </c>
      <c r="I10" s="13">
        <f>[1]!IPR_pwf_atma(B20,B8,I9,B13,B9)</f>
        <v>291.59695781817368</v>
      </c>
    </row>
    <row r="11" spans="1:21" x14ac:dyDescent="0.25">
      <c r="A11" s="3" t="s">
        <v>9</v>
      </c>
      <c r="B11" s="4">
        <v>4006.09</v>
      </c>
      <c r="C11" s="3" t="s">
        <v>23</v>
      </c>
    </row>
    <row r="12" spans="1:21" x14ac:dyDescent="0.25">
      <c r="A12" s="3" t="s">
        <v>10</v>
      </c>
      <c r="B12" s="4">
        <v>366.03399999999999</v>
      </c>
      <c r="C12" s="3" t="s">
        <v>26</v>
      </c>
      <c r="E12" t="s">
        <v>30</v>
      </c>
      <c r="F12">
        <f>B10*(B13/100)*B18</f>
        <v>8.3086104999999986</v>
      </c>
      <c r="H12" s="2">
        <f>F12/$F$16</f>
        <v>0.43282612406238663</v>
      </c>
      <c r="I12">
        <f>H12*B18</f>
        <v>0.43672155917894806</v>
      </c>
      <c r="K12">
        <f>F12*1000/(B18*1000)</f>
        <v>8.2345000000000006</v>
      </c>
    </row>
    <row r="13" spans="1:21" x14ac:dyDescent="0.25">
      <c r="A13" s="3" t="s">
        <v>11</v>
      </c>
      <c r="B13" s="4">
        <v>43</v>
      </c>
      <c r="C13" s="3" t="s">
        <v>24</v>
      </c>
      <c r="E13" t="s">
        <v>31</v>
      </c>
      <c r="F13">
        <f>B10*(1 - B13/100)*B17</f>
        <v>8.6669070000000001</v>
      </c>
      <c r="H13" s="2">
        <f t="shared" ref="H13:H14" si="0">F13/$F$16</f>
        <v>0.45149110846141693</v>
      </c>
      <c r="I13">
        <f>H13*B17</f>
        <v>0.35848394011836504</v>
      </c>
      <c r="K13">
        <f>F13*1000/(B17*1000)</f>
        <v>10.9155</v>
      </c>
    </row>
    <row r="14" spans="1:21" x14ac:dyDescent="0.25">
      <c r="A14" s="3" t="s">
        <v>12</v>
      </c>
      <c r="B14" s="4">
        <v>0.2</v>
      </c>
      <c r="C14" s="3" t="s">
        <v>25</v>
      </c>
      <c r="E14" t="s">
        <v>32</v>
      </c>
      <c r="F14">
        <f>(B12*F13)*0.7/1000</f>
        <v>2.2206678457866</v>
      </c>
      <c r="H14" s="2">
        <f t="shared" si="0"/>
        <v>0.11568276747619641</v>
      </c>
      <c r="I14">
        <f>H14*0.7</f>
        <v>8.0977937233337474E-2</v>
      </c>
      <c r="K14">
        <f>B12*F13</f>
        <v>3172.3826368380001</v>
      </c>
    </row>
    <row r="15" spans="1:21" x14ac:dyDescent="0.25">
      <c r="A15" s="3" t="s">
        <v>13</v>
      </c>
      <c r="B15" s="4">
        <v>0.5</v>
      </c>
      <c r="C15" s="3" t="s">
        <v>25</v>
      </c>
    </row>
    <row r="16" spans="1:21" x14ac:dyDescent="0.25">
      <c r="A16" s="3" t="s">
        <v>14</v>
      </c>
      <c r="B16" s="5">
        <v>1.5329999999999999</v>
      </c>
      <c r="C16" s="3" t="s">
        <v>26</v>
      </c>
      <c r="E16" t="s">
        <v>33</v>
      </c>
      <c r="F16">
        <f>SUM(F12:F14)</f>
        <v>19.196185345786599</v>
      </c>
      <c r="I16">
        <f>SUM(I12:I14)</f>
        <v>0.87618343653065056</v>
      </c>
    </row>
    <row r="17" spans="1:4" x14ac:dyDescent="0.25">
      <c r="A17" s="3" t="s">
        <v>15</v>
      </c>
      <c r="B17" s="5">
        <v>0.79400000000000004</v>
      </c>
      <c r="C17" s="3" t="s">
        <v>27</v>
      </c>
    </row>
    <row r="18" spans="1:4" x14ac:dyDescent="0.25">
      <c r="A18" s="3" t="s">
        <v>16</v>
      </c>
      <c r="B18" s="5">
        <v>1.0089999999999999</v>
      </c>
      <c r="C18" s="3" t="s">
        <v>27</v>
      </c>
    </row>
    <row r="19" spans="1:4" x14ac:dyDescent="0.25">
      <c r="A19" s="3" t="s">
        <v>17</v>
      </c>
      <c r="B19" s="4">
        <v>110</v>
      </c>
      <c r="C19" s="3" t="s">
        <v>28</v>
      </c>
    </row>
    <row r="20" spans="1:4" x14ac:dyDescent="0.25">
      <c r="A20" s="9" t="s">
        <v>54</v>
      </c>
      <c r="B20" s="4">
        <v>0.13</v>
      </c>
      <c r="C20" s="3" t="s">
        <v>55</v>
      </c>
    </row>
    <row r="22" spans="1:4" x14ac:dyDescent="0.25">
      <c r="B22" s="1" t="s">
        <v>34</v>
      </c>
      <c r="C22" t="str">
        <f>[1]!PVT_encode_string(0.6,B17,B18,,B12,B9,B19,B16,,0,B2,B6,20)</f>
        <v>{"gamma_gas":0.6,"gamma_oil":0.794,"gamma_wat":1.009,"rsb_m3m3":100,"rp_m3m3":366.034,"pb_atma":213.3,"t_res_C":110,"bob_m3m3":1.533,"PVTcorr":0,"ksep_fr":0.7,"p_ksep_atma":57,"t_ksep_C":20}</v>
      </c>
    </row>
    <row r="23" spans="1:4" x14ac:dyDescent="0.25">
      <c r="B23" s="1" t="s">
        <v>35</v>
      </c>
      <c r="C23" t="str">
        <f>[1]!PVT_encode_string(0.6,B17,B18,,B12,B9,B19,B16,,1,B2,B6,20)</f>
        <v>{"gamma_gas":0.6,"gamma_oil":0.794,"gamma_wat":1.009,"rsb_m3m3":100,"rp_m3m3":366.034,"pb_atma":213.3,"t_res_C":110,"bob_m3m3":1.533,"PVTcorr":1,"ksep_fr":0.7,"p_ksep_atma":57,"t_ksep_C":20}</v>
      </c>
    </row>
    <row r="26" spans="1:4" x14ac:dyDescent="0.25">
      <c r="A26" t="s">
        <v>49</v>
      </c>
    </row>
    <row r="27" spans="1:4" x14ac:dyDescent="0.25">
      <c r="A27" s="16" t="s">
        <v>50</v>
      </c>
      <c r="B27" s="16"/>
      <c r="C27" s="16" t="s">
        <v>51</v>
      </c>
      <c r="D27" s="16"/>
    </row>
    <row r="28" spans="1:4" ht="30" x14ac:dyDescent="0.25">
      <c r="A28" s="6" t="s">
        <v>60</v>
      </c>
      <c r="B28" s="7" t="s">
        <v>52</v>
      </c>
      <c r="C28" s="6" t="s">
        <v>53</v>
      </c>
      <c r="D28" s="7" t="s">
        <v>52</v>
      </c>
    </row>
    <row r="29" spans="1:4" x14ac:dyDescent="0.25">
      <c r="A29" s="6">
        <v>0</v>
      </c>
      <c r="B29" s="4">
        <f>[1]!IPR_pwf_atma($B$20,$B$8,A29,$B$13,$B$9)</f>
        <v>299</v>
      </c>
      <c r="C29" s="3">
        <f>[1]!MF_p_choke_atma(A29,$B$13,$B$4,$B$7,0,$B$3,20,,$C$22)</f>
        <v>27</v>
      </c>
      <c r="D29" s="3">
        <f>[1]!MF_p_pipeline_atma(C29,$I$3,$I$4,$H$4,$B$3,A29,$B$13,0,$C$22,10,1)</f>
        <v>292.38683589878548</v>
      </c>
    </row>
    <row r="30" spans="1:4" x14ac:dyDescent="0.25">
      <c r="A30" s="6">
        <v>10</v>
      </c>
      <c r="B30" s="4">
        <f>[1]!IPR_pwf_atma($B$20,$B$8,A30,$B$13,$B$9)</f>
        <v>222.07692307692307</v>
      </c>
      <c r="C30" s="3">
        <f>[1]!MF_p_choke_atma(A30,$B$13,$B$4,$B$7,0,$B$3,20,,$C$22,)</f>
        <v>27.048472881317139</v>
      </c>
      <c r="D30" s="3">
        <f>[1]!MF_p_pipeline_atma(C30,$I$3,$I$4,$H$4,$B$3,A30,$B$13,0,$C$22,10,1)</f>
        <v>284.17941915544827</v>
      </c>
    </row>
    <row r="31" spans="1:4" x14ac:dyDescent="0.25">
      <c r="A31" s="8">
        <f>B10</f>
        <v>19.149999999999999</v>
      </c>
      <c r="B31" s="4">
        <f>[1]!IPR_pwf_atma($B$20,$B$8,A31,$B$13,$B$9)</f>
        <v>145.43473517862881</v>
      </c>
      <c r="C31" s="3">
        <f>[1]!MF_p_choke_atma(A31,$B$13,$B$4,$B$7,0,$B$3,20,,$C$22,)</f>
        <v>27.178287506103516</v>
      </c>
      <c r="D31" s="3">
        <f>[1]!MF_p_pipeline_atma(C31,$I$3,$I$4,$H$4,$B$3,A31,$B$13,0,$C$22,10,1)</f>
        <v>278.597269377776</v>
      </c>
    </row>
    <row r="32" spans="1:4" x14ac:dyDescent="0.25">
      <c r="A32" s="6">
        <v>20</v>
      </c>
      <c r="B32" s="4">
        <f>[1]!IPR_pwf_atma($B$20,$B$8,A32,$B$13,$B$9)</f>
        <v>137.12138655200815</v>
      </c>
      <c r="C32" s="3">
        <f>[1]!MF_p_choke_atma(A32,$B$13,$B$4,$B$7,0,$B$3,20,,$C$22,)</f>
        <v>27.194561004638672</v>
      </c>
      <c r="D32" s="3">
        <f>[1]!MF_p_pipeline_atma(C32,$I$3,$I$4,$H$4,$B$3,A32,$B$13,0,$C$22,10,1)</f>
        <v>278.18740212705444</v>
      </c>
    </row>
    <row r="33" spans="1:4" x14ac:dyDescent="0.25">
      <c r="A33" s="6">
        <v>30</v>
      </c>
      <c r="B33" s="4">
        <f>[1]!IPR_pwf_atma($B$20,$B$8,A33,$B$13,$B$9)</f>
        <v>0</v>
      </c>
      <c r="C33" s="3">
        <f>[1]!MF_p_choke_atma(A33,$B$13,$B$4,$B$7,0,$B$3,20,,$C$22,)</f>
        <v>27.440208435058594</v>
      </c>
      <c r="D33" s="3">
        <f>[1]!MF_p_pipeline_atma(C33,$I$3,$I$4,$H$4,$B$3,A33,$B$13,0,$C$22,10,1)</f>
        <v>273.70311500908707</v>
      </c>
    </row>
    <row r="34" spans="1:4" x14ac:dyDescent="0.25">
      <c r="A34" s="6">
        <v>40</v>
      </c>
      <c r="B34" s="4">
        <f>[1]!IPR_pwf_atma($B$20,$B$8,A34,$B$13,$B$9)</f>
        <v>0</v>
      </c>
      <c r="C34" s="3">
        <f>[1]!MF_p_choke_atma(A34,$B$13,$B$4,$B$7,0,$B$3,20,,$C$22,)</f>
        <v>27.788955688476563</v>
      </c>
      <c r="D34" s="3">
        <f>[1]!MF_p_pipeline_atma(C34,$I$3,$I$4,$H$4,$B$3,A34,$B$13,0,$C$22,10,1)</f>
        <v>270.36355812122093</v>
      </c>
    </row>
    <row r="35" spans="1:4" x14ac:dyDescent="0.25">
      <c r="A35" s="6">
        <v>50</v>
      </c>
      <c r="B35" s="4">
        <f>[1]!IPR_pwf_atma($B$20,$B$8,A35,$B$13,$B$9)</f>
        <v>0</v>
      </c>
      <c r="C35" s="3">
        <f>[1]!MF_p_choke_atma(A35,$B$13,$B$4,$B$7,0,$B$3,20,,$C$22,)</f>
        <v>28.245643615722656</v>
      </c>
      <c r="D35" s="3">
        <f>[1]!MF_p_pipeline_atma(C35,$I$3,$I$4,$H$4,$B$3,A35,$B$13,0,$C$22,10,1)</f>
        <v>267.89749186751965</v>
      </c>
    </row>
    <row r="36" spans="1:4" x14ac:dyDescent="0.25">
      <c r="A36" s="6">
        <v>60</v>
      </c>
      <c r="B36" s="4">
        <f>[1]!IPR_pwf_atma($B$20,$B$8,A36,$B$13,$B$9)</f>
        <v>0</v>
      </c>
      <c r="C36" s="3">
        <f>[1]!MF_p_choke_atma(A36,$B$13,$B$4,$B$7,0,$B$3,20,,$C$22,)</f>
        <v>28.816864013671875</v>
      </c>
      <c r="D36" s="3">
        <f>[1]!MF_p_pipeline_atma(C36,$I$3,$I$4,$H$4,$B$3,A36,$B$13,0,$C$22,10,1)</f>
        <v>266.1876660979446</v>
      </c>
    </row>
    <row r="37" spans="1:4" x14ac:dyDescent="0.25">
      <c r="A37" s="6">
        <v>70</v>
      </c>
      <c r="B37" s="4">
        <f>[1]!IPR_pwf_atma($B$20,$B$8,A37,$B$13,$B$9)</f>
        <v>0</v>
      </c>
      <c r="C37" s="3">
        <f>[1]!MF_p_choke_atma(A37,$B$13,$B$4,$B$7,0,$B$3,20,,$C$22,)</f>
        <v>29.510650634765625</v>
      </c>
      <c r="D37" s="3">
        <f>[1]!MF_p_pipeline_atma(C37,$I$3,$I$4,$H$4,$B$3,A37,$B$13,0,$C$22,10,1)</f>
        <v>265.12552307666334</v>
      </c>
    </row>
    <row r="38" spans="1:4" x14ac:dyDescent="0.25">
      <c r="A38" s="6">
        <v>80</v>
      </c>
      <c r="B38" s="4">
        <f>[1]!IPR_pwf_atma($B$20,$B$8,A38,$B$13,$B$9)</f>
        <v>0</v>
      </c>
      <c r="C38" s="3">
        <f>[1]!MF_p_choke_atma(A38,$B$13,$B$4,$B$7,0,$B$3,20,,$C$22,)</f>
        <v>30.336273193359375</v>
      </c>
      <c r="D38" s="3">
        <f>[1]!MF_p_pipeline_atma(C38,$I$3,$I$4,$H$4,$B$3,A38,$B$13,0,$C$22,10,1)</f>
        <v>264.65324410180727</v>
      </c>
    </row>
    <row r="39" spans="1:4" x14ac:dyDescent="0.25">
      <c r="A39" s="6">
        <v>90</v>
      </c>
      <c r="B39" s="4">
        <f>[1]!IPR_pwf_atma($B$20,$B$8,A39,$B$13,$B$9)</f>
        <v>0</v>
      </c>
      <c r="C39" s="3">
        <f>[1]!MF_p_choke_atma(A39,$B$13,$B$4,$B$7,0,$B$3,20,,$C$22,)</f>
        <v>31.305267333984375</v>
      </c>
      <c r="D39" s="3">
        <f>[1]!MF_p_pipeline_atma(C39,$I$3,$I$4,$H$4,$B$3,A39,$B$13,0,$C$22,10,1)</f>
        <v>264.7189030539231</v>
      </c>
    </row>
    <row r="40" spans="1:4" x14ac:dyDescent="0.25">
      <c r="A40" s="6">
        <v>100</v>
      </c>
      <c r="B40" s="4">
        <f>[1]!IPR_pwf_atma($B$20,$B$8,A40,$B$13,$B$9)</f>
        <v>0</v>
      </c>
      <c r="C40" s="3">
        <f>[1]!MF_p_choke_atma(A40,$B$13,$B$4,$B$7,0,$B$3,20,,$C$22,)</f>
        <v>32.432464599609375</v>
      </c>
      <c r="D40" s="3">
        <f>[1]!MF_p_pipeline_atma(C40,$I$3,$I$4,$H$4,$B$3,A40,$B$13,0,$C$22,10,1)</f>
        <v>265.30145991194951</v>
      </c>
    </row>
    <row r="41" spans="1:4" x14ac:dyDescent="0.25">
      <c r="A41" s="6">
        <v>110</v>
      </c>
      <c r="B41" s="4">
        <f>[1]!IPR_pwf_atma($B$20,$B$8,A41,$B$13,$B$9)</f>
        <v>0</v>
      </c>
      <c r="C41" s="3">
        <f>[1]!MF_p_choke_atma(A41,$B$13,$B$4,$B$7,0,$B$3,20,,$C$22,)</f>
        <v>33.734344482421875</v>
      </c>
      <c r="D41" s="3">
        <f>[1]!MF_p_pipeline_atma(C41,$I$3,$I$4,$H$4,$B$3,A41,$B$13,0,$C$22,10,1)</f>
        <v>266.38539351011639</v>
      </c>
    </row>
    <row r="42" spans="1:4" x14ac:dyDescent="0.25">
      <c r="A42" s="6">
        <v>120</v>
      </c>
      <c r="B42" s="4">
        <f>[1]!IPR_pwf_atma($B$20,$B$8,A42,$B$13,$B$9)</f>
        <v>0</v>
      </c>
      <c r="C42" s="3">
        <f>[1]!MF_p_choke_atma(A42,$B$13,$B$4,$B$7,0,$B$3,20,,$C$22,)</f>
        <v>35.227386474609375</v>
      </c>
      <c r="D42" s="3">
        <f>[1]!MF_p_pipeline_atma(C42,$I$3,$I$4,$H$4,$B$3,A42,$B$13,0,$C$22,10,1)</f>
        <v>267.952873869531</v>
      </c>
    </row>
    <row r="43" spans="1:4" x14ac:dyDescent="0.25">
      <c r="A43" s="6">
        <v>130</v>
      </c>
      <c r="B43" s="4">
        <f>[1]!IPR_pwf_atma($B$20,$B$8,A43,$B$13,$B$9)</f>
        <v>0</v>
      </c>
      <c r="C43" s="3">
        <f>[1]!MF_p_choke_atma(A43,$B$13,$B$4,$B$7,0,$B$3,20,,$C$22,)</f>
        <v>36.931365966796875</v>
      </c>
      <c r="D43" s="3">
        <f>[1]!MF_p_pipeline_atma(C43,$I$3,$I$4,$H$4,$B$3,A43,$B$13,0,$C$22,10,1)</f>
        <v>269.99877531351507</v>
      </c>
    </row>
    <row r="44" spans="1:4" x14ac:dyDescent="0.25">
      <c r="A44" s="6">
        <v>140</v>
      </c>
      <c r="B44" s="4">
        <f>[1]!IPR_pwf_atma($B$20,$B$8,A44,$B$13,$B$9)</f>
        <v>0</v>
      </c>
      <c r="C44" s="3">
        <f>[1]!MF_p_choke_atma(A44,$B$13,$B$4,$B$7,0,$B$3,20,,$C$22,)</f>
        <v>38.867706298828125</v>
      </c>
      <c r="D44" s="3">
        <f>[1]!MF_p_pipeline_atma(C44,$I$3,$I$4,$H$4,$B$3,A44,$B$13,0,$C$22,10,1)</f>
        <v>272.52551287786645</v>
      </c>
    </row>
    <row r="45" spans="1:4" x14ac:dyDescent="0.25">
      <c r="A45" s="6">
        <v>150</v>
      </c>
      <c r="B45" s="4">
        <f>[1]!IPR_pwf_atma($B$20,$B$8,A45,$B$13,$B$9)</f>
        <v>0</v>
      </c>
      <c r="C45" s="3">
        <f>[1]!MF_p_choke_atma(A45,$B$13,$B$4,$B$7,0,$B$3,20,,$C$22,)</f>
        <v>41.061126708984375</v>
      </c>
      <c r="D45" s="3">
        <f>[1]!MF_p_pipeline_atma(C45,$I$3,$I$4,$H$4,$B$3,A45,$B$13,0,$C$22,10,1)</f>
        <v>275.52255108895525</v>
      </c>
    </row>
    <row r="46" spans="1:4" x14ac:dyDescent="0.25">
      <c r="A46" s="6">
        <v>160</v>
      </c>
      <c r="B46" s="4">
        <f>[1]!IPR_pwf_atma($B$20,$B$8,A46,$B$13,$B$9)</f>
        <v>0</v>
      </c>
      <c r="C46" s="3">
        <f>[1]!MF_p_choke_atma(A46,$B$13,$B$4,$B$7,0,$B$3,20,,$C$22,)</f>
        <v>43.529754638671875</v>
      </c>
      <c r="D46" s="3">
        <f>[1]!MF_p_pipeline_atma(C46,$I$3,$I$4,$H$4,$B$3,A46,$B$13,0,$C$22,10,1)</f>
        <v>278.98788994475376</v>
      </c>
    </row>
    <row r="47" spans="1:4" x14ac:dyDescent="0.25">
      <c r="A47" s="6">
        <v>170</v>
      </c>
      <c r="B47" s="4">
        <f>[1]!IPR_pwf_atma($B$20,$B$8,A47,$B$13,$B$9)</f>
        <v>0</v>
      </c>
      <c r="C47" s="3">
        <f>[1]!MF_p_choke_atma(A47,$B$13,$B$4,$B$7,0,$B$3,20,,$C$22,)</f>
        <v>46.296661376953125</v>
      </c>
      <c r="D47" s="3">
        <f>[1]!MF_p_pipeline_atma(C47,$I$3,$I$4,$H$4,$B$3,A47,$B$13,0,$C$22,10,1)</f>
        <v>282.9097829541534</v>
      </c>
    </row>
    <row r="48" spans="1:4" x14ac:dyDescent="0.25">
      <c r="A48" s="6">
        <v>180</v>
      </c>
      <c r="B48" s="4">
        <f>[1]!IPR_pwf_atma($B$20,$B$8,A48,$B$13,$B$9)</f>
        <v>0</v>
      </c>
      <c r="C48" s="3">
        <f>[1]!MF_p_choke_atma(A48,$B$13,$B$4,$B$7,0,$B$3,20,,$C$22,)</f>
        <v>49.347015380859375</v>
      </c>
      <c r="D48" s="3">
        <f>[1]!MF_p_pipeline_atma(C48,$I$3,$I$4,$H$4,$B$3,A48,$B$13,0,$C$22,10,1)</f>
        <v>287.23751052470442</v>
      </c>
    </row>
    <row r="49" spans="1:17" x14ac:dyDescent="0.25">
      <c r="A49" s="6">
        <v>190</v>
      </c>
      <c r="B49" s="4">
        <f>[1]!IPR_pwf_atma($B$20,$B$8,A49,$B$13,$B$9)</f>
        <v>0</v>
      </c>
      <c r="C49" s="3">
        <f>[1]!MF_p_choke_atma(A49,$B$13,$B$4,$B$7,0,$B$3,20,,$C$22,)</f>
        <v>52.054595947265625</v>
      </c>
      <c r="D49" s="3">
        <f>[1]!MF_p_pipeline_atma(C49,$I$3,$I$4,$H$4,$B$3,A49,$B$13,0,$C$22,10,1)</f>
        <v>291.01222969912209</v>
      </c>
    </row>
    <row r="50" spans="1:17" x14ac:dyDescent="0.25">
      <c r="A50" s="6">
        <v>200</v>
      </c>
      <c r="B50" s="4">
        <f>[1]!IPR_pwf_atma($B$20,$B$8,A50,$B$13,$B$9)</f>
        <v>0</v>
      </c>
      <c r="C50" s="3">
        <f>[1]!MF_p_choke_atma(A50,$B$13,$B$4,$B$7,0,$B$3,20,,$C$22,)</f>
        <v>54.755584716796875</v>
      </c>
      <c r="D50" s="3">
        <f>[1]!MF_p_pipeline_atma(C50,$I$3,$I$4,$H$4,$B$3,A50,$B$13,0,$C$22,10,1)</f>
        <v>294.76341827956185</v>
      </c>
    </row>
    <row r="51" spans="1:17" x14ac:dyDescent="0.25">
      <c r="A51" s="6">
        <v>210</v>
      </c>
      <c r="B51" s="4">
        <f>[1]!IPR_pwf_atma($B$20,$B$8,A51,$B$13,$B$9)</f>
        <v>0</v>
      </c>
      <c r="C51" s="3">
        <f>[1]!MF_p_choke_atma(A51,$B$13,$B$4,$B$7,0,$B$3,20,,$C$22,)</f>
        <v>57.453277587890625</v>
      </c>
      <c r="D51" s="3">
        <f>[1]!MF_p_pipeline_atma(C51,$I$3,$I$4,$H$4,$B$3,A51,$B$13,0,$C$22,10,1)</f>
        <v>298.47055484248187</v>
      </c>
    </row>
    <row r="52" spans="1:17" x14ac:dyDescent="0.25">
      <c r="A52" s="6">
        <v>220</v>
      </c>
      <c r="B52" s="4">
        <f>[1]!IPR_pwf_atma($B$20,$B$8,A52,$B$13,$B$9)</f>
        <v>0</v>
      </c>
      <c r="C52" s="3">
        <f>[1]!MF_p_choke_atma(A52,$B$13,$B$4,$B$7,0,$B$3,20,,$C$22,)</f>
        <v>60.144378662109375</v>
      </c>
      <c r="D52" s="3">
        <f>[1]!MF_p_pipeline_atma(C52,$I$3,$I$4,$H$4,$B$3,A52,$B$13,0,$C$22,10,1)</f>
        <v>302.15167476125953</v>
      </c>
      <c r="Q52" t="s">
        <v>56</v>
      </c>
    </row>
    <row r="53" spans="1:17" x14ac:dyDescent="0.25">
      <c r="A53" s="6">
        <v>230</v>
      </c>
      <c r="B53" s="4">
        <f>[1]!IPR_pwf_atma($B$20,$B$8,A53,$B$13,$B$9)</f>
        <v>0</v>
      </c>
      <c r="C53" s="3">
        <f>[1]!MF_p_choke_atma(A53,$B$13,$B$4,$B$7,0,$B$3,20,,$C$22,)</f>
        <v>62.832183837890625</v>
      </c>
      <c r="D53" s="3">
        <f>[1]!MF_p_pipeline_atma(C53,$I$3,$I$4,$H$4,$B$3,A53,$B$13,0,$C$22,10,1)</f>
        <v>305.7724686142131</v>
      </c>
    </row>
    <row r="54" spans="1:17" x14ac:dyDescent="0.25">
      <c r="A54" s="6">
        <v>240</v>
      </c>
      <c r="B54" s="4">
        <f>[1]!IPR_pwf_atma($B$20,$B$8,A54,$B$13,$B$9)</f>
        <v>0</v>
      </c>
      <c r="C54" s="3">
        <f>[1]!MF_p_choke_atma(A54,$B$13,$B$4,$B$7,0,$B$3,20,,$C$22,)</f>
        <v>65.515045166015625</v>
      </c>
      <c r="D54" s="3">
        <f>[1]!MF_p_pipeline_atma(C54,$I$3,$I$4,$H$4,$B$3,A54,$B$13,0,$C$22,10,1)</f>
        <v>309.37165211401714</v>
      </c>
    </row>
    <row r="55" spans="1:17" x14ac:dyDescent="0.25">
      <c r="A55" s="6">
        <v>250</v>
      </c>
      <c r="B55" s="4">
        <f>[1]!IPR_pwf_atma($B$20,$B$8,A55,$B$13,$B$9)</f>
        <v>0</v>
      </c>
      <c r="C55" s="3">
        <f>[1]!MF_p_choke_atma(A55,$B$13,$B$4,$B$7,0,$B$3,20,,$C$22,)</f>
        <v>68.192962646484375</v>
      </c>
      <c r="D55" s="3">
        <f>[1]!MF_p_pipeline_atma(C55,$I$3,$I$4,$H$4,$B$3,A55,$B$13,0,$C$22,10,1)</f>
        <v>312.95033175544103</v>
      </c>
    </row>
    <row r="56" spans="1:17" x14ac:dyDescent="0.25">
      <c r="A56" s="6">
        <v>260</v>
      </c>
      <c r="B56" s="4">
        <f>[1]!IPR_pwf_atma($B$20,$B$8,A56,$B$13,$B$9)</f>
        <v>0</v>
      </c>
      <c r="C56" s="3">
        <f>[1]!MF_p_choke_atma(A56,$B$13,$B$4,$B$7,0,$B$3,20,,$C$22,)</f>
        <v>70.867584228515625</v>
      </c>
      <c r="D56" s="3">
        <f>[1]!MF_p_pipeline_atma(C56,$I$3,$I$4,$H$4,$B$3,A56,$B$13,0,$C$22,10,1)</f>
        <v>316.48240870285809</v>
      </c>
    </row>
    <row r="57" spans="1:17" x14ac:dyDescent="0.25">
      <c r="A57" s="6">
        <v>270</v>
      </c>
      <c r="B57" s="4">
        <f>[1]!IPR_pwf_atma($B$20,$B$8,A57,$B$13,$B$9)</f>
        <v>0</v>
      </c>
      <c r="C57" s="3">
        <f>[1]!MF_p_choke_atma(A57,$B$13,$B$4,$B$7,0,$B$3,20,,$C$22,)</f>
        <v>73.538909912109375</v>
      </c>
      <c r="D57" s="3">
        <f>[1]!MF_p_pipeline_atma(C57,$I$3,$I$4,$H$4,$B$3,A57,$B$13,0,$C$22,10,1)</f>
        <v>319.98358352210209</v>
      </c>
    </row>
    <row r="58" spans="1:17" x14ac:dyDescent="0.25">
      <c r="A58" s="6">
        <v>280</v>
      </c>
      <c r="B58" s="4">
        <f>[1]!IPR_pwf_atma($B$20,$B$8,A58,$B$13,$B$9)</f>
        <v>0</v>
      </c>
      <c r="C58" s="3">
        <f>[1]!MF_p_choke_atma(A58,$B$13,$B$4,$B$7,0,$B$3,20,,$C$22,)</f>
        <v>76.205291748046875</v>
      </c>
      <c r="D58" s="3">
        <f>[1]!MF_p_pipeline_atma(C58,$I$3,$I$4,$H$4,$B$3,A58,$B$13,0,$C$22,10,1)</f>
        <v>323.47168532700761</v>
      </c>
    </row>
    <row r="59" spans="1:17" x14ac:dyDescent="0.25">
      <c r="A59" s="6">
        <v>290</v>
      </c>
      <c r="B59" s="4">
        <f>[1]!IPR_pwf_atma($B$20,$B$8,A59,$B$13,$B$9)</f>
        <v>0</v>
      </c>
      <c r="C59" s="3">
        <f>[1]!MF_p_choke_atma(A59,$B$13,$B$4,$B$7,0,$B$3,20,,$C$22,)</f>
        <v>78.870025634765625</v>
      </c>
      <c r="D59" s="3">
        <f>[1]!MF_p_pipeline_atma(C59,$I$3,$I$4,$H$4,$B$3,A59,$B$13,0,$C$22,10,1)</f>
        <v>326.91214965465156</v>
      </c>
    </row>
    <row r="60" spans="1:17" x14ac:dyDescent="0.25">
      <c r="A60" s="6">
        <v>300</v>
      </c>
      <c r="B60" s="4">
        <f>[1]!IPR_pwf_atma($B$20,$B$8,A60,$B$13,$B$9)</f>
        <v>0</v>
      </c>
      <c r="C60" s="3">
        <f>[1]!MF_p_choke_atma(A60,$B$13,$B$4,$B$7,0,$B$3,20,,$C$22,)</f>
        <v>81.529815673828125</v>
      </c>
      <c r="D60" s="3">
        <f>[1]!MF_p_pipeline_atma(C60,$I$3,$I$4,$H$4,$B$3,A60,$B$13,0,$C$22,10,1)</f>
        <v>330.32592501881965</v>
      </c>
    </row>
    <row r="61" spans="1:17" x14ac:dyDescent="0.25">
      <c r="A61" s="6">
        <v>310</v>
      </c>
      <c r="B61" s="4">
        <f>[1]!IPR_pwf_atma($B$20,$B$8,A61,$B$13,$B$9)</f>
        <v>0</v>
      </c>
      <c r="C61" s="3">
        <f>[1]!MF_p_choke_atma(A61,$B$13,$B$4,$B$7,0,$B$3,20,,$C$22,)</f>
        <v>84.189605712890625</v>
      </c>
      <c r="D61" s="3">
        <f>[1]!MF_p_pipeline_atma(C61,$I$3,$I$4,$H$4,$B$3,A61,$B$13,0,$C$22,10,1)</f>
        <v>333.72226562337875</v>
      </c>
    </row>
    <row r="62" spans="1:17" x14ac:dyDescent="0.25">
      <c r="A62" s="6">
        <v>320</v>
      </c>
      <c r="B62" s="4">
        <f>[1]!IPR_pwf_atma($B$20,$B$8,A62,$B$13,$B$9)</f>
        <v>0</v>
      </c>
      <c r="C62" s="3">
        <f>[1]!MF_p_choke_atma(A62,$B$13,$B$4,$B$7,0,$B$3,20,,$C$22,)</f>
        <v>86.844451904296875</v>
      </c>
      <c r="D62" s="3">
        <f>[1]!MF_p_pipeline_atma(C62,$I$3,$I$4,$H$4,$B$3,A62,$B$13,0,$C$22,10,1)</f>
        <v>337.07272923993526</v>
      </c>
    </row>
    <row r="63" spans="1:17" x14ac:dyDescent="0.25">
      <c r="A63" s="6">
        <v>330</v>
      </c>
      <c r="B63" s="4">
        <f>[1]!IPR_pwf_atma($B$20,$B$8,A63,$B$13,$B$9)</f>
        <v>0</v>
      </c>
      <c r="C63" s="3">
        <f>[1]!MF_p_choke_atma(A63,$B$13,$B$4,$B$7,0,$B$3,20,,$C$22,)</f>
        <v>89.499298095703125</v>
      </c>
      <c r="D63" s="3">
        <f>[1]!MF_p_pipeline_atma(C63,$I$3,$I$4,$H$4,$B$3,A63,$B$13,0,$C$22,10,1)</f>
        <v>340.38128285480843</v>
      </c>
    </row>
    <row r="64" spans="1:17" x14ac:dyDescent="0.25">
      <c r="A64" s="6">
        <v>340</v>
      </c>
      <c r="B64" s="4">
        <f>[1]!IPR_pwf_atma($B$20,$B$8,A64,$B$13,$B$9)</f>
        <v>0</v>
      </c>
      <c r="C64" s="3">
        <f>[1]!MF_p_choke_atma(A64,$B$13,$B$4,$B$7,0,$B$3,20,,$C$22,)</f>
        <v>92.150848388671875</v>
      </c>
      <c r="D64" s="3">
        <f>[1]!MF_p_pipeline_atma(C64,$I$3,$I$4,$H$4,$B$3,A64,$B$13,0,$C$22,10,1)</f>
        <v>343.66853738208084</v>
      </c>
    </row>
    <row r="65" spans="1:4" x14ac:dyDescent="0.25">
      <c r="A65" s="6">
        <v>350</v>
      </c>
      <c r="B65" s="4">
        <f>[1]!IPR_pwf_atma($B$20,$B$8,A65,$B$13,$B$9)</f>
        <v>0</v>
      </c>
      <c r="C65" s="3">
        <f>[1]!MF_p_choke_atma(A65,$B$13,$B$4,$B$7,0,$B$3,20,,$C$22,)</f>
        <v>94.802398681640625</v>
      </c>
      <c r="D65" s="3">
        <f>[1]!MF_p_pipeline_atma(C65,$I$3,$I$4,$H$4,$B$3,A65,$B$13,0,$C$22,10,1)</f>
        <v>346.93916842267333</v>
      </c>
    </row>
    <row r="66" spans="1:4" x14ac:dyDescent="0.25">
      <c r="A66" s="6">
        <v>360</v>
      </c>
      <c r="B66" s="4">
        <f>[1]!IPR_pwf_atma($B$20,$B$8,A66,$B$13,$B$9)</f>
        <v>0</v>
      </c>
      <c r="C66" s="3">
        <f>[1]!MF_p_choke_atma(A66,$B$13,$B$4,$B$7,0,$B$3,20,,$C$22,)</f>
        <v>97.452301025390625</v>
      </c>
      <c r="D66" s="3">
        <f>[1]!MF_p_pipeline_atma(C66,$I$3,$I$4,$H$4,$B$3,A66,$B$13,0,$C$22,10,1)</f>
        <v>350.19341979367653</v>
      </c>
    </row>
    <row r="67" spans="1:4" x14ac:dyDescent="0.25">
      <c r="A67" s="6">
        <v>370</v>
      </c>
      <c r="B67" s="4">
        <f>[1]!IPR_pwf_atma($B$20,$B$8,A67,$B$13,$B$9)</f>
        <v>0</v>
      </c>
      <c r="C67" s="3">
        <f>[1]!MF_p_choke_atma(A67,$B$13,$B$4,$B$7,0,$B$3,20,,$C$22,)</f>
        <v>100.10055541992188</v>
      </c>
      <c r="D67" s="3">
        <f>[1]!MF_p_pipeline_atma(C67,$I$3,$I$4,$H$4,$B$3,A67,$B$13,0,$C$22,10,1)</f>
        <v>353.43166468175036</v>
      </c>
    </row>
    <row r="68" spans="1:4" x14ac:dyDescent="0.25">
      <c r="A68" s="6">
        <v>380</v>
      </c>
      <c r="B68" s="4">
        <f>[1]!IPR_pwf_atma($B$20,$B$8,A68,$B$13,$B$9)</f>
        <v>0</v>
      </c>
      <c r="C68" s="3">
        <f>[1]!MF_p_choke_atma(A68,$B$13,$B$4,$B$7,0,$B$3,20,,$C$22,)</f>
        <v>102.74716186523438</v>
      </c>
      <c r="D68" s="3">
        <f>[1]!MF_p_pipeline_atma(C68,$I$3,$I$4,$H$4,$B$3,A68,$B$13,0,$C$22,10,1)</f>
        <v>356.65580454522734</v>
      </c>
    </row>
    <row r="69" spans="1:4" x14ac:dyDescent="0.25">
      <c r="A69" s="6">
        <v>390</v>
      </c>
      <c r="B69" s="4">
        <f>[1]!IPR_pwf_atma($B$20,$B$8,A69,$B$13,$B$9)</f>
        <v>0</v>
      </c>
      <c r="C69" s="3">
        <f>[1]!MF_p_choke_atma(A69,$B$13,$B$4,$B$7,0,$B$3,20,,$C$22,)</f>
        <v>105.39376831054688</v>
      </c>
      <c r="D69" s="3">
        <f>[1]!MF_p_pipeline_atma(C69,$I$3,$I$4,$H$4,$B$3,A69,$B$13,0,$C$22,10,1)</f>
        <v>359.86810727032946</v>
      </c>
    </row>
    <row r="70" spans="1:4" x14ac:dyDescent="0.25">
      <c r="A70" s="6">
        <v>400</v>
      </c>
      <c r="B70" s="4">
        <f>[1]!IPR_pwf_atma($B$20,$B$8,A70,$B$13,$B$9)</f>
        <v>0</v>
      </c>
      <c r="C70" s="3">
        <f>[1]!MF_p_choke_atma(A70,$B$13,$B$4,$B$7,0,$B$3,20,,$C$22,)</f>
        <v>108.04037475585938</v>
      </c>
      <c r="D70" s="3">
        <f>[1]!MF_p_pipeline_atma(C70,$I$3,$I$4,$H$4,$B$3,A70,$B$13,0,$C$22,10,1)</f>
        <v>363.07028797780629</v>
      </c>
    </row>
    <row r="71" spans="1:4" x14ac:dyDescent="0.25">
      <c r="A71" s="6">
        <v>410</v>
      </c>
      <c r="B71" s="4">
        <f>[1]!IPR_pwf_atma($B$20,$B$8,A71,$B$13,$B$9)</f>
        <v>0</v>
      </c>
      <c r="C71" s="3">
        <f>[1]!MF_p_choke_atma(A71,$B$13,$B$4,$B$7,0,$B$3,20,,$C$22,)</f>
        <v>110.68533325195313</v>
      </c>
      <c r="D71" s="3">
        <f>[1]!MF_p_pipeline_atma(C71,$I$3,$I$4,$H$4,$B$3,A71,$B$13,0,$C$22,10,1)</f>
        <v>366.26083728572826</v>
      </c>
    </row>
    <row r="72" spans="1:4" x14ac:dyDescent="0.25">
      <c r="A72" s="6">
        <v>420</v>
      </c>
      <c r="B72" s="4">
        <f>[1]!IPR_pwf_atma($B$20,$B$8,A72,$B$13,$B$9)</f>
        <v>0</v>
      </c>
      <c r="C72" s="3">
        <f>[1]!MF_p_choke_atma(A72,$B$13,$B$4,$B$7,0,$B$3,20,,$C$22,)</f>
        <v>113.33029174804688</v>
      </c>
      <c r="D72" s="3">
        <f>[1]!MF_p_pipeline_atma(C72,$I$3,$I$4,$H$4,$B$3,A72,$B$13,0,$C$22,10,1)</f>
        <v>369.44326238686671</v>
      </c>
    </row>
    <row r="73" spans="1:4" x14ac:dyDescent="0.25">
      <c r="A73" s="6">
        <v>430</v>
      </c>
      <c r="B73" s="4">
        <f>[1]!IPR_pwf_atma($B$20,$B$8,A73,$B$13,$B$9)</f>
        <v>0</v>
      </c>
      <c r="C73" s="3">
        <f>[1]!MF_p_choke_atma(A73,$B$13,$B$4,$B$7,0,$B$3,20,,$C$22,)</f>
        <v>115.97689819335938</v>
      </c>
      <c r="D73" s="3">
        <f>[1]!MF_p_pipeline_atma(C73,$I$3,$I$4,$H$4,$B$3,A73,$B$13,0,$C$22,10,1)</f>
        <v>372.61947003202539</v>
      </c>
    </row>
    <row r="74" spans="1:4" x14ac:dyDescent="0.25">
      <c r="A74" s="6">
        <v>440</v>
      </c>
      <c r="B74" s="4">
        <f>[1]!IPR_pwf_atma($B$20,$B$8,A74,$B$13,$B$9)</f>
        <v>0</v>
      </c>
      <c r="C74" s="3">
        <f>[1]!MF_p_choke_atma(A74,$B$13,$B$4,$B$7,0,$B$3,20,,$C$22,)</f>
        <v>118.62185668945313</v>
      </c>
      <c r="D74" s="3">
        <f>[1]!MF_p_pipeline_atma(C74,$I$3,$I$4,$H$4,$B$3,A74,$B$13,0,$C$22,10,1)</f>
        <v>375.78761826294294</v>
      </c>
    </row>
    <row r="75" spans="1:4" x14ac:dyDescent="0.25">
      <c r="A75" s="6">
        <v>450</v>
      </c>
      <c r="B75" s="4">
        <f>[1]!IPR_pwf_atma($B$20,$B$8,A75,$B$13,$B$9)</f>
        <v>0</v>
      </c>
      <c r="C75" s="3">
        <f>[1]!MF_p_choke_atma(A75,$B$13,$B$4,$B$7,0,$B$3,20,,$C$22,)</f>
        <v>121.26681518554688</v>
      </c>
      <c r="D75" s="3">
        <f>[1]!MF_p_pipeline_atma(C75,$I$3,$I$4,$H$4,$B$3,A75,$B$13,0,$C$22,10,1)</f>
        <v>378.94935186137445</v>
      </c>
    </row>
    <row r="76" spans="1:4" x14ac:dyDescent="0.25">
      <c r="A76" s="6">
        <v>460</v>
      </c>
      <c r="B76" s="4">
        <f>[1]!IPR_pwf_atma($B$20,$B$8,A76,$B$13,$B$9)</f>
        <v>0</v>
      </c>
      <c r="C76" s="3">
        <f>[1]!MF_p_choke_atma(A76,$B$13,$B$4,$B$7,0,$B$3,20,,$C$22,)</f>
        <v>123.91342163085938</v>
      </c>
      <c r="D76" s="3">
        <f>[1]!MF_p_pipeline_atma(C76,$I$3,$I$4,$H$4,$B$3,A76,$B$13,0,$C$22,10,1)</f>
        <v>382.10775797580203</v>
      </c>
    </row>
    <row r="77" spans="1:4" x14ac:dyDescent="0.25">
      <c r="A77" s="6">
        <v>470</v>
      </c>
      <c r="B77" s="4">
        <f>[1]!IPR_pwf_atma($B$20,$B$8,A77,$B$13,$B$9)</f>
        <v>0</v>
      </c>
      <c r="C77" s="3">
        <f>[1]!MF_p_choke_atma(A77,$B$13,$B$4,$B$7,0,$B$3,20,,$C$22,)</f>
        <v>126.56002807617188</v>
      </c>
      <c r="D77" s="3">
        <f>[1]!MF_p_pipeline_atma(C77,$I$3,$I$4,$H$4,$B$3,A77,$B$13,0,$C$22,10,1)</f>
        <v>385.26227987705175</v>
      </c>
    </row>
    <row r="78" spans="1:4" x14ac:dyDescent="0.25">
      <c r="A78" s="6">
        <v>480</v>
      </c>
      <c r="B78" s="4">
        <f>[1]!IPR_pwf_atma($B$20,$B$8,A78,$B$13,$B$9)</f>
        <v>0</v>
      </c>
      <c r="C78" s="3">
        <f>[1]!MF_p_choke_atma(A78,$B$13,$B$4,$B$7,0,$B$3,20,,$C$22,)</f>
        <v>129.20663452148438</v>
      </c>
      <c r="D78" s="3">
        <f>[1]!MF_p_pipeline_atma(C78,$I$3,$I$4,$H$4,$B$3,A78,$B$13,0,$C$22,10,1)</f>
        <v>388.41254922928596</v>
      </c>
    </row>
    <row r="79" spans="1:4" x14ac:dyDescent="0.25">
      <c r="A79" s="6">
        <v>490</v>
      </c>
      <c r="B79" s="4">
        <f>[1]!IPR_pwf_atma($B$20,$B$8,A79,$B$13,$B$9)</f>
        <v>0</v>
      </c>
      <c r="C79" s="3">
        <f>[1]!MF_p_choke_atma(A79,$B$13,$B$4,$B$7,0,$B$3,20,,$C$22,)</f>
        <v>131.85324096679688</v>
      </c>
      <c r="D79" s="3">
        <f>[1]!MF_p_pipeline_atma(C79,$I$3,$I$4,$H$4,$B$3,A79,$B$13,0,$C$22,10,1)</f>
        <v>391.56055955482475</v>
      </c>
    </row>
    <row r="80" spans="1:4" x14ac:dyDescent="0.25">
      <c r="A80" s="6">
        <v>500</v>
      </c>
      <c r="B80" s="4">
        <f>[1]!IPR_pwf_atma($B$20,$B$8,A80,$B$13,$B$9)</f>
        <v>0</v>
      </c>
      <c r="C80" s="3">
        <f>[1]!MF_p_choke_atma(A80,$B$13,$B$4,$B$7,0,$B$3,20,,$C$22,)</f>
        <v>134.49984741210938</v>
      </c>
      <c r="D80" s="3">
        <f>[1]!MF_p_pipeline_atma(C80,$I$3,$I$4,$H$4,$B$3,A80,$B$13,0,$C$22,10,1)</f>
        <v>394.70539535670429</v>
      </c>
    </row>
  </sheetData>
  <mergeCells count="2">
    <mergeCell ref="A27:B27"/>
    <mergeCell ref="C27:D27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2021-02-23T16:34:31Z</dcterms:modified>
</cp:coreProperties>
</file>