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DATA\1\Политех\"/>
    </mc:Choice>
  </mc:AlternateContent>
  <xr:revisionPtr revIDLastSave="0" documentId="13_ncr:1_{96B33BF2-9DBB-4521-92CA-1C4868B0A654}" xr6:coauthVersionLast="46" xr6:coauthVersionMax="46" xr10:uidLastSave="{00000000-0000-0000-0000-000000000000}"/>
  <bookViews>
    <workbookView xWindow="888" yWindow="3168" windowWidth="17280" windowHeight="8964" xr2:uid="{41CB3A38-FFAC-4D39-8B42-B3983056F5E8}"/>
  </bookViews>
  <sheets>
    <sheet name="Лист1" sheetId="1" r:id="rId1"/>
  </sheets>
  <externalReferences>
    <externalReference r:id="rId2"/>
  </externalReferences>
  <definedNames>
    <definedName name="d_in">Лист1!$D$8</definedName>
    <definedName name="eps">Лист1!$D$10</definedName>
    <definedName name="gamma_w">Лист1!$D$6</definedName>
    <definedName name="h">Лист1!$D$7</definedName>
    <definedName name="MD">Лист1!$D$12</definedName>
    <definedName name="mu_Pas">Лист1!$H$7</definedName>
    <definedName name="N">Лист1!$B$21</definedName>
    <definedName name="p_wh">Лист1!$D$11</definedName>
    <definedName name="q_lic_sec">Лист1!$E$9</definedName>
    <definedName name="q_liq">Лист1!$D$9</definedName>
    <definedName name="T0">Лист1!$D$14</definedName>
    <definedName name="TVD">Лист1!$D$13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65" i="1"/>
  <c r="H7" i="1" l="1"/>
  <c r="C6" i="1" a="1"/>
  <c r="D8" i="1" l="1"/>
  <c r="E8" i="1" s="1"/>
  <c r="H6" i="1" s="1"/>
  <c r="D14" i="1"/>
  <c r="C9" i="1"/>
  <c r="C15" i="1"/>
  <c r="D9" i="1"/>
  <c r="E9" i="1" s="1"/>
  <c r="D15" i="1"/>
  <c r="C10" i="1"/>
  <c r="D10" i="1"/>
  <c r="C11" i="1"/>
  <c r="D11" i="1"/>
  <c r="H24" i="1" s="1"/>
  <c r="P24" i="1" s="1"/>
  <c r="C6" i="1"/>
  <c r="C12" i="1"/>
  <c r="D6" i="1"/>
  <c r="D12" i="1"/>
  <c r="C7" i="1"/>
  <c r="C13" i="1"/>
  <c r="D7" i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13" i="1"/>
  <c r="C14" i="1"/>
  <c r="C8" i="1"/>
  <c r="F14" i="1" a="1"/>
  <c r="G14" i="1" a="1"/>
  <c r="E6" i="1" l="1"/>
  <c r="N24" i="1"/>
  <c r="N40" i="1"/>
  <c r="N42" i="1"/>
  <c r="N46" i="1"/>
  <c r="N25" i="1"/>
  <c r="N33" i="1"/>
  <c r="N38" i="1"/>
  <c r="G14" i="1"/>
  <c r="G16" i="1"/>
  <c r="L16" i="1" s="1"/>
  <c r="L15" i="1" s="1"/>
  <c r="G15" i="1"/>
  <c r="F14" i="1"/>
  <c r="F15" i="1"/>
  <c r="F16" i="1"/>
  <c r="F17" i="1"/>
  <c r="N37" i="1"/>
  <c r="N28" i="1"/>
  <c r="N30" i="1"/>
  <c r="M16" i="1"/>
  <c r="M14" i="1"/>
  <c r="N45" i="1"/>
  <c r="N32" i="1"/>
  <c r="N27" i="1"/>
  <c r="N36" i="1"/>
  <c r="N39" i="1"/>
  <c r="N31" i="1"/>
  <c r="N35" i="1"/>
  <c r="N48" i="1"/>
  <c r="N26" i="1"/>
  <c r="N43" i="1"/>
  <c r="N29" i="1"/>
  <c r="N41" i="1"/>
  <c r="N47" i="1"/>
  <c r="N44" i="1"/>
  <c r="N34" i="1"/>
  <c r="M15" i="1" l="1"/>
  <c r="E24" i="1"/>
  <c r="E44" i="1"/>
  <c r="E40" i="1"/>
  <c r="G24" i="1"/>
  <c r="E43" i="1"/>
  <c r="E34" i="1"/>
  <c r="E30" i="1"/>
  <c r="E31" i="1"/>
  <c r="E35" i="1"/>
  <c r="G40" i="1"/>
  <c r="E38" i="1"/>
  <c r="G30" i="1"/>
  <c r="E45" i="1"/>
  <c r="E42" i="1"/>
  <c r="G44" i="1"/>
  <c r="G45" i="1"/>
  <c r="E46" i="1"/>
  <c r="E36" i="1"/>
  <c r="G34" i="1"/>
  <c r="E28" i="1"/>
  <c r="E47" i="1"/>
  <c r="E48" i="1"/>
  <c r="G36" i="1"/>
  <c r="G48" i="1"/>
  <c r="E29" i="1"/>
  <c r="G29" i="1"/>
  <c r="E32" i="1"/>
  <c r="E27" i="1"/>
  <c r="E25" i="1"/>
  <c r="G35" i="1"/>
  <c r="E37" i="1"/>
  <c r="G38" i="1"/>
  <c r="G28" i="1"/>
  <c r="E41" i="1"/>
  <c r="E26" i="1"/>
  <c r="G41" i="1"/>
  <c r="G25" i="1"/>
  <c r="E39" i="1"/>
  <c r="E33" i="1"/>
  <c r="G43" i="1"/>
  <c r="G31" i="1"/>
  <c r="G42" i="1"/>
  <c r="G46" i="1"/>
  <c r="G47" i="1"/>
  <c r="G32" i="1"/>
  <c r="G27" i="1"/>
  <c r="G37" i="1"/>
  <c r="G26" i="1"/>
  <c r="G39" i="1"/>
  <c r="G33" i="1"/>
  <c r="H33" i="1" l="1"/>
  <c r="J33" i="1" s="1"/>
  <c r="H39" i="1"/>
  <c r="J39" i="1" s="1"/>
  <c r="F39" i="1"/>
  <c r="H26" i="1"/>
  <c r="J26" i="1" s="1"/>
  <c r="F26" i="1"/>
  <c r="H41" i="1"/>
  <c r="F41" i="1"/>
  <c r="F37" i="1"/>
  <c r="H37" i="1"/>
  <c r="F25" i="1"/>
  <c r="F27" i="1"/>
  <c r="F32" i="1"/>
  <c r="H32" i="1"/>
  <c r="F29" i="1"/>
  <c r="F48" i="1"/>
  <c r="H47" i="1"/>
  <c r="F47" i="1"/>
  <c r="F28" i="1"/>
  <c r="H28" i="1"/>
  <c r="H36" i="1"/>
  <c r="F36" i="1"/>
  <c r="H46" i="1"/>
  <c r="J46" i="1" s="1"/>
  <c r="F46" i="1"/>
  <c r="F42" i="1"/>
  <c r="H42" i="1"/>
  <c r="H45" i="1"/>
  <c r="F45" i="1"/>
  <c r="F38" i="1"/>
  <c r="H38" i="1"/>
  <c r="F35" i="1"/>
  <c r="H35" i="1"/>
  <c r="H31" i="1"/>
  <c r="H30" i="1"/>
  <c r="J30" i="1" s="1"/>
  <c r="H34" i="1"/>
  <c r="J34" i="1" s="1"/>
  <c r="H43" i="1"/>
  <c r="J43" i="1" s="1"/>
  <c r="H40" i="1"/>
  <c r="F40" i="1"/>
  <c r="F44" i="1"/>
  <c r="H44" i="1"/>
  <c r="J44" i="1" s="1"/>
  <c r="F24" i="1"/>
  <c r="F33" i="1"/>
  <c r="F43" i="1"/>
  <c r="H48" i="1"/>
  <c r="F31" i="1"/>
  <c r="H29" i="1"/>
  <c r="J29" i="1" s="1"/>
  <c r="H25" i="1"/>
  <c r="J25" i="1" s="1"/>
  <c r="H27" i="1"/>
  <c r="J27" i="1" s="1"/>
  <c r="F30" i="1"/>
  <c r="F34" i="1"/>
  <c r="K26" i="1"/>
  <c r="J37" i="1"/>
  <c r="K37" i="1"/>
  <c r="K25" i="1"/>
  <c r="J38" i="1"/>
  <c r="K38" i="1"/>
  <c r="J35" i="1"/>
  <c r="K35" i="1"/>
  <c r="J32" i="1"/>
  <c r="K32" i="1"/>
  <c r="K27" i="1"/>
  <c r="J45" i="1"/>
  <c r="K45" i="1"/>
  <c r="K33" i="1"/>
  <c r="K30" i="1"/>
  <c r="J40" i="1"/>
  <c r="K40" i="1"/>
  <c r="K39" i="1"/>
  <c r="J42" i="1"/>
  <c r="K42" i="1"/>
  <c r="L42" i="1" s="1"/>
  <c r="M42" i="1" s="1"/>
  <c r="O42" i="1" s="1"/>
  <c r="J28" i="1"/>
  <c r="K28" i="1"/>
  <c r="J41" i="1"/>
  <c r="K41" i="1"/>
  <c r="K29" i="1"/>
  <c r="J48" i="1"/>
  <c r="K48" i="1"/>
  <c r="J36" i="1"/>
  <c r="K36" i="1"/>
  <c r="K34" i="1"/>
  <c r="K44" i="1"/>
  <c r="J47" i="1"/>
  <c r="K47" i="1"/>
  <c r="K46" i="1"/>
  <c r="K43" i="1"/>
  <c r="J31" i="1"/>
  <c r="K31" i="1"/>
  <c r="J24" i="1"/>
  <c r="K24" i="1"/>
  <c r="L24" i="1" s="1"/>
  <c r="M24" i="1" s="1"/>
  <c r="O24" i="1" s="1"/>
  <c r="O16" i="1" s="1"/>
  <c r="L34" i="1" l="1"/>
  <c r="M34" i="1" s="1"/>
  <c r="O34" i="1" s="1"/>
  <c r="L26" i="1"/>
  <c r="M26" i="1" s="1"/>
  <c r="O26" i="1" s="1"/>
  <c r="L27" i="1"/>
  <c r="M27" i="1" s="1"/>
  <c r="O27" i="1" s="1"/>
  <c r="L46" i="1"/>
  <c r="M46" i="1" s="1"/>
  <c r="O46" i="1" s="1"/>
  <c r="L29" i="1"/>
  <c r="M29" i="1" s="1"/>
  <c r="O29" i="1" s="1"/>
  <c r="L44" i="1"/>
  <c r="M44" i="1" s="1"/>
  <c r="O44" i="1" s="1"/>
  <c r="L28" i="1"/>
  <c r="M28" i="1" s="1"/>
  <c r="O28" i="1" s="1"/>
  <c r="L45" i="1"/>
  <c r="M45" i="1" s="1"/>
  <c r="O45" i="1" s="1"/>
  <c r="L31" i="1"/>
  <c r="M31" i="1" s="1"/>
  <c r="O31" i="1" s="1"/>
  <c r="L36" i="1"/>
  <c r="M36" i="1" s="1"/>
  <c r="O36" i="1" s="1"/>
  <c r="L39" i="1"/>
  <c r="M39" i="1" s="1"/>
  <c r="O39" i="1" s="1"/>
  <c r="L32" i="1"/>
  <c r="M32" i="1" s="1"/>
  <c r="O32" i="1" s="1"/>
  <c r="L37" i="1"/>
  <c r="M37" i="1" s="1"/>
  <c r="O37" i="1" s="1"/>
  <c r="L30" i="1"/>
  <c r="M30" i="1" s="1"/>
  <c r="O30" i="1" s="1"/>
  <c r="L38" i="1"/>
  <c r="M38" i="1" s="1"/>
  <c r="O38" i="1" s="1"/>
  <c r="L47" i="1"/>
  <c r="M47" i="1" s="1"/>
  <c r="O47" i="1" s="1"/>
  <c r="L41" i="1"/>
  <c r="M41" i="1" s="1"/>
  <c r="O41" i="1" s="1"/>
  <c r="L33" i="1"/>
  <c r="M33" i="1" s="1"/>
  <c r="O33" i="1" s="1"/>
  <c r="L25" i="1"/>
  <c r="M25" i="1" s="1"/>
  <c r="O25" i="1" s="1"/>
  <c r="P25" i="1" s="1"/>
  <c r="P26" i="1" s="1"/>
  <c r="P27" i="1" s="1"/>
  <c r="P28" i="1" s="1"/>
  <c r="L43" i="1"/>
  <c r="M43" i="1" s="1"/>
  <c r="O43" i="1" s="1"/>
  <c r="L48" i="1"/>
  <c r="M48" i="1" s="1"/>
  <c r="O48" i="1" s="1"/>
  <c r="L40" i="1"/>
  <c r="M40" i="1" s="1"/>
  <c r="O40" i="1" s="1"/>
  <c r="L35" i="1"/>
  <c r="M35" i="1" s="1"/>
  <c r="O35" i="1" s="1"/>
  <c r="P29" i="1" l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51" i="1" s="1"/>
</calcChain>
</file>

<file path=xl/sharedStrings.xml><?xml version="1.0" encoding="utf-8"?>
<sst xmlns="http://schemas.openxmlformats.org/spreadsheetml/2006/main" count="43" uniqueCount="37">
  <si>
    <t>MD</t>
  </si>
  <si>
    <t>TVD</t>
  </si>
  <si>
    <t>Инклинометрия</t>
  </si>
  <si>
    <t>Исходные данные</t>
  </si>
  <si>
    <t>Расчет распредления</t>
  </si>
  <si>
    <t>N</t>
  </si>
  <si>
    <t>Ноер</t>
  </si>
  <si>
    <t>T</t>
  </si>
  <si>
    <t>P</t>
  </si>
  <si>
    <t>откл</t>
  </si>
  <si>
    <t>Re</t>
  </si>
  <si>
    <t>A</t>
  </si>
  <si>
    <t>mu</t>
  </si>
  <si>
    <t>f</t>
  </si>
  <si>
    <t>v m/sec</t>
  </si>
  <si>
    <t>dP/dH Па,м</t>
  </si>
  <si>
    <t>atm/m</t>
  </si>
  <si>
    <t>P трение</t>
  </si>
  <si>
    <t>Распред давления</t>
  </si>
  <si>
    <t>P1</t>
  </si>
  <si>
    <t>P2</t>
  </si>
  <si>
    <t>P3</t>
  </si>
  <si>
    <t>P4</t>
  </si>
  <si>
    <t>P5</t>
  </si>
  <si>
    <t>P6</t>
  </si>
  <si>
    <t>MD1</t>
  </si>
  <si>
    <t>MD2</t>
  </si>
  <si>
    <t>MD3</t>
  </si>
  <si>
    <t>MD4</t>
  </si>
  <si>
    <t>MD5</t>
  </si>
  <si>
    <t>MD6</t>
  </si>
  <si>
    <t>p:</t>
  </si>
  <si>
    <t>rho</t>
  </si>
  <si>
    <t>Q</t>
  </si>
  <si>
    <t>t</t>
  </si>
  <si>
    <t>p_wf</t>
  </si>
  <si>
    <t>{"gamma_w": 1.17, "h":2420, "d_in":95, "q_liq": 500, "eps":9.1E-5, "p_wh": 17.2, "MD": [0, 1210, 2420], "TVD": [0, 1162.5, 2135], "T0":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</si>
</sst>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1A1E"/>
      <name val="Segoe UI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Траектория скважины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Лист1!$F$24:$F$48</c:f>
              <c:numCache>
                <c:formatCode>0.00</c:formatCode>
                <c:ptCount val="25"/>
                <c:pt idx="0">
                  <c:v>0</c:v>
                </c:pt>
                <c:pt idx="1">
                  <c:v>3.9583333333333428</c:v>
                </c:pt>
                <c:pt idx="2">
                  <c:v>7.9166666666666856</c:v>
                </c:pt>
                <c:pt idx="3">
                  <c:v>11.875</c:v>
                </c:pt>
                <c:pt idx="4">
                  <c:v>15.833333333333371</c:v>
                </c:pt>
                <c:pt idx="5">
                  <c:v>19.791666666666686</c:v>
                </c:pt>
                <c:pt idx="6">
                  <c:v>23.75</c:v>
                </c:pt>
                <c:pt idx="7">
                  <c:v>27.708333333333371</c:v>
                </c:pt>
                <c:pt idx="8">
                  <c:v>31.666666666666742</c:v>
                </c:pt>
                <c:pt idx="9">
                  <c:v>35.625</c:v>
                </c:pt>
                <c:pt idx="10">
                  <c:v>39.583333333333371</c:v>
                </c:pt>
                <c:pt idx="11">
                  <c:v>43.541666666666742</c:v>
                </c:pt>
                <c:pt idx="12">
                  <c:v>47.5</c:v>
                </c:pt>
                <c:pt idx="13">
                  <c:v>67.291666666666742</c:v>
                </c:pt>
                <c:pt idx="14">
                  <c:v>87.083333333333258</c:v>
                </c:pt>
                <c:pt idx="15">
                  <c:v>106.875</c:v>
                </c:pt>
                <c:pt idx="16">
                  <c:v>126.66666666666652</c:v>
                </c:pt>
                <c:pt idx="17">
                  <c:v>146.45833333333326</c:v>
                </c:pt>
                <c:pt idx="18">
                  <c:v>166.24999999999977</c:v>
                </c:pt>
                <c:pt idx="19">
                  <c:v>186.04166666666652</c:v>
                </c:pt>
                <c:pt idx="20">
                  <c:v>205.83333333333326</c:v>
                </c:pt>
                <c:pt idx="21">
                  <c:v>225.62499999999977</c:v>
                </c:pt>
                <c:pt idx="22">
                  <c:v>245.41666666666652</c:v>
                </c:pt>
                <c:pt idx="23">
                  <c:v>265.20833333333303</c:v>
                </c:pt>
                <c:pt idx="24">
                  <c:v>285</c:v>
                </c:pt>
              </c:numCache>
            </c:numRef>
          </c:xVal>
          <c:yVal>
            <c:numRef>
              <c:f>Лист1!$E$24:$E$48</c:f>
              <c:numCache>
                <c:formatCode>0.00</c:formatCode>
                <c:ptCount val="25"/>
                <c:pt idx="0">
                  <c:v>0</c:v>
                </c:pt>
                <c:pt idx="1">
                  <c:v>96.874999999999986</c:v>
                </c:pt>
                <c:pt idx="2">
                  <c:v>193.74999999999997</c:v>
                </c:pt>
                <c:pt idx="3">
                  <c:v>290.625</c:v>
                </c:pt>
                <c:pt idx="4">
                  <c:v>387.49999999999994</c:v>
                </c:pt>
                <c:pt idx="5">
                  <c:v>484.37499999999994</c:v>
                </c:pt>
                <c:pt idx="6">
                  <c:v>581.25</c:v>
                </c:pt>
                <c:pt idx="7">
                  <c:v>678.125</c:v>
                </c:pt>
                <c:pt idx="8">
                  <c:v>775</c:v>
                </c:pt>
                <c:pt idx="9">
                  <c:v>871.87500000000011</c:v>
                </c:pt>
                <c:pt idx="10">
                  <c:v>968.75000000000011</c:v>
                </c:pt>
                <c:pt idx="11">
                  <c:v>1065.625</c:v>
                </c:pt>
                <c:pt idx="12">
                  <c:v>1162.5</c:v>
                </c:pt>
                <c:pt idx="13">
                  <c:v>1243.5416666666665</c:v>
                </c:pt>
                <c:pt idx="14">
                  <c:v>1324.5833333333333</c:v>
                </c:pt>
                <c:pt idx="15">
                  <c:v>1405.6249999999998</c:v>
                </c:pt>
                <c:pt idx="16">
                  <c:v>1486.6666666666665</c:v>
                </c:pt>
                <c:pt idx="17">
                  <c:v>1567.708333333333</c:v>
                </c:pt>
                <c:pt idx="18">
                  <c:v>1648.7499999999998</c:v>
                </c:pt>
                <c:pt idx="19">
                  <c:v>1729.7916666666663</c:v>
                </c:pt>
                <c:pt idx="20">
                  <c:v>1810.8333333333328</c:v>
                </c:pt>
                <c:pt idx="21">
                  <c:v>1891.8749999999998</c:v>
                </c:pt>
                <c:pt idx="22">
                  <c:v>1972.9166666666665</c:v>
                </c:pt>
                <c:pt idx="23">
                  <c:v>2053.9583333333335</c:v>
                </c:pt>
                <c:pt idx="24">
                  <c:v>2135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26-4E63-B3DA-D96FAE446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604655"/>
        <c:axId val="1765602159"/>
      </c:scatterChart>
      <c:valAx>
        <c:axId val="1765604655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Отклонение от вертикали</a:t>
                </a:r>
                <a:r>
                  <a:rPr lang="en-US"/>
                  <a:t>, </a:t>
                </a:r>
                <a:r>
                  <a:rPr lang="ru-RU"/>
                  <a:t>м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5602159"/>
        <c:crosses val="autoZero"/>
        <c:crossBetween val="midCat"/>
      </c:valAx>
      <c:valAx>
        <c:axId val="176560215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TVD</a:t>
                </a:r>
                <a:r>
                  <a:rPr lang="ru-RU"/>
                  <a:t>, 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560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Лист1!$P$24:$P$48</c:f>
              <c:numCache>
                <c:formatCode>0.00</c:formatCode>
                <c:ptCount val="25"/>
                <c:pt idx="0">
                  <c:v>17.2</c:v>
                </c:pt>
                <c:pt idx="1">
                  <c:v>28.029315921700196</c:v>
                </c:pt>
                <c:pt idx="2">
                  <c:v>38.863188499147931</c:v>
                </c:pt>
                <c:pt idx="3">
                  <c:v>49.700139899412456</c:v>
                </c:pt>
                <c:pt idx="4">
                  <c:v>60.53887034616325</c:v>
                </c:pt>
                <c:pt idx="5">
                  <c:v>71.378220820062026</c:v>
                </c:pt>
                <c:pt idx="6">
                  <c:v>82.217145785842291</c:v>
                </c:pt>
                <c:pt idx="7">
                  <c:v>93.054692757081412</c:v>
                </c:pt>
                <c:pt idx="8">
                  <c:v>103.88998667067524</c:v>
                </c:pt>
                <c:pt idx="9">
                  <c:v>114.72221773018403</c:v>
                </c:pt>
                <c:pt idx="10">
                  <c:v>125.55063180407988</c:v>
                </c:pt>
                <c:pt idx="11">
                  <c:v>136.37452274005824</c:v>
                </c:pt>
                <c:pt idx="12">
                  <c:v>147.19322613926079</c:v>
                </c:pt>
                <c:pt idx="13">
                  <c:v>156.20106361108944</c:v>
                </c:pt>
                <c:pt idx="14">
                  <c:v>165.20485301782423</c:v>
                </c:pt>
                <c:pt idx="15">
                  <c:v>174.20423889934142</c:v>
                </c:pt>
                <c:pt idx="16">
                  <c:v>183.19888058377308</c:v>
                </c:pt>
                <c:pt idx="17">
                  <c:v>192.1884509143251</c:v>
                </c:pt>
                <c:pt idx="18">
                  <c:v>201.17263513879891</c:v>
                </c:pt>
                <c:pt idx="19">
                  <c:v>210.15112993645548</c:v>
                </c:pt>
                <c:pt idx="20">
                  <c:v>219.12364256144647</c:v>
                </c:pt>
                <c:pt idx="21">
                  <c:v>228.08989008568494</c:v>
                </c:pt>
                <c:pt idx="22">
                  <c:v>237.04959872695366</c:v>
                </c:pt>
                <c:pt idx="23">
                  <c:v>246.00250325040906</c:v>
                </c:pt>
                <c:pt idx="24">
                  <c:v>254.94834643355327</c:v>
                </c:pt>
              </c:numCache>
            </c:numRef>
          </c:xVal>
          <c:yVal>
            <c:numRef>
              <c:f>Лист1!$D$24:$D$48</c:f>
              <c:numCache>
                <c:formatCode>0.00</c:formatCode>
                <c:ptCount val="25"/>
                <c:pt idx="0">
                  <c:v>0</c:v>
                </c:pt>
                <c:pt idx="1">
                  <c:v>100.83333333333333</c:v>
                </c:pt>
                <c:pt idx="2">
                  <c:v>201.66666666666666</c:v>
                </c:pt>
                <c:pt idx="3">
                  <c:v>302.5</c:v>
                </c:pt>
                <c:pt idx="4">
                  <c:v>403.33333333333331</c:v>
                </c:pt>
                <c:pt idx="5">
                  <c:v>504.16666666666663</c:v>
                </c:pt>
                <c:pt idx="6">
                  <c:v>605</c:v>
                </c:pt>
                <c:pt idx="7">
                  <c:v>705.83333333333337</c:v>
                </c:pt>
                <c:pt idx="8">
                  <c:v>806.66666666666674</c:v>
                </c:pt>
                <c:pt idx="9">
                  <c:v>907.50000000000011</c:v>
                </c:pt>
                <c:pt idx="10">
                  <c:v>1008.3333333333335</c:v>
                </c:pt>
                <c:pt idx="11">
                  <c:v>1109.1666666666667</c:v>
                </c:pt>
                <c:pt idx="12">
                  <c:v>1210</c:v>
                </c:pt>
                <c:pt idx="13">
                  <c:v>1310.8333333333333</c:v>
                </c:pt>
                <c:pt idx="14">
                  <c:v>1411.6666666666665</c:v>
                </c:pt>
                <c:pt idx="15">
                  <c:v>1512.4999999999998</c:v>
                </c:pt>
                <c:pt idx="16">
                  <c:v>1613.333333333333</c:v>
                </c:pt>
                <c:pt idx="17">
                  <c:v>1714.1666666666663</c:v>
                </c:pt>
                <c:pt idx="18">
                  <c:v>1814.9999999999995</c:v>
                </c:pt>
                <c:pt idx="19">
                  <c:v>1915.8333333333328</c:v>
                </c:pt>
                <c:pt idx="20">
                  <c:v>2016.6666666666661</c:v>
                </c:pt>
                <c:pt idx="21">
                  <c:v>2117.4999999999995</c:v>
                </c:pt>
                <c:pt idx="22">
                  <c:v>2218.333333333333</c:v>
                </c:pt>
                <c:pt idx="23">
                  <c:v>2319.1666666666665</c:v>
                </c:pt>
                <c:pt idx="24">
                  <c:v>2420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38-4FA7-9991-25752412E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604655"/>
        <c:axId val="1765602159"/>
      </c:scatterChart>
      <c:valAx>
        <c:axId val="1765604655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5602159"/>
        <c:crosses val="autoZero"/>
        <c:crossBetween val="midCat"/>
      </c:valAx>
      <c:valAx>
        <c:axId val="176560215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</a:t>
                </a:r>
                <a:r>
                  <a:rPr lang="ru-RU"/>
                  <a:t>, 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5604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350520</xdr:colOff>
      <xdr:row>32</xdr:row>
      <xdr:rowOff>53340</xdr:rowOff>
    </xdr:from>
    <xdr:to>
      <xdr:col>27</xdr:col>
      <xdr:colOff>266700</xdr:colOff>
      <xdr:row>50</xdr:row>
      <xdr:rowOff>83820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7DED60E-C732-4753-B425-A3AD73959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60960</xdr:colOff>
      <xdr:row>12</xdr:row>
      <xdr:rowOff>83820</xdr:rowOff>
    </xdr:from>
    <xdr:to>
      <xdr:col>24</xdr:col>
      <xdr:colOff>556260</xdr:colOff>
      <xdr:row>30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11B0685-CAEA-48E2-853E-DF8F45D55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decode_json"/>
      <definedName name="encode_js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7ADF-7F7C-45B2-9E92-6ABD4CD2B402}">
  <sheetPr codeName="Лист1"/>
  <dimension ref="A3:P65"/>
  <sheetViews>
    <sheetView tabSelected="1" topLeftCell="A40" workbookViewId="0">
      <selection activeCell="E50" sqref="A49:E50"/>
    </sheetView>
  </sheetViews>
  <sheetFormatPr defaultRowHeight="14.4" x14ac:dyDescent="0.3"/>
  <cols>
    <col min="1" max="2" width="16.21875" customWidth="1"/>
    <col min="3" max="3" width="24.21875" customWidth="1"/>
    <col min="4" max="4" width="12.88671875" customWidth="1"/>
    <col min="5" max="5" width="24.109375" customWidth="1"/>
    <col min="6" max="8" width="9" bestFit="1" customWidth="1"/>
    <col min="9" max="9" width="8.88671875" customWidth="1"/>
    <col min="10" max="10" width="11" customWidth="1"/>
    <col min="11" max="11" width="9" customWidth="1"/>
    <col min="12" max="12" width="10.44140625" bestFit="1" customWidth="1"/>
    <col min="13" max="13" width="12.77734375" customWidth="1"/>
    <col min="14" max="16" width="9" bestFit="1" customWidth="1"/>
  </cols>
  <sheetData>
    <row r="3" spans="1:15" x14ac:dyDescent="0.3">
      <c r="C3" s="1" t="s">
        <v>36</v>
      </c>
    </row>
    <row r="5" spans="1:15" x14ac:dyDescent="0.3">
      <c r="C5" t="s">
        <v>3</v>
      </c>
    </row>
    <row r="6" spans="1:15" x14ac:dyDescent="0.3">
      <c r="C6" t="str">
        <f t="array" ref="C6:D15">[1]!decode_json(C3)</f>
        <v>gamma_w</v>
      </c>
      <c r="D6">
        <v>1.17</v>
      </c>
      <c r="E6">
        <f>gamma_w*1000</f>
        <v>1170</v>
      </c>
      <c r="G6" t="s">
        <v>11</v>
      </c>
      <c r="H6">
        <f>3.14*E8*E8/4</f>
        <v>7.0846250000000006E-3</v>
      </c>
    </row>
    <row r="7" spans="1:15" x14ac:dyDescent="0.3">
      <c r="C7" t="str">
        <v>h</v>
      </c>
      <c r="D7">
        <v>2420</v>
      </c>
      <c r="G7" t="s">
        <v>12</v>
      </c>
      <c r="H7">
        <f>1/1000</f>
        <v>1E-3</v>
      </c>
    </row>
    <row r="8" spans="1:15" x14ac:dyDescent="0.3">
      <c r="C8" t="str">
        <v>d_in</v>
      </c>
      <c r="D8">
        <v>95</v>
      </c>
      <c r="E8">
        <f>d_in/1000</f>
        <v>9.5000000000000001E-2</v>
      </c>
    </row>
    <row r="9" spans="1:15" x14ac:dyDescent="0.3">
      <c r="C9" t="str">
        <v>q_liq</v>
      </c>
      <c r="D9">
        <v>500</v>
      </c>
      <c r="E9">
        <f>q_liq/86400</f>
        <v>5.7870370370370367E-3</v>
      </c>
    </row>
    <row r="10" spans="1:15" x14ac:dyDescent="0.3">
      <c r="C10" t="str">
        <v>eps</v>
      </c>
      <c r="D10">
        <v>9.1000000000000003E-5</v>
      </c>
    </row>
    <row r="11" spans="1:15" x14ac:dyDescent="0.3">
      <c r="C11" t="str">
        <v>p_wh</v>
      </c>
      <c r="D11">
        <v>17.2</v>
      </c>
    </row>
    <row r="12" spans="1:15" x14ac:dyDescent="0.3">
      <c r="C12" t="str">
        <v>MD</v>
      </c>
      <c r="D12" t="str">
        <v>[0,1210,2420]</v>
      </c>
      <c r="F12" t="s">
        <v>2</v>
      </c>
    </row>
    <row r="13" spans="1:15" x14ac:dyDescent="0.3">
      <c r="C13" t="str">
        <v>TVD</v>
      </c>
      <c r="D13" t="str">
        <v>[0,1162.5,2135]</v>
      </c>
      <c r="F13" t="s">
        <v>0</v>
      </c>
      <c r="G13" t="s">
        <v>1</v>
      </c>
    </row>
    <row r="14" spans="1:15" x14ac:dyDescent="0.3">
      <c r="C14" t="str">
        <v>T0</v>
      </c>
      <c r="D14">
        <v>10</v>
      </c>
      <c r="F14">
        <f t="array" ref="F14:F17">[1]!decode_json(D12)</f>
        <v>0</v>
      </c>
      <c r="G14">
        <f t="array" ref="G14:G16">[1]!decode_json(D13)</f>
        <v>0</v>
      </c>
      <c r="L14">
        <v>0</v>
      </c>
      <c r="M14">
        <f>T0</f>
        <v>10</v>
      </c>
    </row>
    <row r="15" spans="1:15" x14ac:dyDescent="0.3">
      <c r="C15" t="e">
        <v>#N/A</v>
      </c>
      <c r="D15" t="e">
        <v>#N/A</v>
      </c>
      <c r="F15">
        <v>1210</v>
      </c>
      <c r="G15">
        <v>1162.5</v>
      </c>
      <c r="L15">
        <f>(L16+L14)/2</f>
        <v>1067.5</v>
      </c>
      <c r="M15">
        <f>(M16-M14)/2+M14</f>
        <v>35</v>
      </c>
      <c r="O15" t="s">
        <v>16</v>
      </c>
    </row>
    <row r="16" spans="1:15" x14ac:dyDescent="0.3">
      <c r="A16" t="str">
        <f>[1]!encode_json(A22:B23)</f>
        <v>{"t":"p_wf","10":247.227398339333}</v>
      </c>
      <c r="F16">
        <v>2420</v>
      </c>
      <c r="G16">
        <v>2135</v>
      </c>
      <c r="L16">
        <f>G16</f>
        <v>2135</v>
      </c>
      <c r="M16">
        <f>T0+50</f>
        <v>60</v>
      </c>
      <c r="O16">
        <f>O24/10^5</f>
        <v>2.9190679876890079E-3</v>
      </c>
    </row>
    <row r="17" spans="1:16" x14ac:dyDescent="0.3">
      <c r="F17" t="e">
        <v>#N/A</v>
      </c>
    </row>
    <row r="21" spans="1:16" x14ac:dyDescent="0.3">
      <c r="A21" t="s">
        <v>5</v>
      </c>
      <c r="B21">
        <v>25</v>
      </c>
    </row>
    <row r="22" spans="1:16" x14ac:dyDescent="0.3">
      <c r="A22" t="s">
        <v>34</v>
      </c>
      <c r="B22" t="s">
        <v>35</v>
      </c>
      <c r="C22" t="s">
        <v>4</v>
      </c>
    </row>
    <row r="23" spans="1:16" x14ac:dyDescent="0.3">
      <c r="A23">
        <v>10</v>
      </c>
      <c r="B23">
        <v>247.22739833933286</v>
      </c>
      <c r="C23" t="s">
        <v>6</v>
      </c>
      <c r="D23" t="s">
        <v>0</v>
      </c>
      <c r="E23" t="s">
        <v>1</v>
      </c>
      <c r="F23" t="s">
        <v>9</v>
      </c>
      <c r="G23" s="3" t="s">
        <v>7</v>
      </c>
      <c r="H23" t="s">
        <v>8</v>
      </c>
      <c r="J23" t="s">
        <v>12</v>
      </c>
      <c r="K23" t="s">
        <v>32</v>
      </c>
      <c r="L23" t="s">
        <v>10</v>
      </c>
      <c r="M23" t="s">
        <v>13</v>
      </c>
      <c r="N23" t="s">
        <v>14</v>
      </c>
      <c r="O23" t="s">
        <v>15</v>
      </c>
      <c r="P23" t="s">
        <v>17</v>
      </c>
    </row>
    <row r="24" spans="1:16" x14ac:dyDescent="0.3">
      <c r="A24">
        <v>14.4444444444444</v>
      </c>
      <c r="B24">
        <v>247.26617032091056</v>
      </c>
      <c r="C24" s="5">
        <v>1</v>
      </c>
      <c r="D24" s="2">
        <v>0</v>
      </c>
      <c r="E24" s="2">
        <f>[1]!crv_interpolation($F$14:$F$16,$G$14:$G$16,D24)</f>
        <v>0</v>
      </c>
      <c r="F24" s="2">
        <f>D24-E24</f>
        <v>0</v>
      </c>
      <c r="G24" s="6">
        <f>[1]!crv_interpolation($L$14:$L$16,$M$14:$M$16,E24)</f>
        <v>10</v>
      </c>
      <c r="H24" s="2">
        <f>p_wh</f>
        <v>17.2</v>
      </c>
      <c r="I24" s="2"/>
      <c r="J24" s="2">
        <f>109.574*(1.8*(G24+273)-460)^(-1.1217)*(0.9994+0.0058*(H24*101325/1000000)+0.6534*10^-4*(H24*101325/1000000)^2)</f>
        <v>1.3933146696375589</v>
      </c>
      <c r="K24" s="2">
        <f t="shared" ref="K24:K48" si="0">gamma_w*1000/(1+(G24/10000)*(0.269*G24^0.637-0.8))</f>
        <v>1169.5717680071384</v>
      </c>
      <c r="L24" s="2">
        <f t="shared" ref="L24:L48" si="1">K24*q_lic_sec/$H$6/J24</f>
        <v>685.6730203368852</v>
      </c>
      <c r="M24" s="2">
        <f t="shared" ref="M24:M48" si="2">6.4/(LN(L24)-LN(1+0.01*L24*eps/$E$8*(1+10*(eps/$E$8)^0.5)))^2.4</f>
        <v>7.1070954093638949E-2</v>
      </c>
      <c r="N24" s="2">
        <f t="shared" ref="N24:N48" si="3">q_lic_sec/$H$6</f>
        <v>0.81684451005339542</v>
      </c>
      <c r="O24" s="2">
        <f>M24*K24*N24^2/2/$E$8</f>
        <v>291.90679876890079</v>
      </c>
      <c r="P24" s="2">
        <f>H24</f>
        <v>17.2</v>
      </c>
    </row>
    <row r="25" spans="1:16" x14ac:dyDescent="0.3">
      <c r="A25">
        <v>18.8888888888888</v>
      </c>
      <c r="B25">
        <v>247.22001697338843</v>
      </c>
      <c r="C25">
        <v>2</v>
      </c>
      <c r="D25" s="2">
        <f t="shared" ref="D25:D48" si="4">D24+(C25-C24)*h/(N-1)</f>
        <v>100.83333333333333</v>
      </c>
      <c r="E25" s="2">
        <f>[1]!crv_interpolation($F$14:$F$16,$G$14:$G$16,D25)</f>
        <v>96.874999999999986</v>
      </c>
      <c r="F25" s="2">
        <f t="shared" ref="F25:F48" si="5">D25-E25</f>
        <v>3.9583333333333428</v>
      </c>
      <c r="G25" s="6">
        <f>[1]!crv_interpolation($L$14:$L$16,$M$14:$M$16,E25)</f>
        <v>12.268735362997658</v>
      </c>
      <c r="H25" s="2">
        <f t="shared" ref="H25:H48" si="6">$H$24+(gamma_w*1000*9.81*E25)/10^5</f>
        <v>28.319021874999997</v>
      </c>
      <c r="I25" s="2"/>
      <c r="J25" s="2">
        <f t="shared" ref="J25:J48" si="7">109.574*(1.8*(G25+273)-460)^(-1.1217)*(0.9994+0.0058*(H25*101325/1000000)+0.6534*10^-4*(H25*101325/1000000)^2)</f>
        <v>1.2832259824455976</v>
      </c>
      <c r="K25" s="2">
        <f t="shared" si="0"/>
        <v>1169.2420525598823</v>
      </c>
      <c r="L25" s="2">
        <f t="shared" si="1"/>
        <v>744.28741673144418</v>
      </c>
      <c r="M25" s="2">
        <f t="shared" si="2"/>
        <v>6.8988964322156163E-2</v>
      </c>
      <c r="N25" s="2">
        <f t="shared" si="3"/>
        <v>0.81684451005339542</v>
      </c>
      <c r="O25" s="2">
        <f t="shared" ref="O25:O48" si="8">M25*K25*N25^2/2/$E$8</f>
        <v>283.27564692906594</v>
      </c>
      <c r="P25" s="2">
        <f>P24-(D25-D24)*O25/10^5+(E25-E24)*K24*9.81/10^5</f>
        <v>28.029315921700196</v>
      </c>
    </row>
    <row r="26" spans="1:16" x14ac:dyDescent="0.3">
      <c r="A26">
        <v>23.333333333333201</v>
      </c>
      <c r="B26" s="2">
        <v>247.10135783045629</v>
      </c>
      <c r="C26">
        <v>3</v>
      </c>
      <c r="D26" s="2">
        <f t="shared" si="4"/>
        <v>201.66666666666666</v>
      </c>
      <c r="E26" s="2">
        <f>[1]!crv_interpolation($F$14:$F$16,$G$14:$G$16,D26)</f>
        <v>193.74999999999997</v>
      </c>
      <c r="F26" s="2">
        <f t="shared" si="5"/>
        <v>7.9166666666666856</v>
      </c>
      <c r="G26" s="6">
        <f>[1]!crv_interpolation($L$14:$L$16,$M$14:$M$16,E26)</f>
        <v>14.537470725995316</v>
      </c>
      <c r="H26" s="2">
        <f t="shared" si="6"/>
        <v>39.438043749999999</v>
      </c>
      <c r="I26" s="2"/>
      <c r="J26" s="2">
        <f t="shared" si="7"/>
        <v>1.1897507659722133</v>
      </c>
      <c r="K26" s="2">
        <f t="shared" si="0"/>
        <v>1168.8445644027622</v>
      </c>
      <c r="L26" s="2">
        <f t="shared" si="1"/>
        <v>802.49098621756821</v>
      </c>
      <c r="M26" s="2">
        <f t="shared" si="2"/>
        <v>6.7154427888018689E-2</v>
      </c>
      <c r="N26" s="2">
        <f t="shared" si="3"/>
        <v>0.81684451005339542</v>
      </c>
      <c r="O26" s="2">
        <f t="shared" si="8"/>
        <v>275.64911546461173</v>
      </c>
      <c r="P26" s="2">
        <f t="shared" ref="P26:P48" si="9">P25-(D26-D25)*O26/10^5+(E26-E25)*K25*9.81/10^5</f>
        <v>38.863188499147931</v>
      </c>
    </row>
    <row r="27" spans="1:16" x14ac:dyDescent="0.3">
      <c r="A27">
        <v>27.777777777777601</v>
      </c>
      <c r="B27">
        <v>246.91940926922226</v>
      </c>
      <c r="C27">
        <v>4</v>
      </c>
      <c r="D27" s="2">
        <f t="shared" si="4"/>
        <v>302.5</v>
      </c>
      <c r="E27" s="2">
        <f>[1]!crv_interpolation($F$14:$F$16,$G$14:$G$16,D27)</f>
        <v>290.625</v>
      </c>
      <c r="F27" s="2">
        <f t="shared" si="5"/>
        <v>11.875</v>
      </c>
      <c r="G27" s="6">
        <f>[1]!crv_interpolation($L$14:$L$16,$M$14:$M$16,E27)</f>
        <v>16.806206088992976</v>
      </c>
      <c r="H27" s="2">
        <f t="shared" si="6"/>
        <v>50.557065624999993</v>
      </c>
      <c r="I27" s="2"/>
      <c r="J27" s="2">
        <f t="shared" si="7"/>
        <v>1.1094706271231154</v>
      </c>
      <c r="K27" s="2">
        <f t="shared" si="0"/>
        <v>1168.3835241666354</v>
      </c>
      <c r="L27" s="2">
        <f t="shared" si="1"/>
        <v>860.21895850195278</v>
      </c>
      <c r="M27" s="2">
        <f t="shared" si="2"/>
        <v>6.5523719777870193E-2</v>
      </c>
      <c r="N27" s="2">
        <f t="shared" si="3"/>
        <v>0.81684451005339542</v>
      </c>
      <c r="O27" s="2">
        <f t="shared" si="8"/>
        <v>268.8494526464699</v>
      </c>
      <c r="P27" s="2">
        <f t="shared" si="9"/>
        <v>49.700139899412456</v>
      </c>
    </row>
    <row r="28" spans="1:16" x14ac:dyDescent="0.3">
      <c r="A28">
        <v>32.222222222222001</v>
      </c>
      <c r="B28">
        <v>246.68127323189213</v>
      </c>
      <c r="C28" s="5">
        <v>5</v>
      </c>
      <c r="D28" s="2">
        <f t="shared" si="4"/>
        <v>403.33333333333331</v>
      </c>
      <c r="E28" s="2">
        <f>[1]!crv_interpolation($F$14:$F$16,$G$14:$G$16,D28)</f>
        <v>387.49999999999994</v>
      </c>
      <c r="F28" s="2">
        <f t="shared" si="5"/>
        <v>15.833333333333371</v>
      </c>
      <c r="G28" s="6">
        <f>[1]!crv_interpolation($L$14:$L$16,$M$14:$M$16,E28)</f>
        <v>19.074941451990632</v>
      </c>
      <c r="H28" s="2">
        <f t="shared" si="6"/>
        <v>61.676087499999994</v>
      </c>
      <c r="I28" s="2"/>
      <c r="J28" s="2">
        <f t="shared" si="7"/>
        <v>1.0398385750365957</v>
      </c>
      <c r="K28" s="2">
        <f t="shared" si="0"/>
        <v>1167.8623676984851</v>
      </c>
      <c r="L28" s="2">
        <f t="shared" si="1"/>
        <v>917.41351634208593</v>
      </c>
      <c r="M28" s="2">
        <f t="shared" si="2"/>
        <v>6.4063269487546953E-2</v>
      </c>
      <c r="N28" s="2">
        <f t="shared" si="3"/>
        <v>0.81684451005339542</v>
      </c>
      <c r="O28" s="2">
        <f t="shared" si="8"/>
        <v>262.73985242633927</v>
      </c>
      <c r="P28" s="2">
        <f t="shared" si="9"/>
        <v>60.53887034616325</v>
      </c>
    </row>
    <row r="29" spans="1:16" x14ac:dyDescent="0.3">
      <c r="A29">
        <v>36.666666666666401</v>
      </c>
      <c r="B29">
        <v>246.39259127068723</v>
      </c>
      <c r="C29">
        <v>6</v>
      </c>
      <c r="D29" s="2">
        <f t="shared" si="4"/>
        <v>504.16666666666663</v>
      </c>
      <c r="E29" s="2">
        <f>[1]!crv_interpolation($F$14:$F$16,$G$14:$G$16,D29)</f>
        <v>484.37499999999994</v>
      </c>
      <c r="F29" s="2">
        <f t="shared" si="5"/>
        <v>19.791666666666686</v>
      </c>
      <c r="G29" s="6">
        <f>[1]!crv_interpolation($L$14:$L$16,$M$14:$M$16,E29)</f>
        <v>21.343676814988289</v>
      </c>
      <c r="H29" s="2">
        <f t="shared" si="6"/>
        <v>72.795109374999996</v>
      </c>
      <c r="I29" s="2"/>
      <c r="J29" s="2">
        <f t="shared" si="7"/>
        <v>0.97891904487666137</v>
      </c>
      <c r="K29" s="2">
        <f t="shared" si="0"/>
        <v>1167.283980336048</v>
      </c>
      <c r="L29" s="2">
        <f t="shared" si="1"/>
        <v>974.02284285000405</v>
      </c>
      <c r="M29" s="2">
        <f t="shared" si="2"/>
        <v>6.2746770231505516E-2</v>
      </c>
      <c r="N29" s="2">
        <f t="shared" si="3"/>
        <v>0.81684451005339542</v>
      </c>
      <c r="O29" s="2">
        <f t="shared" si="8"/>
        <v>257.21310359583089</v>
      </c>
      <c r="P29" s="2">
        <f t="shared" si="9"/>
        <v>71.378220820062026</v>
      </c>
    </row>
    <row r="30" spans="1:16" x14ac:dyDescent="0.3">
      <c r="A30">
        <v>41.111111111110802</v>
      </c>
      <c r="B30">
        <v>246.05795931578717</v>
      </c>
      <c r="C30">
        <v>7</v>
      </c>
      <c r="D30" s="2">
        <f t="shared" si="4"/>
        <v>605</v>
      </c>
      <c r="E30" s="2">
        <f>[1]!crv_interpolation($F$14:$F$16,$G$14:$G$16,D30)</f>
        <v>581.25</v>
      </c>
      <c r="F30" s="2">
        <f t="shared" si="5"/>
        <v>23.75</v>
      </c>
      <c r="G30" s="6">
        <f>[1]!crv_interpolation($L$14:$L$16,$M$14:$M$16,E30)</f>
        <v>23.612412177985949</v>
      </c>
      <c r="H30" s="2">
        <f t="shared" si="6"/>
        <v>83.914131249999997</v>
      </c>
      <c r="I30" s="2"/>
      <c r="J30" s="2">
        <f t="shared" si="7"/>
        <v>0.92521552830256792</v>
      </c>
      <c r="K30" s="2">
        <f t="shared" si="0"/>
        <v>1166.6508429649234</v>
      </c>
      <c r="L30" s="2">
        <f t="shared" si="1"/>
        <v>1030.0003697229545</v>
      </c>
      <c r="M30" s="2">
        <f t="shared" si="2"/>
        <v>6.1553278583503263E-2</v>
      </c>
      <c r="N30" s="2">
        <f t="shared" si="3"/>
        <v>0.81684451005339542</v>
      </c>
      <c r="O30" s="2">
        <f t="shared" si="8"/>
        <v>252.18385397812938</v>
      </c>
      <c r="P30" s="2">
        <f t="shared" si="9"/>
        <v>82.217145785842291</v>
      </c>
    </row>
    <row r="31" spans="1:16" x14ac:dyDescent="0.3">
      <c r="A31">
        <v>45.555555555555202</v>
      </c>
      <c r="B31">
        <v>245.68120220062704</v>
      </c>
      <c r="C31">
        <v>8</v>
      </c>
      <c r="D31" s="2">
        <f t="shared" si="4"/>
        <v>705.83333333333337</v>
      </c>
      <c r="E31" s="2">
        <f>[1]!crv_interpolation($F$14:$F$16,$G$14:$G$16,D31)</f>
        <v>678.125</v>
      </c>
      <c r="F31" s="2">
        <f t="shared" si="5"/>
        <v>27.708333333333371</v>
      </c>
      <c r="G31" s="6">
        <f>[1]!crv_interpolation($L$14:$L$16,$M$14:$M$16,E31)</f>
        <v>25.881147540983608</v>
      </c>
      <c r="H31" s="2">
        <f t="shared" si="6"/>
        <v>95.033153125000013</v>
      </c>
      <c r="I31" s="2"/>
      <c r="J31" s="2">
        <f t="shared" si="7"/>
        <v>0.87755325780436044</v>
      </c>
      <c r="K31" s="2">
        <f t="shared" si="0"/>
        <v>1165.9651286491135</v>
      </c>
      <c r="L31" s="2">
        <f t="shared" si="1"/>
        <v>1085.3041747388256</v>
      </c>
      <c r="M31" s="2">
        <f t="shared" si="2"/>
        <v>6.0465887555899177E-2</v>
      </c>
      <c r="N31" s="2">
        <f t="shared" si="3"/>
        <v>0.81684451005339542</v>
      </c>
      <c r="O31" s="2">
        <f t="shared" si="8"/>
        <v>247.58320581852936</v>
      </c>
      <c r="P31" s="2">
        <f t="shared" si="9"/>
        <v>93.054692757081412</v>
      </c>
    </row>
    <row r="32" spans="1:16" x14ac:dyDescent="0.3">
      <c r="A32">
        <v>49.999999999999602</v>
      </c>
      <c r="B32">
        <v>245.26556182161644</v>
      </c>
      <c r="C32">
        <v>9</v>
      </c>
      <c r="D32" s="2">
        <f t="shared" si="4"/>
        <v>806.66666666666674</v>
      </c>
      <c r="E32" s="2">
        <f>[1]!crv_interpolation($F$14:$F$16,$G$14:$G$16,D32)</f>
        <v>775</v>
      </c>
      <c r="F32" s="2">
        <f t="shared" si="5"/>
        <v>31.666666666666742</v>
      </c>
      <c r="G32" s="6">
        <f>[1]!crv_interpolation($L$14:$L$16,$M$14:$M$16,E32)</f>
        <v>28.149882903981265</v>
      </c>
      <c r="H32" s="2">
        <f t="shared" si="6"/>
        <v>106.152175</v>
      </c>
      <c r="I32" s="2"/>
      <c r="J32" s="2">
        <f t="shared" si="7"/>
        <v>0.83499750251693616</v>
      </c>
      <c r="K32" s="2">
        <f t="shared" si="0"/>
        <v>1165.2287695511482</v>
      </c>
      <c r="L32" s="2">
        <f t="shared" si="1"/>
        <v>1139.89649130097</v>
      </c>
      <c r="M32" s="2">
        <f t="shared" si="2"/>
        <v>5.9470779479470132E-2</v>
      </c>
      <c r="N32" s="2">
        <f t="shared" si="3"/>
        <v>0.81684451005339542</v>
      </c>
      <c r="O32" s="2">
        <f t="shared" si="8"/>
        <v>243.35485656443862</v>
      </c>
      <c r="P32" s="2">
        <f t="shared" si="9"/>
        <v>103.88998667067524</v>
      </c>
    </row>
    <row r="33" spans="1:16" x14ac:dyDescent="0.3">
      <c r="C33" s="5">
        <v>10</v>
      </c>
      <c r="D33" s="2">
        <f t="shared" si="4"/>
        <v>907.50000000000011</v>
      </c>
      <c r="E33" s="2">
        <f>[1]!crv_interpolation($F$14:$F$16,$G$14:$G$16,D33)</f>
        <v>871.87500000000011</v>
      </c>
      <c r="F33" s="2">
        <f t="shared" si="5"/>
        <v>35.625</v>
      </c>
      <c r="G33" s="6">
        <f>[1]!crv_interpolation($L$14:$L$16,$M$14:$M$16,E33)</f>
        <v>30.418618266978928</v>
      </c>
      <c r="H33" s="2">
        <f t="shared" si="6"/>
        <v>117.27119687500002</v>
      </c>
      <c r="I33" s="2"/>
      <c r="J33" s="2">
        <f t="shared" si="7"/>
        <v>0.7967954934823569</v>
      </c>
      <c r="K33" s="2">
        <f t="shared" si="0"/>
        <v>1164.4435049910612</v>
      </c>
      <c r="L33" s="2">
        <f t="shared" si="1"/>
        <v>1193.7433031432465</v>
      </c>
      <c r="M33" s="2">
        <f t="shared" si="2"/>
        <v>5.8556536705466566E-2</v>
      </c>
      <c r="N33" s="2">
        <f t="shared" si="3"/>
        <v>0.81684451005339542</v>
      </c>
      <c r="O33" s="2">
        <f t="shared" si="8"/>
        <v>239.45228937765074</v>
      </c>
      <c r="P33" s="2">
        <f t="shared" si="9"/>
        <v>114.72221773018403</v>
      </c>
    </row>
    <row r="34" spans="1:16" x14ac:dyDescent="0.3">
      <c r="C34">
        <v>11</v>
      </c>
      <c r="D34" s="2">
        <f t="shared" si="4"/>
        <v>1008.3333333333335</v>
      </c>
      <c r="E34" s="2">
        <f>[1]!crv_interpolation($F$14:$F$16,$G$14:$G$16,D34)</f>
        <v>968.75000000000011</v>
      </c>
      <c r="F34" s="2">
        <f t="shared" si="5"/>
        <v>39.583333333333371</v>
      </c>
      <c r="G34" s="6">
        <f>[1]!crv_interpolation($L$14:$L$16,$M$14:$M$16,E34)</f>
        <v>32.687353629976585</v>
      </c>
      <c r="H34" s="2">
        <f t="shared" si="6"/>
        <v>128.39021875</v>
      </c>
      <c r="I34" s="2"/>
      <c r="J34" s="2">
        <f t="shared" si="7"/>
        <v>0.76233438660318842</v>
      </c>
      <c r="K34" s="2">
        <f t="shared" si="0"/>
        <v>1163.6109169965423</v>
      </c>
      <c r="L34" s="2">
        <f t="shared" si="1"/>
        <v>1246.8140045761481</v>
      </c>
      <c r="M34" s="2">
        <f t="shared" si="2"/>
        <v>5.7713631186876224E-2</v>
      </c>
      <c r="N34" s="2">
        <f t="shared" si="3"/>
        <v>0.81684451005339542</v>
      </c>
      <c r="O34" s="2">
        <f t="shared" si="8"/>
        <v>235.83669229849082</v>
      </c>
      <c r="P34" s="2">
        <f t="shared" si="9"/>
        <v>125.55063180407988</v>
      </c>
    </row>
    <row r="35" spans="1:16" x14ac:dyDescent="0.3">
      <c r="C35">
        <v>12</v>
      </c>
      <c r="D35" s="2">
        <f t="shared" si="4"/>
        <v>1109.1666666666667</v>
      </c>
      <c r="E35" s="2">
        <f>[1]!crv_interpolation($F$14:$F$16,$G$14:$G$16,D35)</f>
        <v>1065.625</v>
      </c>
      <c r="F35" s="2">
        <f t="shared" si="5"/>
        <v>43.541666666666742</v>
      </c>
      <c r="G35" s="6">
        <f>[1]!crv_interpolation($L$14:$L$16,$M$14:$M$16,E35)</f>
        <v>34.956088992974237</v>
      </c>
      <c r="H35" s="2">
        <f t="shared" si="6"/>
        <v>139.50924062499999</v>
      </c>
      <c r="I35" s="2"/>
      <c r="J35" s="2">
        <f t="shared" si="7"/>
        <v>0.73111033310316065</v>
      </c>
      <c r="K35" s="2">
        <f t="shared" si="0"/>
        <v>1162.7324572542952</v>
      </c>
      <c r="L35" s="2">
        <f t="shared" si="1"/>
        <v>1299.0811117903474</v>
      </c>
      <c r="M35" s="2">
        <f t="shared" si="2"/>
        <v>5.6934040607505142E-2</v>
      </c>
      <c r="N35" s="2">
        <f t="shared" si="3"/>
        <v>0.81684451005339542</v>
      </c>
      <c r="O35" s="2">
        <f t="shared" si="8"/>
        <v>232.47539307367995</v>
      </c>
      <c r="P35" s="2">
        <f t="shared" si="9"/>
        <v>136.37452274005824</v>
      </c>
    </row>
    <row r="36" spans="1:16" x14ac:dyDescent="0.3">
      <c r="A36" t="s">
        <v>33</v>
      </c>
      <c r="B36" t="s">
        <v>35</v>
      </c>
      <c r="C36">
        <v>13</v>
      </c>
      <c r="D36" s="2">
        <f t="shared" si="4"/>
        <v>1210</v>
      </c>
      <c r="E36" s="2">
        <f>[1]!crv_interpolation($F$14:$F$16,$G$14:$G$16,D36)</f>
        <v>1162.5</v>
      </c>
      <c r="F36" s="2">
        <f t="shared" si="5"/>
        <v>47.5</v>
      </c>
      <c r="G36" s="6">
        <f>[1]!crv_interpolation($L$14:$L$16,$M$14:$M$16,E36)</f>
        <v>37.224824355971897</v>
      </c>
      <c r="H36" s="2">
        <f t="shared" si="6"/>
        <v>150.62826249999998</v>
      </c>
      <c r="I36" s="2"/>
      <c r="J36" s="2">
        <f t="shared" si="7"/>
        <v>0.70270538423911921</v>
      </c>
      <c r="K36" s="2">
        <f t="shared" si="0"/>
        <v>1161.8094679705998</v>
      </c>
      <c r="L36" s="2">
        <f t="shared" si="1"/>
        <v>1350.5200143975349</v>
      </c>
      <c r="M36" s="2">
        <f t="shared" si="2"/>
        <v>5.621095561641256E-2</v>
      </c>
      <c r="N36" s="2">
        <f t="shared" si="3"/>
        <v>0.81684451005339542</v>
      </c>
      <c r="O36" s="2">
        <f t="shared" si="8"/>
        <v>229.34066532403071</v>
      </c>
      <c r="P36" s="2">
        <f t="shared" si="9"/>
        <v>147.19322613926079</v>
      </c>
    </row>
    <row r="37" spans="1:16" x14ac:dyDescent="0.3">
      <c r="A37">
        <v>10</v>
      </c>
      <c r="B37">
        <v>260.59827991166497</v>
      </c>
      <c r="C37">
        <v>14</v>
      </c>
      <c r="D37" s="2">
        <f t="shared" si="4"/>
        <v>1310.8333333333333</v>
      </c>
      <c r="E37" s="2">
        <f>[1]!crv_interpolation($F$14:$F$16,$G$14:$G$16,D37)</f>
        <v>1243.5416666666665</v>
      </c>
      <c r="F37" s="2">
        <f t="shared" si="5"/>
        <v>67.291666666666742</v>
      </c>
      <c r="G37" s="6">
        <f>[1]!crv_interpolation($L$14:$L$16,$M$14:$M$16,E37)</f>
        <v>39.122755659640902</v>
      </c>
      <c r="H37" s="2">
        <f t="shared" si="6"/>
        <v>159.92998187499998</v>
      </c>
      <c r="I37" s="2"/>
      <c r="J37" s="2">
        <f t="shared" si="7"/>
        <v>0.68085299947699263</v>
      </c>
      <c r="K37" s="2">
        <f t="shared" si="0"/>
        <v>1161.0040352411843</v>
      </c>
      <c r="L37" s="2">
        <f t="shared" si="1"/>
        <v>1392.8994556315342</v>
      </c>
      <c r="M37" s="2">
        <f t="shared" si="2"/>
        <v>5.5645205342954113E-2</v>
      </c>
      <c r="N37" s="2">
        <f t="shared" si="3"/>
        <v>0.81684451005339542</v>
      </c>
      <c r="O37" s="2">
        <f t="shared" si="8"/>
        <v>226.87501270695068</v>
      </c>
      <c r="P37" s="2">
        <f t="shared" si="9"/>
        <v>156.20106361108944</v>
      </c>
    </row>
    <row r="38" spans="1:16" x14ac:dyDescent="0.3">
      <c r="A38">
        <v>64.4444444444444</v>
      </c>
      <c r="B38" s="2">
        <v>260.40208820685802</v>
      </c>
      <c r="C38" s="5">
        <v>15</v>
      </c>
      <c r="D38" s="2">
        <f t="shared" si="4"/>
        <v>1411.6666666666665</v>
      </c>
      <c r="E38" s="2">
        <f>[1]!crv_interpolation($F$14:$F$16,$G$14:$G$16,D38)</f>
        <v>1324.5833333333333</v>
      </c>
      <c r="F38" s="2">
        <f t="shared" si="5"/>
        <v>87.083333333333258</v>
      </c>
      <c r="G38" s="6">
        <f>[1]!crv_interpolation($L$14:$L$16,$M$14:$M$16,E38)</f>
        <v>41.020686963309913</v>
      </c>
      <c r="H38" s="2">
        <f t="shared" si="6"/>
        <v>169.23170124999999</v>
      </c>
      <c r="I38" s="2"/>
      <c r="J38" s="2">
        <f t="shared" si="7"/>
        <v>0.66055337933167302</v>
      </c>
      <c r="K38" s="2">
        <f t="shared" si="0"/>
        <v>1160.1690028256833</v>
      </c>
      <c r="L38" s="2">
        <f t="shared" si="1"/>
        <v>1434.6723676610538</v>
      </c>
      <c r="M38" s="2">
        <f t="shared" si="2"/>
        <v>5.511194371688935E-2</v>
      </c>
      <c r="N38" s="2">
        <f t="shared" si="3"/>
        <v>0.81684451005339542</v>
      </c>
      <c r="O38" s="2">
        <f t="shared" si="8"/>
        <v>224.53920167526923</v>
      </c>
      <c r="P38" s="2">
        <f t="shared" si="9"/>
        <v>165.20485301782423</v>
      </c>
    </row>
    <row r="39" spans="1:16" x14ac:dyDescent="0.3">
      <c r="A39">
        <v>118.888888888889</v>
      </c>
      <c r="B39">
        <v>260.06576389767798</v>
      </c>
      <c r="C39">
        <v>16</v>
      </c>
      <c r="D39" s="2">
        <f t="shared" si="4"/>
        <v>1512.4999999999998</v>
      </c>
      <c r="E39" s="2">
        <f>[1]!crv_interpolation($F$14:$F$16,$G$14:$G$16,D39)</f>
        <v>1405.6249999999998</v>
      </c>
      <c r="F39" s="2">
        <f t="shared" si="5"/>
        <v>106.875</v>
      </c>
      <c r="G39" s="6">
        <f>[1]!crv_interpolation($L$14:$L$16,$M$14:$M$16,E39)</f>
        <v>42.918618266978918</v>
      </c>
      <c r="H39" s="2">
        <f t="shared" si="6"/>
        <v>178.53342062499996</v>
      </c>
      <c r="I39" s="2"/>
      <c r="J39" s="2">
        <f t="shared" si="7"/>
        <v>0.6416545204285875</v>
      </c>
      <c r="K39" s="2">
        <f t="shared" si="0"/>
        <v>1159.3050239607992</v>
      </c>
      <c r="L39" s="2">
        <f t="shared" si="1"/>
        <v>1475.8283689284651</v>
      </c>
      <c r="M39" s="2">
        <f t="shared" si="2"/>
        <v>5.4608541751224211E-2</v>
      </c>
      <c r="N39" s="2">
        <f t="shared" si="3"/>
        <v>0.81684451005339542</v>
      </c>
      <c r="O39" s="2">
        <f t="shared" si="8"/>
        <v>222.32253484464385</v>
      </c>
      <c r="P39" s="2">
        <f t="shared" si="9"/>
        <v>174.20423889934142</v>
      </c>
    </row>
    <row r="40" spans="1:16" x14ac:dyDescent="0.3">
      <c r="A40">
        <v>173.333333333333</v>
      </c>
      <c r="B40">
        <v>259.61485835002202</v>
      </c>
      <c r="C40">
        <v>17</v>
      </c>
      <c r="D40" s="2">
        <f t="shared" si="4"/>
        <v>1613.333333333333</v>
      </c>
      <c r="E40" s="2">
        <f>[1]!crv_interpolation($F$14:$F$16,$G$14:$G$16,D40)</f>
        <v>1486.6666666666665</v>
      </c>
      <c r="F40" s="2">
        <f t="shared" si="5"/>
        <v>126.66666666666652</v>
      </c>
      <c r="G40" s="6">
        <f>[1]!crv_interpolation($L$14:$L$16,$M$14:$M$16,E40)</f>
        <v>44.816549570647929</v>
      </c>
      <c r="H40" s="2">
        <f t="shared" si="6"/>
        <v>187.83514</v>
      </c>
      <c r="I40" s="2"/>
      <c r="J40" s="2">
        <f t="shared" si="7"/>
        <v>0.62402346744627135</v>
      </c>
      <c r="K40" s="2">
        <f t="shared" si="0"/>
        <v>1158.4127209860885</v>
      </c>
      <c r="L40" s="2">
        <f t="shared" si="1"/>
        <v>1516.3581513782956</v>
      </c>
      <c r="M40" s="2">
        <f t="shared" si="2"/>
        <v>5.4132660341211766E-2</v>
      </c>
      <c r="N40" s="2">
        <f t="shared" si="3"/>
        <v>0.81684451005339542</v>
      </c>
      <c r="O40" s="2">
        <f t="shared" si="8"/>
        <v>220.21549661027311</v>
      </c>
      <c r="P40" s="2">
        <f t="shared" si="9"/>
        <v>183.19888058377308</v>
      </c>
    </row>
    <row r="41" spans="1:16" x14ac:dyDescent="0.3">
      <c r="A41">
        <v>227.777777777778</v>
      </c>
      <c r="B41">
        <v>259.06111292787801</v>
      </c>
      <c r="C41">
        <v>18</v>
      </c>
      <c r="D41" s="2">
        <f t="shared" si="4"/>
        <v>1714.1666666666663</v>
      </c>
      <c r="E41" s="2">
        <f>[1]!crv_interpolation($F$14:$F$16,$G$14:$G$16,D41)</f>
        <v>1567.708333333333</v>
      </c>
      <c r="F41" s="2">
        <f t="shared" si="5"/>
        <v>146.45833333333326</v>
      </c>
      <c r="G41" s="6">
        <f>[1]!crv_interpolation($L$14:$L$16,$M$14:$M$16,E41)</f>
        <v>46.714480874316934</v>
      </c>
      <c r="H41" s="2">
        <f t="shared" si="6"/>
        <v>197.13685937499994</v>
      </c>
      <c r="I41" s="2"/>
      <c r="J41" s="2">
        <f t="shared" si="7"/>
        <v>0.60754343403769928</v>
      </c>
      <c r="K41" s="2">
        <f t="shared" si="0"/>
        <v>1157.4926885387076</v>
      </c>
      <c r="L41" s="2">
        <f t="shared" si="1"/>
        <v>1556.2534217119337</v>
      </c>
      <c r="M41" s="2">
        <f t="shared" si="2"/>
        <v>5.3682210363830245E-2</v>
      </c>
      <c r="N41" s="2">
        <f t="shared" si="3"/>
        <v>0.81684451005339542</v>
      </c>
      <c r="O41" s="2">
        <f t="shared" si="8"/>
        <v>218.20959041906843</v>
      </c>
      <c r="P41" s="2">
        <f t="shared" si="9"/>
        <v>192.1884509143251</v>
      </c>
    </row>
    <row r="42" spans="1:16" x14ac:dyDescent="0.3">
      <c r="A42">
        <v>282.222222222222</v>
      </c>
      <c r="B42">
        <v>258.41188654273202</v>
      </c>
      <c r="C42">
        <v>19</v>
      </c>
      <c r="D42" s="2">
        <f t="shared" si="4"/>
        <v>1814.9999999999995</v>
      </c>
      <c r="E42" s="2">
        <f>[1]!crv_interpolation($F$14:$F$16,$G$14:$G$16,D42)</f>
        <v>1648.7499999999998</v>
      </c>
      <c r="F42" s="2">
        <f t="shared" si="5"/>
        <v>166.24999999999977</v>
      </c>
      <c r="G42" s="6">
        <f>[1]!crv_interpolation($L$14:$L$16,$M$14:$M$16,E42)</f>
        <v>48.612412177985945</v>
      </c>
      <c r="H42" s="2">
        <f t="shared" si="6"/>
        <v>206.43857874999998</v>
      </c>
      <c r="I42" s="2"/>
      <c r="J42" s="2">
        <f t="shared" si="7"/>
        <v>0.5921114290352818</v>
      </c>
      <c r="K42" s="2">
        <f t="shared" si="0"/>
        <v>1156.5454962962106</v>
      </c>
      <c r="L42" s="2">
        <f t="shared" si="1"/>
        <v>1595.5068471077373</v>
      </c>
      <c r="M42" s="2">
        <f t="shared" si="2"/>
        <v>5.3255319288651272E-2</v>
      </c>
      <c r="N42" s="2">
        <f t="shared" si="3"/>
        <v>0.81684451005339542</v>
      </c>
      <c r="O42" s="2">
        <f t="shared" si="8"/>
        <v>216.29720259971177</v>
      </c>
      <c r="P42" s="2">
        <f t="shared" si="9"/>
        <v>201.17263513879891</v>
      </c>
    </row>
    <row r="43" spans="1:16" x14ac:dyDescent="0.3">
      <c r="A43">
        <v>336.666666666666</v>
      </c>
      <c r="B43">
        <v>257.67240063098097</v>
      </c>
      <c r="C43" s="5">
        <v>20</v>
      </c>
      <c r="D43" s="2">
        <f t="shared" si="4"/>
        <v>1915.8333333333328</v>
      </c>
      <c r="E43" s="2">
        <f>[1]!crv_interpolation($F$14:$F$16,$G$14:$G$16,D43)</f>
        <v>1729.7916666666663</v>
      </c>
      <c r="F43" s="2">
        <f t="shared" si="5"/>
        <v>186.04166666666652</v>
      </c>
      <c r="G43" s="6">
        <f>[1]!crv_interpolation($L$14:$L$16,$M$14:$M$16,E43)</f>
        <v>50.510343481654949</v>
      </c>
      <c r="H43" s="2">
        <f t="shared" si="6"/>
        <v>215.74029812499995</v>
      </c>
      <c r="I43" s="2"/>
      <c r="J43" s="2">
        <f t="shared" si="7"/>
        <v>0.57763628764292752</v>
      </c>
      <c r="K43" s="2">
        <f t="shared" si="0"/>
        <v>1155.5716913459582</v>
      </c>
      <c r="L43" s="2">
        <f t="shared" si="1"/>
        <v>1634.1120048063169</v>
      </c>
      <c r="M43" s="2">
        <f t="shared" si="2"/>
        <v>5.2850303081415209E-2</v>
      </c>
      <c r="N43" s="2">
        <f t="shared" si="3"/>
        <v>0.81684451005339542</v>
      </c>
      <c r="O43" s="2">
        <f t="shared" si="8"/>
        <v>214.47148778067415</v>
      </c>
      <c r="P43" s="2">
        <f t="shared" si="9"/>
        <v>210.15112993645548</v>
      </c>
    </row>
    <row r="44" spans="1:16" x14ac:dyDescent="0.3">
      <c r="A44">
        <v>391.11111111111097</v>
      </c>
      <c r="B44">
        <v>256.846630091539</v>
      </c>
      <c r="C44">
        <v>21</v>
      </c>
      <c r="D44" s="2">
        <f t="shared" si="4"/>
        <v>2016.6666666666661</v>
      </c>
      <c r="E44" s="2">
        <f>[1]!crv_interpolation($F$14:$F$16,$G$14:$G$16,D44)</f>
        <v>1810.8333333333328</v>
      </c>
      <c r="F44" s="2">
        <f t="shared" si="5"/>
        <v>205.83333333333326</v>
      </c>
      <c r="G44" s="6">
        <f>[1]!crv_interpolation($L$14:$L$16,$M$14:$M$16,E44)</f>
        <v>52.408274785323954</v>
      </c>
      <c r="H44" s="2">
        <f t="shared" si="6"/>
        <v>225.04201749999996</v>
      </c>
      <c r="I44" s="2"/>
      <c r="J44" s="2">
        <f t="shared" si="7"/>
        <v>0.56403702940795597</v>
      </c>
      <c r="K44" s="2">
        <f t="shared" si="0"/>
        <v>1154.5718002435988</v>
      </c>
      <c r="L44" s="2">
        <f t="shared" si="1"/>
        <v>1672.0633350639837</v>
      </c>
      <c r="M44" s="2">
        <f t="shared" si="2"/>
        <v>5.2465642437250729E-2</v>
      </c>
      <c r="N44" s="2">
        <f t="shared" si="3"/>
        <v>0.81684451005339542</v>
      </c>
      <c r="O44" s="2">
        <f t="shared" si="8"/>
        <v>212.72627196841458</v>
      </c>
      <c r="P44" s="2">
        <f t="shared" si="9"/>
        <v>219.12364256144647</v>
      </c>
    </row>
    <row r="45" spans="1:16" x14ac:dyDescent="0.3">
      <c r="A45">
        <v>445.55555555555497</v>
      </c>
      <c r="B45">
        <v>255.937742789434</v>
      </c>
      <c r="C45">
        <v>22</v>
      </c>
      <c r="D45" s="2">
        <f t="shared" si="4"/>
        <v>2117.4999999999995</v>
      </c>
      <c r="E45" s="2">
        <f>[1]!crv_interpolation($F$14:$F$16,$G$14:$G$16,D45)</f>
        <v>1891.8749999999998</v>
      </c>
      <c r="F45" s="2">
        <f t="shared" si="5"/>
        <v>225.62499999999977</v>
      </c>
      <c r="G45" s="6">
        <f>[1]!crv_interpolation($L$14:$L$16,$M$14:$M$16,E45)</f>
        <v>54.306206088992973</v>
      </c>
      <c r="H45" s="2">
        <f t="shared" si="6"/>
        <v>234.34373687499999</v>
      </c>
      <c r="I45" s="2"/>
      <c r="J45" s="2">
        <f t="shared" si="7"/>
        <v>0.55124148153504648</v>
      </c>
      <c r="K45" s="2">
        <f t="shared" si="0"/>
        <v>1153.5463308107521</v>
      </c>
      <c r="L45" s="2">
        <f t="shared" si="1"/>
        <v>1709.3560970612366</v>
      </c>
      <c r="M45" s="2">
        <f t="shared" si="2"/>
        <v>5.2099962577024372E-2</v>
      </c>
      <c r="N45" s="2">
        <f t="shared" si="3"/>
        <v>0.81684451005339542</v>
      </c>
      <c r="O45" s="2">
        <f t="shared" si="8"/>
        <v>211.05597015938721</v>
      </c>
      <c r="P45" s="2">
        <f t="shared" si="9"/>
        <v>228.08989008568494</v>
      </c>
    </row>
    <row r="46" spans="1:16" x14ac:dyDescent="0.3">
      <c r="A46">
        <v>500</v>
      </c>
      <c r="B46">
        <v>254.94834643355301</v>
      </c>
      <c r="C46">
        <v>23</v>
      </c>
      <c r="D46" s="2">
        <f t="shared" si="4"/>
        <v>2218.333333333333</v>
      </c>
      <c r="E46" s="2">
        <f>[1]!crv_interpolation($F$14:$F$16,$G$14:$G$16,D46)</f>
        <v>1972.9166666666665</v>
      </c>
      <c r="F46" s="2">
        <f t="shared" si="5"/>
        <v>245.41666666666652</v>
      </c>
      <c r="G46" s="6">
        <f>[1]!crv_interpolation($L$14:$L$16,$M$14:$M$16,E46)</f>
        <v>56.204137392661984</v>
      </c>
      <c r="H46" s="2">
        <f t="shared" si="6"/>
        <v>243.64545625</v>
      </c>
      <c r="I46" s="2"/>
      <c r="J46" s="2">
        <f t="shared" si="7"/>
        <v>0.53918511893912457</v>
      </c>
      <c r="K46" s="2">
        <f t="shared" si="0"/>
        <v>1152.4957737124789</v>
      </c>
      <c r="L46" s="2">
        <f t="shared" si="1"/>
        <v>1745.9863274213737</v>
      </c>
      <c r="M46" s="2">
        <f t="shared" si="2"/>
        <v>5.1752015992623954E-2</v>
      </c>
      <c r="N46" s="2">
        <f t="shared" si="3"/>
        <v>0.81684451005339542</v>
      </c>
      <c r="O46" s="2">
        <f t="shared" si="8"/>
        <v>209.45551598061346</v>
      </c>
      <c r="P46" s="2">
        <f t="shared" si="9"/>
        <v>237.04959872695366</v>
      </c>
    </row>
    <row r="47" spans="1:16" x14ac:dyDescent="0.3">
      <c r="C47">
        <v>24</v>
      </c>
      <c r="D47" s="2">
        <f t="shared" si="4"/>
        <v>2319.1666666666665</v>
      </c>
      <c r="E47" s="2">
        <f>[1]!crv_interpolation($F$14:$F$16,$G$14:$G$16,D47)</f>
        <v>2053.9583333333335</v>
      </c>
      <c r="F47" s="2">
        <f t="shared" si="5"/>
        <v>265.20833333333303</v>
      </c>
      <c r="G47" s="6">
        <f>[1]!crv_interpolation($L$14:$L$16,$M$14:$M$16,E47)</f>
        <v>58.102068696330996</v>
      </c>
      <c r="H47" s="2">
        <f t="shared" si="6"/>
        <v>252.94717562500003</v>
      </c>
      <c r="I47" s="2"/>
      <c r="J47" s="2">
        <f t="shared" si="7"/>
        <v>0.52781008233284987</v>
      </c>
      <c r="K47" s="2">
        <f t="shared" si="0"/>
        <v>1151.420603847655</v>
      </c>
      <c r="L47" s="2">
        <f t="shared" si="1"/>
        <v>1781.9508010500647</v>
      </c>
      <c r="M47" s="2">
        <f t="shared" si="2"/>
        <v>5.1420667645905527E-2</v>
      </c>
      <c r="N47" s="2">
        <f t="shared" si="3"/>
        <v>0.81684451005339542</v>
      </c>
      <c r="O47" s="2">
        <f t="shared" si="8"/>
        <v>207.9203013385785</v>
      </c>
      <c r="P47" s="2">
        <f t="shared" si="9"/>
        <v>246.00250325040906</v>
      </c>
    </row>
    <row r="48" spans="1:16" x14ac:dyDescent="0.3">
      <c r="C48" s="5">
        <v>25</v>
      </c>
      <c r="D48" s="2">
        <f t="shared" si="4"/>
        <v>2420</v>
      </c>
      <c r="E48" s="2">
        <f>[1]!crv_interpolation($F$14:$F$16,$G$14:$G$16,D48)</f>
        <v>2135</v>
      </c>
      <c r="F48" s="2">
        <f t="shared" si="5"/>
        <v>285</v>
      </c>
      <c r="G48" s="6">
        <f>[1]!crv_interpolation($L$14:$L$16,$M$14:$M$16,E48)</f>
        <v>60</v>
      </c>
      <c r="H48" s="2">
        <f t="shared" si="6"/>
        <v>262.248895</v>
      </c>
      <c r="I48" s="2"/>
      <c r="J48" s="2">
        <f t="shared" si="7"/>
        <v>0.51706434333412243</v>
      </c>
      <c r="K48" s="2">
        <f t="shared" si="0"/>
        <v>1150.3212815794748</v>
      </c>
      <c r="L48" s="2">
        <f t="shared" si="1"/>
        <v>1817.2469940527244</v>
      </c>
      <c r="M48" s="2">
        <f t="shared" si="2"/>
        <v>5.1104882219529961E-2</v>
      </c>
      <c r="N48" s="2">
        <f t="shared" si="3"/>
        <v>0.81684451005339542</v>
      </c>
      <c r="O48" s="2">
        <f t="shared" si="8"/>
        <v>206.44612443753707</v>
      </c>
      <c r="P48" s="2">
        <f t="shared" si="9"/>
        <v>254.94834643355327</v>
      </c>
    </row>
    <row r="50" spans="1:16" x14ac:dyDescent="0.3">
      <c r="C50" s="2"/>
      <c r="D50" s="2"/>
    </row>
    <row r="51" spans="1:16" x14ac:dyDescent="0.3">
      <c r="P51" s="4">
        <f>P48-H48</f>
        <v>-7.3005485664467358</v>
      </c>
    </row>
    <row r="52" spans="1:16" x14ac:dyDescent="0.3">
      <c r="A52" t="s">
        <v>18</v>
      </c>
      <c r="B52" t="s">
        <v>31</v>
      </c>
    </row>
    <row r="53" spans="1:16" x14ac:dyDescent="0.3">
      <c r="A53" t="s">
        <v>25</v>
      </c>
      <c r="B53">
        <v>0</v>
      </c>
      <c r="C53" t="s">
        <v>19</v>
      </c>
      <c r="D53">
        <v>17.2</v>
      </c>
    </row>
    <row r="54" spans="1:16" x14ac:dyDescent="0.3">
      <c r="A54" t="s">
        <v>26</v>
      </c>
      <c r="B54" s="2">
        <v>403.33333333333297</v>
      </c>
      <c r="C54" t="s">
        <v>20</v>
      </c>
      <c r="D54">
        <v>60.788236583119399</v>
      </c>
    </row>
    <row r="55" spans="1:16" x14ac:dyDescent="0.3">
      <c r="A55" t="s">
        <v>27</v>
      </c>
      <c r="B55" s="2">
        <v>907.5</v>
      </c>
      <c r="C55" t="s">
        <v>21</v>
      </c>
      <c r="D55">
        <v>115.273532312019</v>
      </c>
    </row>
    <row r="56" spans="1:16" x14ac:dyDescent="0.3">
      <c r="A56" t="s">
        <v>28</v>
      </c>
      <c r="B56">
        <v>1411.6666666666699</v>
      </c>
      <c r="C56" t="s">
        <v>22</v>
      </c>
      <c r="D56">
        <v>166.124223040918</v>
      </c>
    </row>
    <row r="57" spans="1:16" x14ac:dyDescent="0.3">
      <c r="A57" t="s">
        <v>29</v>
      </c>
      <c r="B57">
        <v>1915.8333333333301</v>
      </c>
      <c r="C57" t="s">
        <v>23</v>
      </c>
      <c r="D57">
        <v>211.52300626981699</v>
      </c>
    </row>
    <row r="58" spans="1:16" x14ac:dyDescent="0.3">
      <c r="A58" t="s">
        <v>30</v>
      </c>
      <c r="B58">
        <v>2420</v>
      </c>
      <c r="C58" t="s">
        <v>24</v>
      </c>
      <c r="D58">
        <v>256.92178949871601</v>
      </c>
    </row>
    <row r="61" spans="1:16" x14ac:dyDescent="0.3">
      <c r="A61" t="s">
        <v>8</v>
      </c>
      <c r="B61">
        <v>0</v>
      </c>
      <c r="C61" s="2">
        <v>403.33333333333331</v>
      </c>
      <c r="D61" s="2">
        <v>907.50000000000011</v>
      </c>
      <c r="E61">
        <v>1411.6666666666665</v>
      </c>
      <c r="F61">
        <v>1915.8333333333328</v>
      </c>
      <c r="G61">
        <v>2420</v>
      </c>
    </row>
    <row r="62" spans="1:16" x14ac:dyDescent="0.3">
      <c r="A62" t="s">
        <v>33</v>
      </c>
      <c r="B62">
        <v>17.2</v>
      </c>
      <c r="C62">
        <v>60.788236583119385</v>
      </c>
      <c r="D62">
        <v>115.27353231201865</v>
      </c>
      <c r="E62">
        <v>166.12422304091788</v>
      </c>
      <c r="F62">
        <v>211.52300626981713</v>
      </c>
      <c r="G62">
        <v>256.92178949871646</v>
      </c>
    </row>
    <row r="65" spans="1:1" x14ac:dyDescent="0.3">
      <c r="A65" t="str">
        <f>[1]!encode_json(B61:G62)</f>
        <v>{"0":403.333333333333,"17,2":60.7882365831194}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</vt:i4>
      </vt:variant>
    </vt:vector>
  </HeadingPairs>
  <TitlesOfParts>
    <vt:vector size="13" baseType="lpstr">
      <vt:lpstr>Лист1</vt:lpstr>
      <vt:lpstr>d_in</vt:lpstr>
      <vt:lpstr>eps</vt:lpstr>
      <vt:lpstr>gamma_w</vt:lpstr>
      <vt:lpstr>h</vt:lpstr>
      <vt:lpstr>MD</vt:lpstr>
      <vt:lpstr>mu_Pas</vt:lpstr>
      <vt:lpstr>N</vt:lpstr>
      <vt:lpstr>p_wh</vt:lpstr>
      <vt:lpstr>q_lic_sec</vt:lpstr>
      <vt:lpstr>q_liq</vt:lpstr>
      <vt:lpstr>T0</vt:lpstr>
      <vt:lpstr>TVD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Миша</dc:creator>
  <cp:lastModifiedBy>Миша Миша</cp:lastModifiedBy>
  <dcterms:created xsi:type="dcterms:W3CDTF">2021-02-14T12:25:41Z</dcterms:created>
  <dcterms:modified xsi:type="dcterms:W3CDTF">2021-02-14T18:01:19Z</dcterms:modified>
</cp:coreProperties>
</file>