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Учеба\Политех\"/>
    </mc:Choice>
  </mc:AlternateContent>
  <xr:revisionPtr revIDLastSave="0" documentId="13_ncr:1_{D0F9B1AE-4AC5-440D-AEC0-42EF648B84CE}" xr6:coauthVersionLast="46" xr6:coauthVersionMax="46" xr10:uidLastSave="{00000000-0000-0000-0000-000000000000}"/>
  <bookViews>
    <workbookView xWindow="-108" yWindow="-108" windowWidth="23256" windowHeight="12576" activeTab="1" xr2:uid="{B7850AE3-D0A5-4064-96FF-A273C3DE903B}"/>
  </bookViews>
  <sheets>
    <sheet name="Лист1" sheetId="1" r:id="rId1"/>
    <sheet name="Лист2" sheetId="2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1" i="2" l="1"/>
  <c r="S33" i="2"/>
  <c r="S22" i="2"/>
  <c r="S34" i="2"/>
  <c r="S28" i="2"/>
  <c r="S19" i="2"/>
  <c r="S23" i="2"/>
  <c r="S35" i="2"/>
  <c r="S24" i="2"/>
  <c r="S25" i="2"/>
  <c r="S29" i="2"/>
  <c r="S30" i="2"/>
  <c r="S20" i="2"/>
  <c r="S26" i="2"/>
  <c r="S27" i="2"/>
  <c r="S16" i="2"/>
  <c r="S17" i="2"/>
  <c r="S18" i="2"/>
  <c r="S31" i="2"/>
  <c r="S32" i="2"/>
  <c r="S15" i="2"/>
  <c r="R22" i="2"/>
  <c r="R34" i="2"/>
  <c r="R23" i="2"/>
  <c r="R35" i="2"/>
  <c r="R24" i="2"/>
  <c r="R18" i="2"/>
  <c r="R32" i="2"/>
  <c r="R25" i="2"/>
  <c r="R26" i="2"/>
  <c r="R29" i="2"/>
  <c r="R30" i="2"/>
  <c r="R31" i="2"/>
  <c r="R21" i="2"/>
  <c r="R27" i="2"/>
  <c r="R28" i="2"/>
  <c r="R17" i="2"/>
  <c r="R19" i="2"/>
  <c r="R20" i="2"/>
  <c r="R33" i="2"/>
  <c r="R16" i="2"/>
  <c r="R15" i="2"/>
  <c r="B4" i="2"/>
  <c r="E14" i="2" a="1"/>
  <c r="E14" i="2" l="1"/>
  <c r="G15" i="2"/>
  <c r="I16" i="2"/>
  <c r="K17" i="2"/>
  <c r="M18" i="2"/>
  <c r="E20" i="2"/>
  <c r="G21" i="2"/>
  <c r="I22" i="2"/>
  <c r="K23" i="2"/>
  <c r="M24" i="2"/>
  <c r="E26" i="2"/>
  <c r="G27" i="2"/>
  <c r="I28" i="2"/>
  <c r="K29" i="2"/>
  <c r="M30" i="2"/>
  <c r="E32" i="2"/>
  <c r="F14" i="2"/>
  <c r="J16" i="2"/>
  <c r="N18" i="2"/>
  <c r="N24" i="2"/>
  <c r="N30" i="2"/>
  <c r="M17" i="2"/>
  <c r="K22" i="2"/>
  <c r="K28" i="2"/>
  <c r="J15" i="2"/>
  <c r="L22" i="2"/>
  <c r="L28" i="2"/>
  <c r="M16" i="2"/>
  <c r="K27" i="2"/>
  <c r="K15" i="2"/>
  <c r="E24" i="2"/>
  <c r="H14" i="2"/>
  <c r="I14" i="2"/>
  <c r="G25" i="2"/>
  <c r="J14" i="2"/>
  <c r="L15" i="2"/>
  <c r="N16" i="2"/>
  <c r="F18" i="2"/>
  <c r="H19" i="2"/>
  <c r="J20" i="2"/>
  <c r="L21" i="2"/>
  <c r="N22" i="2"/>
  <c r="F24" i="2"/>
  <c r="H25" i="2"/>
  <c r="J26" i="2"/>
  <c r="L27" i="2"/>
  <c r="N28" i="2"/>
  <c r="F30" i="2"/>
  <c r="H31" i="2"/>
  <c r="J32" i="2"/>
  <c r="M15" i="2"/>
  <c r="I19" i="2"/>
  <c r="K20" i="2"/>
  <c r="M21" i="2"/>
  <c r="G24" i="2"/>
  <c r="I25" i="2"/>
  <c r="K26" i="2"/>
  <c r="E29" i="2"/>
  <c r="G30" i="2"/>
  <c r="I31" i="2"/>
  <c r="L14" i="2"/>
  <c r="F17" i="2"/>
  <c r="H18" i="2"/>
  <c r="J19" i="2"/>
  <c r="N21" i="2"/>
  <c r="H24" i="2"/>
  <c r="L26" i="2"/>
  <c r="F29" i="2"/>
  <c r="J31" i="2"/>
  <c r="K25" i="2"/>
  <c r="G29" i="2"/>
  <c r="M32" i="2"/>
  <c r="F16" i="2"/>
  <c r="L19" i="2"/>
  <c r="L25" i="2"/>
  <c r="J30" i="2"/>
  <c r="K18" i="2"/>
  <c r="I23" i="2"/>
  <c r="G28" i="2"/>
  <c r="J22" i="2"/>
  <c r="L29" i="2"/>
  <c r="G20" i="2"/>
  <c r="I27" i="2"/>
  <c r="L16" i="2"/>
  <c r="H26" i="2"/>
  <c r="M22" i="2"/>
  <c r="I32" i="2"/>
  <c r="K14" i="2"/>
  <c r="E17" i="2"/>
  <c r="G18" i="2"/>
  <c r="E23" i="2"/>
  <c r="M27" i="2"/>
  <c r="K32" i="2"/>
  <c r="N15" i="2"/>
  <c r="L20" i="2"/>
  <c r="F23" i="2"/>
  <c r="J25" i="2"/>
  <c r="N27" i="2"/>
  <c r="H30" i="2"/>
  <c r="E28" i="2"/>
  <c r="K31" i="2"/>
  <c r="N14" i="2"/>
  <c r="J18" i="2"/>
  <c r="N20" i="2"/>
  <c r="J24" i="2"/>
  <c r="N26" i="2"/>
  <c r="L31" i="2"/>
  <c r="G16" i="2"/>
  <c r="G22" i="2"/>
  <c r="E27" i="2"/>
  <c r="M31" i="2"/>
  <c r="L23" i="2"/>
  <c r="F32" i="2"/>
  <c r="E19" i="2"/>
  <c r="E25" i="2"/>
  <c r="G32" i="2"/>
  <c r="J21" i="2"/>
  <c r="N29" i="2"/>
  <c r="I20" i="2"/>
  <c r="M28" i="2"/>
  <c r="L32" i="2"/>
  <c r="F22" i="2"/>
  <c r="F28" i="2"/>
  <c r="I17" i="2"/>
  <c r="E21" i="2"/>
  <c r="K24" i="2"/>
  <c r="I29" i="2"/>
  <c r="F20" i="2"/>
  <c r="H27" i="2"/>
  <c r="K16" i="2"/>
  <c r="M23" i="2"/>
  <c r="E31" i="2"/>
  <c r="N17" i="2"/>
  <c r="F25" i="2"/>
  <c r="H32" i="2"/>
  <c r="K21" i="2"/>
  <c r="E30" i="2"/>
  <c r="M14" i="2"/>
  <c r="E16" i="2"/>
  <c r="G17" i="2"/>
  <c r="I18" i="2"/>
  <c r="K19" i="2"/>
  <c r="M20" i="2"/>
  <c r="E22" i="2"/>
  <c r="G23" i="2"/>
  <c r="I24" i="2"/>
  <c r="M26" i="2"/>
  <c r="I30" i="2"/>
  <c r="H17" i="2"/>
  <c r="H23" i="2"/>
  <c r="H29" i="2"/>
  <c r="E15" i="2"/>
  <c r="M19" i="2"/>
  <c r="M25" i="2"/>
  <c r="K30" i="2"/>
  <c r="J28" i="2"/>
  <c r="G14" i="2"/>
  <c r="G26" i="2"/>
  <c r="H20" i="2"/>
  <c r="J27" i="2"/>
  <c r="G19" i="2"/>
  <c r="G31" i="2"/>
  <c r="F15" i="2"/>
  <c r="H16" i="2"/>
  <c r="J17" i="2"/>
  <c r="L18" i="2"/>
  <c r="N19" i="2"/>
  <c r="F21" i="2"/>
  <c r="H22" i="2"/>
  <c r="J23" i="2"/>
  <c r="L24" i="2"/>
  <c r="N25" i="2"/>
  <c r="F27" i="2"/>
  <c r="H28" i="2"/>
  <c r="J29" i="2"/>
  <c r="L30" i="2"/>
  <c r="N31" i="2"/>
  <c r="H15" i="2"/>
  <c r="L17" i="2"/>
  <c r="H21" i="2"/>
  <c r="F26" i="2"/>
  <c r="I15" i="2"/>
  <c r="I21" i="2"/>
  <c r="M29" i="2"/>
  <c r="F19" i="2"/>
  <c r="N23" i="2"/>
  <c r="F31" i="2"/>
  <c r="E18" i="2"/>
  <c r="I26" i="2"/>
  <c r="N32" i="2"/>
  <c r="B24" i="2"/>
  <c r="A24" i="2"/>
  <c r="B23" i="2"/>
  <c r="A19" i="2"/>
  <c r="B14" i="2"/>
  <c r="B13" i="2"/>
  <c r="A13" i="2"/>
  <c r="B19" i="1"/>
  <c r="C19" i="1"/>
  <c r="B25" i="1"/>
  <c r="B23" i="1"/>
  <c r="C20" i="1" l="1"/>
  <c r="B20" i="1"/>
  <c r="B18" i="1"/>
  <c r="C18" i="1"/>
  <c r="C23" i="1"/>
  <c r="C22" i="1"/>
  <c r="B22" i="1"/>
  <c r="C21" i="1"/>
  <c r="B21" i="1"/>
  <c r="C24" i="1"/>
  <c r="B24" i="1"/>
  <c r="C14" i="1"/>
  <c r="C13" i="1"/>
  <c r="B14" i="1"/>
  <c r="B13" i="1"/>
  <c r="C11" i="1"/>
  <c r="B11" i="1"/>
  <c r="C17" i="1"/>
  <c r="C16" i="1"/>
  <c r="B17" i="1"/>
  <c r="B16" i="1"/>
  <c r="B15" i="1" l="1"/>
  <c r="C15" i="1"/>
</calcChain>
</file>

<file path=xl/sharedStrings.xml><?xml version="1.0" encoding="utf-8"?>
<sst xmlns="http://schemas.openxmlformats.org/spreadsheetml/2006/main" count="31" uniqueCount="29">
  <si>
    <t>Pбуф</t>
  </si>
  <si>
    <t>Tбуф</t>
  </si>
  <si>
    <t>Standing</t>
  </si>
  <si>
    <t>McCain</t>
  </si>
  <si>
    <t>Дебит нефти</t>
  </si>
  <si>
    <t>Дебит воды</t>
  </si>
  <si>
    <t>Дебит газа</t>
  </si>
  <si>
    <t>Объемный коэф нефти</t>
  </si>
  <si>
    <t>Объемный коэф воды</t>
  </si>
  <si>
    <t>Газосодержание</t>
  </si>
  <si>
    <t>Объемный коэф газа</t>
  </si>
  <si>
    <t>Дебит ГЖС</t>
  </si>
  <si>
    <t>Вязкость</t>
  </si>
  <si>
    <t>плотность нефти</t>
  </si>
  <si>
    <t>плотность воды</t>
  </si>
  <si>
    <t>плотность смеси</t>
  </si>
  <si>
    <t>Доля газа</t>
  </si>
  <si>
    <t>Pлин</t>
  </si>
  <si>
    <t>Tлин</t>
  </si>
  <si>
    <t>Pбуф факт</t>
  </si>
  <si>
    <t xml:space="preserve">поправочный </t>
  </si>
  <si>
    <t>Инклинометрия</t>
  </si>
  <si>
    <t>TVD</t>
  </si>
  <si>
    <t>MD</t>
  </si>
  <si>
    <t>Температура</t>
  </si>
  <si>
    <t>Диаметры</t>
  </si>
  <si>
    <t>Qжид</t>
  </si>
  <si>
    <t>Pзаб</t>
  </si>
  <si>
    <t>Скважина не фонтанирует, т.к. согласно ТехРежиму пластовое давление равно 360 атм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</si>
</sst>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Лист2!$Q$15:$Q$35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xVal>
          <c:yVal>
            <c:numRef>
              <c:f>Лист2!$S$15:$S$35</c:f>
              <c:numCache>
                <c:formatCode>General</c:formatCode>
                <c:ptCount val="21"/>
                <c:pt idx="0">
                  <c:v>216.59281050852778</c:v>
                </c:pt>
                <c:pt idx="1">
                  <c:v>308.41200536370633</c:v>
                </c:pt>
                <c:pt idx="2">
                  <c:v>364.64957922856553</c:v>
                </c:pt>
                <c:pt idx="3">
                  <c:v>412.6620662044013</c:v>
                </c:pt>
                <c:pt idx="4">
                  <c:v>449.42124407513046</c:v>
                </c:pt>
                <c:pt idx="5">
                  <c:v>475.31796552078004</c:v>
                </c:pt>
                <c:pt idx="6">
                  <c:v>484.39482134076286</c:v>
                </c:pt>
                <c:pt idx="7">
                  <c:v>559.5611438775295</c:v>
                </c:pt>
                <c:pt idx="8">
                  <c:v>649.35314753247826</c:v>
                </c:pt>
                <c:pt idx="9">
                  <c:v>749.37620828552269</c:v>
                </c:pt>
                <c:pt idx="10">
                  <c:v>859.7454920347468</c:v>
                </c:pt>
                <c:pt idx="11">
                  <c:v>982.62318132124528</c:v>
                </c:pt>
                <c:pt idx="12">
                  <c:v>1114.057247456137</c:v>
                </c:pt>
                <c:pt idx="13">
                  <c:v>1256.2412205667272</c:v>
                </c:pt>
                <c:pt idx="14">
                  <c:v>1405.2299517311308</c:v>
                </c:pt>
                <c:pt idx="15">
                  <c:v>1559.1206667804647</c:v>
                </c:pt>
                <c:pt idx="16">
                  <c:v>1722.2808693263557</c:v>
                </c:pt>
                <c:pt idx="17">
                  <c:v>1890.8285981132517</c:v>
                </c:pt>
                <c:pt idx="18">
                  <c:v>2060.8451820115156</c:v>
                </c:pt>
                <c:pt idx="19">
                  <c:v>2236.9510698994982</c:v>
                </c:pt>
                <c:pt idx="20">
                  <c:v>2415.3955712945981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C5-4ACE-B750-4AEEF74A42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509904"/>
        <c:axId val="698511152"/>
      </c:scatterChart>
      <c:valAx>
        <c:axId val="698509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8511152"/>
        <c:crosses val="autoZero"/>
        <c:crossBetween val="midCat"/>
      </c:valAx>
      <c:valAx>
        <c:axId val="69851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8509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411480</xdr:colOff>
      <xdr:row>0</xdr:row>
      <xdr:rowOff>0</xdr:rowOff>
    </xdr:from>
    <xdr:to>
      <xdr:col>21</xdr:col>
      <xdr:colOff>236220</xdr:colOff>
      <xdr:row>13</xdr:row>
      <xdr:rowOff>7620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FDD5306-2D8A-4AFE-91CE-A88983D74C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&#1060;&#1080;&#1085;&#1072;&#1083;&#1100;&#1085;&#1099;&#1077;_unifloc/UniflocVBA_7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obov\Downloads\&#1058;&#1077;&#1093;&#1088;&#1077;&#1078;&#1080;&#1084;,%20&#1055;&#1086;&#1083;&#1080;&#1090;&#1077;&#1093;,%20&#1092;&#1077;&#1074;&#1088;&#1072;&#1083;&#1100;%202021_&#1044;&#1077;&#1081;&#1089;&#1090;&#1074;&#1091;&#1102;&#1097;&#1080;&#1077;_&#1055;&#1086;&#1083;&#1080;&#1090;&#1077;&#1093;&#1086;&#1074;&#1089;&#1082;&#1086;&#1077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MF_gas_fraction_d"/>
      <definedName name="MF_mu_mix_cP"/>
      <definedName name="MF_p_choke_atma"/>
      <definedName name="MF_p_pipeline_atma"/>
      <definedName name="MF_rho_mix_kgm3"/>
      <definedName name="PVT_bg_m3m3"/>
      <definedName name="PVT_bo_m3m3"/>
      <definedName name="PVT_bw_m3m3"/>
      <definedName name="PVT_encode_string"/>
      <definedName name="PVT_rho_oil_kgm3"/>
      <definedName name="PVT_rho_wat_kgm3"/>
      <definedName name="PVT_rs_m3m3"/>
    </defined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ежим"/>
      <sheetName val="Результаты проверки"/>
      <sheetName val="Спр. типы"/>
      <sheetName val="Спр. СЭ"/>
      <sheetName val="Спр. состояний"/>
    </sheetNames>
    <sheetDataSet>
      <sheetData sheetId="0">
        <row r="18">
          <cell r="FF18">
            <v>235.52</v>
          </cell>
        </row>
        <row r="20">
          <cell r="K20">
            <v>89</v>
          </cell>
          <cell r="L20">
            <v>10</v>
          </cell>
          <cell r="N20">
            <v>743.6</v>
          </cell>
          <cell r="U20">
            <v>2607.0500000000002</v>
          </cell>
          <cell r="AE20">
            <v>59</v>
          </cell>
          <cell r="AF20">
            <v>64.739999999999995</v>
          </cell>
          <cell r="AU20">
            <v>0.80900000000000005</v>
          </cell>
          <cell r="AV20">
            <v>1.02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52F2-1377-4DB9-8C57-FED2FE186272}">
  <dimension ref="A4:C25"/>
  <sheetViews>
    <sheetView topLeftCell="A4" workbookViewId="0">
      <selection activeCell="B26" sqref="B26"/>
    </sheetView>
  </sheetViews>
  <sheetFormatPr defaultRowHeight="14.4" x14ac:dyDescent="0.3"/>
  <cols>
    <col min="1" max="1" width="19.33203125" customWidth="1"/>
  </cols>
  <sheetData>
    <row r="4" spans="1:3" x14ac:dyDescent="0.3">
      <c r="A4" t="s">
        <v>0</v>
      </c>
      <c r="B4">
        <v>124</v>
      </c>
    </row>
    <row r="5" spans="1:3" x14ac:dyDescent="0.3">
      <c r="A5" t="s">
        <v>1</v>
      </c>
      <c r="B5">
        <v>20</v>
      </c>
    </row>
    <row r="11" spans="1:3" x14ac:dyDescent="0.3">
      <c r="B11" t="str">
        <f>[1]!PVT_encode_string(0.7,0.809,1.02,385*0.809,385*0.809,296,95.3,1.835,0.25,0)</f>
        <v>gamma_gas:0,700;gamma_oil:0,809;gamma_wat:1,020;rsb_m3m3:311,465;rp_m3m3:311,465;pb_atma:296,000;tres_C:95,300;bob_m3m3:1,835;muob_cP:0,250;PVTcorr:0;ksep_fr:0,000;p_ksep_atma:-1,000;t_ksep_C:-1,000;gas_only:False;</v>
      </c>
      <c r="C11" t="str">
        <f>[1]!PVT_encode_string(0.7,0.809,1.02,385*0.809,385*0.809,296,95.3,1.835,0.25,1)</f>
        <v>gamma_gas:0,700;gamma_oil:0,809;gamma_wat:1,020;rsb_m3m3:311,465;rp_m3m3:311,465;pb_atma:296,000;tres_C:95,300;bob_m3m3:1,835;muob_cP:0,250;PVTcorr:1;ksep_fr:0,000;p_ksep_atma:-1,000;t_ksep_C:-1,000;gas_only:False;</v>
      </c>
    </row>
    <row r="12" spans="1:3" x14ac:dyDescent="0.3">
      <c r="B12" t="s">
        <v>2</v>
      </c>
      <c r="C12" t="s">
        <v>3</v>
      </c>
    </row>
    <row r="13" spans="1:3" x14ac:dyDescent="0.3">
      <c r="A13" t="s">
        <v>7</v>
      </c>
      <c r="B13">
        <f>[1]!PVT_bo_m3m3(124,20,,,,,,,,,,,,,,B11)</f>
        <v>1.3301996454888783</v>
      </c>
      <c r="C13">
        <f>[1]!PVT_bo_m3m3(124,20,,,,,,,,,,,,,,C11)</f>
        <v>1.3911385018868174</v>
      </c>
    </row>
    <row r="14" spans="1:3" x14ac:dyDescent="0.3">
      <c r="A14" t="s">
        <v>8</v>
      </c>
      <c r="B14">
        <f>[1]!PVT_bw_m3m3(124,20,,,,,,,,,,,,,,B11)</f>
        <v>0.99980757147120602</v>
      </c>
      <c r="C14">
        <f>[1]!PVT_bw_m3m3(124,20,,,,,,,,,,,,,,C11)</f>
        <v>0.99980757147120602</v>
      </c>
    </row>
    <row r="15" spans="1:3" x14ac:dyDescent="0.3">
      <c r="A15" t="s">
        <v>4</v>
      </c>
      <c r="B15">
        <f>17*B13</f>
        <v>22.613393973310931</v>
      </c>
      <c r="C15">
        <f>17*C13</f>
        <v>23.649354532075897</v>
      </c>
    </row>
    <row r="16" spans="1:3" x14ac:dyDescent="0.3">
      <c r="A16" t="s">
        <v>10</v>
      </c>
      <c r="B16">
        <f>[1]!PVT_bg_m3m3(35,20,,,,,,,,,,,,,,B11)</f>
        <v>2.6891063178358841E-2</v>
      </c>
      <c r="C16">
        <f>[1]!PVT_bg_m3m3(35,20,,,,,,,,,,,,,,C11)</f>
        <v>2.6891063178358841E-2</v>
      </c>
    </row>
    <row r="17" spans="1:3" x14ac:dyDescent="0.3">
      <c r="A17" t="s">
        <v>9</v>
      </c>
      <c r="B17">
        <f>[1]!PVT_rs_m3m3(35,20,,,,,,,,,,,,,,B11)</f>
        <v>33.381182166829475</v>
      </c>
      <c r="C17">
        <f>[1]!PVT_rs_m3m3(35,20,,,,,,,,,,,,,,C11)</f>
        <v>70.130043213154579</v>
      </c>
    </row>
    <row r="18" spans="1:3" x14ac:dyDescent="0.3">
      <c r="A18" t="s">
        <v>5</v>
      </c>
      <c r="B18">
        <f>38.25*B14</f>
        <v>38.242639608773629</v>
      </c>
      <c r="C18">
        <f>B18</f>
        <v>38.242639608773629</v>
      </c>
    </row>
    <row r="19" spans="1:3" x14ac:dyDescent="0.3">
      <c r="A19" t="s">
        <v>6</v>
      </c>
      <c r="B19">
        <f>(B15*311-B15*B17)*B16</f>
        <v>168.81950507991837</v>
      </c>
      <c r="C19">
        <f>(C15*311-C15*C17)*C16</f>
        <v>153.18276333175208</v>
      </c>
    </row>
    <row r="20" spans="1:3" x14ac:dyDescent="0.3">
      <c r="A20" t="s">
        <v>11</v>
      </c>
      <c r="B20">
        <f>B18+B19+B15</f>
        <v>229.67553866200294</v>
      </c>
      <c r="C20">
        <f>C18+C19+C15</f>
        <v>215.07475747260162</v>
      </c>
    </row>
    <row r="21" spans="1:3" x14ac:dyDescent="0.3">
      <c r="A21" t="s">
        <v>12</v>
      </c>
      <c r="B21">
        <f>[1]!MF_mu_mix_cP( [2]Режим!$AE$20,[2]Режим!$AF$20,124,20,B11)</f>
        <v>0.63328386014286131</v>
      </c>
      <c r="C21">
        <f>[1]!MF_mu_mix_cP( [2]Режим!$AE$20,[2]Режим!$AF$20,124,20,C11)</f>
        <v>0.63210635244206104</v>
      </c>
    </row>
    <row r="22" spans="1:3" x14ac:dyDescent="0.3">
      <c r="A22" t="s">
        <v>13</v>
      </c>
      <c r="B22">
        <f>[1]!PVT_rho_oil_kgm3(124,20,0.7,[2]Режим!$AU$20,[2]Режим!$AV$20)</f>
        <v>720.63384071179075</v>
      </c>
      <c r="C22">
        <f>[1]!PVT_rho_oil_kgm3(124,20,0.7,[2]Режим!$AU$20,[2]Режим!$AV$20)</f>
        <v>720.63384071179075</v>
      </c>
    </row>
    <row r="23" spans="1:3" x14ac:dyDescent="0.3">
      <c r="A23" t="s">
        <v>14</v>
      </c>
      <c r="B23">
        <f>[1]!PVT_rho_wat_kgm3(124,20,0.7,[2]Режим!$AU$20,[2]Режим!$AV$20)</f>
        <v>1020.1963148759527</v>
      </c>
      <c r="C23">
        <f>[1]!PVT_rho_wat_kgm3(124,20,0.7,[2]Режим!$AU$20,[2]Режим!$AV$20)</f>
        <v>1020.1963148759527</v>
      </c>
    </row>
    <row r="24" spans="1:3" x14ac:dyDescent="0.3">
      <c r="A24" t="s">
        <v>15</v>
      </c>
      <c r="B24">
        <f>[1]!MF_rho_mix_kgm3([2]Режим!$AE$20,[2]Режим!$AF$20,124,20,B11)</f>
        <v>699.60657783233842</v>
      </c>
      <c r="C24">
        <f>[1]!MF_rho_mix_kgm3([2]Режим!$AE$20,[2]Режим!$AF$20,124,20,C11)</f>
        <v>732.46896571954687</v>
      </c>
    </row>
    <row r="25" spans="1:3" x14ac:dyDescent="0.3">
      <c r="A25" t="s">
        <v>16</v>
      </c>
      <c r="B25">
        <f>[1]!MF_gas_fraction_d(124,20,65,B11)</f>
        <v>0.26413989639814361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22986-8937-4BD9-84F5-4BB94E443A7B}">
  <dimension ref="A1:S35"/>
  <sheetViews>
    <sheetView tabSelected="1" workbookViewId="0">
      <selection activeCell="B9" sqref="B9"/>
    </sheetView>
  </sheetViews>
  <sheetFormatPr defaultRowHeight="14.4" x14ac:dyDescent="0.3"/>
  <sheetData>
    <row r="1" spans="1:19" x14ac:dyDescent="0.3">
      <c r="A1" t="s">
        <v>17</v>
      </c>
      <c r="B1">
        <v>8</v>
      </c>
    </row>
    <row r="2" spans="1:19" x14ac:dyDescent="0.3">
      <c r="A2" t="s">
        <v>18</v>
      </c>
      <c r="B2">
        <v>20</v>
      </c>
    </row>
    <row r="4" spans="1:19" x14ac:dyDescent="0.3">
      <c r="A4" t="s">
        <v>0</v>
      </c>
      <c r="B4">
        <f>[1]!MF_p_choke_atma([2]Режим!$AE$20,[2]Режим!$AF$20,[2]Режим!$L$20,$B$1,0,,,0.13,Лист1!B11)</f>
        <v>126.5</v>
      </c>
      <c r="C4" t="s">
        <v>20</v>
      </c>
    </row>
    <row r="5" spans="1:19" x14ac:dyDescent="0.3">
      <c r="A5" t="s">
        <v>19</v>
      </c>
      <c r="B5">
        <v>124</v>
      </c>
      <c r="C5">
        <v>0.13</v>
      </c>
    </row>
    <row r="10" spans="1:19" x14ac:dyDescent="0.3">
      <c r="A10" t="s">
        <v>21</v>
      </c>
    </row>
    <row r="11" spans="1:19" x14ac:dyDescent="0.3">
      <c r="A11" t="s">
        <v>23</v>
      </c>
      <c r="B11" t="s">
        <v>22</v>
      </c>
    </row>
    <row r="12" spans="1:19" x14ac:dyDescent="0.3">
      <c r="A12">
        <v>0</v>
      </c>
      <c r="B12">
        <v>0</v>
      </c>
      <c r="E12" s="2" t="s">
        <v>28</v>
      </c>
    </row>
    <row r="13" spans="1:19" x14ac:dyDescent="0.3">
      <c r="A13">
        <f>[2]Режим!$U$20</f>
        <v>2607.0500000000002</v>
      </c>
      <c r="B13" s="1">
        <f>A13-[2]Режим!$FF$18</f>
        <v>2371.5300000000002</v>
      </c>
    </row>
    <row r="14" spans="1:19" x14ac:dyDescent="0.3">
      <c r="A14">
        <v>3774.44</v>
      </c>
      <c r="B14" s="1">
        <f>A14-[2]Режим!$N$20</f>
        <v>3030.84</v>
      </c>
      <c r="E14">
        <f t="array" ref="E14:N32">[1]!MF_p_pipeline_atma([2]Режим!$AE$20,65,A12:B14,124,20,1,,Лист1!B11,A23:B25,1)</f>
        <v>380.744126739926</v>
      </c>
      <c r="F14">
        <v>20</v>
      </c>
      <c r="G14">
        <v>0</v>
      </c>
      <c r="H14">
        <v>0</v>
      </c>
      <c r="I14">
        <v>0</v>
      </c>
      <c r="J14">
        <v>0</v>
      </c>
      <c r="K14">
        <v>0</v>
      </c>
      <c r="L14" t="e">
        <v>#N/A</v>
      </c>
      <c r="M14" t="e">
        <v>#N/A</v>
      </c>
      <c r="N14" t="e">
        <v>#N/A</v>
      </c>
      <c r="Q14" t="s">
        <v>26</v>
      </c>
      <c r="R14" t="s">
        <v>0</v>
      </c>
      <c r="S14" t="s">
        <v>27</v>
      </c>
    </row>
    <row r="15" spans="1:19" x14ac:dyDescent="0.3">
      <c r="E15" t="str">
        <v>p_result_atma</v>
      </c>
      <c r="F15" t="str">
        <v>t_result_C</v>
      </c>
      <c r="G15">
        <v>0</v>
      </c>
      <c r="H15">
        <v>0</v>
      </c>
      <c r="I15">
        <v>0</v>
      </c>
      <c r="J15">
        <v>0</v>
      </c>
      <c r="K15">
        <v>0</v>
      </c>
      <c r="L15" t="e">
        <v>#N/A</v>
      </c>
      <c r="M15" t="e">
        <v>#N/A</v>
      </c>
      <c r="N15" t="e">
        <v>#N/A</v>
      </c>
      <c r="Q15">
        <v>0</v>
      </c>
      <c r="R15">
        <f>[1]!MF_p_choke_atma(Q15,65,10,$B$1,0,,,0.13,Лист1!$B$11)</f>
        <v>8</v>
      </c>
      <c r="S15">
        <f>[1]!MF_p_pipeline_atma(Q15,65,$A$12:$B$14,R15,20,1,,Лист1!$B$11,$A$23:$B$25,1)</f>
        <v>216.59281050852778</v>
      </c>
    </row>
    <row r="16" spans="1:19" x14ac:dyDescent="0.3">
      <c r="E16" t="str">
        <v>num</v>
      </c>
      <c r="F16" t="str">
        <v>h,m</v>
      </c>
      <c r="G16" t="str">
        <v>hvert,m</v>
      </c>
      <c r="H16" t="str">
        <v>p,atma</v>
      </c>
      <c r="I16" t="str">
        <v>t,C</v>
      </c>
      <c r="J16" t="str">
        <v>Hl</v>
      </c>
      <c r="K16" t="str">
        <v>fpat</v>
      </c>
      <c r="L16" t="e">
        <v>#N/A</v>
      </c>
      <c r="M16" t="e">
        <v>#N/A</v>
      </c>
      <c r="N16" t="e">
        <v>#N/A</v>
      </c>
      <c r="Q16">
        <v>25</v>
      </c>
      <c r="R16">
        <f>[1]!MF_p_choke_atma(Q16,65,10,$B$1,0,,,0.13,Лист1!$B$11)</f>
        <v>57.125</v>
      </c>
      <c r="S16">
        <f>[1]!MF_p_pipeline_atma(Q16,65,$A$12:$B$14,R16,20,1,,Лист1!$B$11,$A$23:$B$25,1)</f>
        <v>308.41200536370633</v>
      </c>
    </row>
    <row r="17" spans="1:19" x14ac:dyDescent="0.3">
      <c r="A17" t="s">
        <v>24</v>
      </c>
      <c r="E17">
        <v>1</v>
      </c>
      <c r="F17">
        <v>0</v>
      </c>
      <c r="G17">
        <v>0</v>
      </c>
      <c r="H17">
        <v>124</v>
      </c>
      <c r="I17">
        <v>20</v>
      </c>
      <c r="J17">
        <v>0.87344472800706907</v>
      </c>
      <c r="K17">
        <v>102</v>
      </c>
      <c r="L17" t="e">
        <v>#N/A</v>
      </c>
      <c r="M17" t="e">
        <v>#N/A</v>
      </c>
      <c r="N17" t="e">
        <v>#N/A</v>
      </c>
      <c r="Q17">
        <v>50</v>
      </c>
      <c r="R17">
        <f>[1]!MF_p_choke_atma(Q17,65,10,$B$1,0,,,0.13,Лист1!$B$11)</f>
        <v>109.125</v>
      </c>
      <c r="S17">
        <f>[1]!MF_p_pipeline_atma(Q17,65,$A$12:$B$14,R17,20,1,,Лист1!$B$11,$A$23:$B$25,1)</f>
        <v>364.64957922856553</v>
      </c>
    </row>
    <row r="18" spans="1:19" x14ac:dyDescent="0.3">
      <c r="A18">
        <v>0</v>
      </c>
      <c r="B18">
        <v>20</v>
      </c>
      <c r="E18">
        <v>2</v>
      </c>
      <c r="F18">
        <v>198.65473684210528</v>
      </c>
      <c r="G18">
        <v>180.70833626633856</v>
      </c>
      <c r="H18">
        <v>138.35429708661982</v>
      </c>
      <c r="I18">
        <v>20</v>
      </c>
      <c r="J18">
        <v>0.90016077616379619</v>
      </c>
      <c r="K18">
        <v>102</v>
      </c>
      <c r="L18" t="e">
        <v>#N/A</v>
      </c>
      <c r="M18" t="e">
        <v>#N/A</v>
      </c>
      <c r="N18" t="e">
        <v>#N/A</v>
      </c>
      <c r="Q18">
        <v>75</v>
      </c>
      <c r="R18">
        <f>[1]!MF_p_choke_atma(Q18,65,10,$B$1,0,,,0.13,Лист1!$B$11)</f>
        <v>153.75</v>
      </c>
      <c r="S18">
        <f>[1]!MF_p_pipeline_atma(Q18,65,$A$12:$B$14,R18,20,1,,Лист1!$B$11,$A$23:$B$25,1)</f>
        <v>412.6620662044013</v>
      </c>
    </row>
    <row r="19" spans="1:19" x14ac:dyDescent="0.3">
      <c r="A19">
        <f>A14</f>
        <v>3774.44</v>
      </c>
      <c r="B19">
        <v>95.3</v>
      </c>
      <c r="E19">
        <v>3</v>
      </c>
      <c r="F19">
        <v>397.30947368421056</v>
      </c>
      <c r="G19">
        <v>361.41667253267713</v>
      </c>
      <c r="H19">
        <v>153.00273938924605</v>
      </c>
      <c r="I19">
        <v>20</v>
      </c>
      <c r="J19">
        <v>0.92400272257763361</v>
      </c>
      <c r="K19">
        <v>102</v>
      </c>
      <c r="L19" t="e">
        <v>#N/A</v>
      </c>
      <c r="M19" t="e">
        <v>#N/A</v>
      </c>
      <c r="N19" t="e">
        <v>#N/A</v>
      </c>
      <c r="Q19">
        <v>100</v>
      </c>
      <c r="R19">
        <f>[1]!MF_p_choke_atma(Q19,65,10,$B$1,0,,,0.13,Лист1!$B$11)</f>
        <v>188.75</v>
      </c>
      <c r="S19">
        <f>[1]!MF_p_pipeline_atma(Q19,65,$A$12:$B$14,R19,20,1,,Лист1!$B$11,$A$23:$B$25,1)</f>
        <v>449.42124407513046</v>
      </c>
    </row>
    <row r="20" spans="1:19" x14ac:dyDescent="0.3">
      <c r="E20">
        <v>4</v>
      </c>
      <c r="F20">
        <v>595.96421052631581</v>
      </c>
      <c r="G20">
        <v>542.12500879901563</v>
      </c>
      <c r="H20">
        <v>167.89424774853646</v>
      </c>
      <c r="I20">
        <v>20</v>
      </c>
      <c r="J20">
        <v>0.94513552326965533</v>
      </c>
      <c r="K20">
        <v>102</v>
      </c>
      <c r="L20" t="e">
        <v>#N/A</v>
      </c>
      <c r="M20" t="e">
        <v>#N/A</v>
      </c>
      <c r="N20" t="e">
        <v>#N/A</v>
      </c>
      <c r="Q20">
        <v>125</v>
      </c>
      <c r="R20">
        <f>[1]!MF_p_choke_atma(Q20,65,10,$B$1,0,,,0.13,Лист1!$B$11)</f>
        <v>213.75</v>
      </c>
      <c r="S20">
        <f>[1]!MF_p_pipeline_atma(Q20,65,$A$12:$B$14,R20,20,1,,Лист1!$B$11,$A$23:$B$25,1)</f>
        <v>475.31796552078004</v>
      </c>
    </row>
    <row r="21" spans="1:19" x14ac:dyDescent="0.3">
      <c r="E21">
        <v>5</v>
      </c>
      <c r="F21">
        <v>794.61894736842112</v>
      </c>
      <c r="G21">
        <v>722.83334506535425</v>
      </c>
      <c r="H21">
        <v>182.98033702080153</v>
      </c>
      <c r="I21">
        <v>20</v>
      </c>
      <c r="J21">
        <v>0.96351409347887729</v>
      </c>
      <c r="K21">
        <v>102</v>
      </c>
      <c r="L21" t="e">
        <v>#N/A</v>
      </c>
      <c r="M21" t="e">
        <v>#N/A</v>
      </c>
      <c r="N21" t="e">
        <v>#N/A</v>
      </c>
      <c r="Q21">
        <v>150</v>
      </c>
      <c r="R21">
        <f>[1]!MF_p_choke_atma(Q21,65,10,$B$1,0,,,0.13,Лист1!$B$11)</f>
        <v>222.4320240020752</v>
      </c>
      <c r="S21">
        <f>[1]!MF_p_pipeline_atma(Q21,65,$A$12:$B$14,R21,20,1,,Лист1!$B$11,$A$23:$B$25,1)</f>
        <v>484.39482134076286</v>
      </c>
    </row>
    <row r="22" spans="1:19" x14ac:dyDescent="0.3">
      <c r="A22" t="s">
        <v>25</v>
      </c>
      <c r="E22">
        <v>6</v>
      </c>
      <c r="F22">
        <v>993.27368421052643</v>
      </c>
      <c r="G22">
        <v>903.54168133169287</v>
      </c>
      <c r="H22">
        <v>198.21343242687919</v>
      </c>
      <c r="I22">
        <v>20</v>
      </c>
      <c r="J22">
        <v>0.97912698825585354</v>
      </c>
      <c r="K22">
        <v>102</v>
      </c>
      <c r="L22" t="e">
        <v>#N/A</v>
      </c>
      <c r="M22" t="e">
        <v>#N/A</v>
      </c>
      <c r="N22" t="e">
        <v>#N/A</v>
      </c>
      <c r="Q22">
        <v>175</v>
      </c>
      <c r="R22">
        <f>[1]!MF_p_choke_atma(Q22,65,10,$B$1,0,,,0.13,Лист1!$B$11)</f>
        <v>296</v>
      </c>
      <c r="S22">
        <f>[1]!MF_p_pipeline_atma(Q22,65,$A$12:$B$14,R22,20,1,,Лист1!$B$11,$A$23:$B$25,1)</f>
        <v>559.5611438775295</v>
      </c>
    </row>
    <row r="23" spans="1:19" x14ac:dyDescent="0.3">
      <c r="A23">
        <v>0</v>
      </c>
      <c r="B23">
        <f>[2]Режим!$K$20-6*2</f>
        <v>77</v>
      </c>
      <c r="E23">
        <v>7</v>
      </c>
      <c r="F23">
        <v>1191.9284210526316</v>
      </c>
      <c r="G23">
        <v>1084.2500175980313</v>
      </c>
      <c r="H23">
        <v>213.54975731732574</v>
      </c>
      <c r="I23">
        <v>20</v>
      </c>
      <c r="J23">
        <v>0.99230207258872871</v>
      </c>
      <c r="K23">
        <v>102</v>
      </c>
      <c r="L23" t="e">
        <v>#N/A</v>
      </c>
      <c r="M23" t="e">
        <v>#N/A</v>
      </c>
      <c r="N23" t="e">
        <v>#N/A</v>
      </c>
      <c r="Q23">
        <v>200</v>
      </c>
      <c r="R23">
        <f>[1]!MF_p_choke_atma(Q23,65,10,$B$1,0,,,0.13,Лист1!$B$11)</f>
        <v>384</v>
      </c>
      <c r="S23">
        <f>[1]!MF_p_pipeline_atma(Q23,65,$A$12:$B$14,R23,20,1,,Лист1!$B$11,$A$23:$B$25,1)</f>
        <v>649.35314753247826</v>
      </c>
    </row>
    <row r="24" spans="1:19" x14ac:dyDescent="0.3">
      <c r="A24">
        <f>[2]Режим!$U$20</f>
        <v>2607.0500000000002</v>
      </c>
      <c r="B24">
        <f>160</f>
        <v>160</v>
      </c>
      <c r="E24">
        <v>8</v>
      </c>
      <c r="F24">
        <v>1390.583157894737</v>
      </c>
      <c r="G24">
        <v>1264.9583538643701</v>
      </c>
      <c r="H24">
        <v>228.95453754193159</v>
      </c>
      <c r="I24">
        <v>20</v>
      </c>
      <c r="J24">
        <v>0.99981854377086388</v>
      </c>
      <c r="K24">
        <v>100</v>
      </c>
      <c r="L24" t="e">
        <v>#N/A</v>
      </c>
      <c r="M24" t="e">
        <v>#N/A</v>
      </c>
      <c r="N24" t="e">
        <v>#N/A</v>
      </c>
      <c r="Q24">
        <v>225</v>
      </c>
      <c r="R24">
        <f>[1]!MF_p_choke_atma(Q24,65,10,$B$1,0,,,0.13,Лист1!$B$11)</f>
        <v>482</v>
      </c>
      <c r="S24">
        <f>[1]!MF_p_pipeline_atma(Q24,65,$A$12:$B$14,R24,20,1,,Лист1!$B$11,$A$23:$B$25,1)</f>
        <v>749.37620828552269</v>
      </c>
    </row>
    <row r="25" spans="1:19" x14ac:dyDescent="0.3">
      <c r="A25">
        <v>3774.44</v>
      </c>
      <c r="B25">
        <v>160</v>
      </c>
      <c r="E25">
        <v>9</v>
      </c>
      <c r="F25">
        <v>1589.2378947368422</v>
      </c>
      <c r="G25">
        <v>1445.6666901307085</v>
      </c>
      <c r="H25">
        <v>244.39298828979437</v>
      </c>
      <c r="I25">
        <v>20</v>
      </c>
      <c r="J25">
        <v>1</v>
      </c>
      <c r="K25">
        <v>100</v>
      </c>
      <c r="L25" t="e">
        <v>#N/A</v>
      </c>
      <c r="M25" t="e">
        <v>#N/A</v>
      </c>
      <c r="N25" t="e">
        <v>#N/A</v>
      </c>
      <c r="Q25">
        <v>250</v>
      </c>
      <c r="R25">
        <f>[1]!MF_p_choke_atma(Q25,65,10,$B$1,0,,,0.13,Лист1!$B$11)</f>
        <v>590</v>
      </c>
      <c r="S25">
        <f>[1]!MF_p_pipeline_atma(Q25,65,$A$12:$B$14,R25,20,1,,Лист1!$B$11,$A$23:$B$25,1)</f>
        <v>859.7454920347468</v>
      </c>
    </row>
    <row r="26" spans="1:19" x14ac:dyDescent="0.3">
      <c r="E26">
        <v>10</v>
      </c>
      <c r="F26">
        <v>1787.8926315789474</v>
      </c>
      <c r="G26">
        <v>1626.3750263970469</v>
      </c>
      <c r="H26">
        <v>259.85526301349415</v>
      </c>
      <c r="I26">
        <v>20</v>
      </c>
      <c r="J26">
        <v>1</v>
      </c>
      <c r="K26">
        <v>100</v>
      </c>
      <c r="L26" t="e">
        <v>#N/A</v>
      </c>
      <c r="M26" t="e">
        <v>#N/A</v>
      </c>
      <c r="N26" t="e">
        <v>#N/A</v>
      </c>
      <c r="Q26">
        <v>275</v>
      </c>
      <c r="R26">
        <f>[1]!MF_p_choke_atma(Q26,65,10,$B$1,0,,,0.13,Лист1!$B$11)</f>
        <v>710</v>
      </c>
      <c r="S26">
        <f>[1]!MF_p_pipeline_atma(Q26,65,$A$12:$B$14,R26,20,1,,Лист1!$B$11,$A$23:$B$25,1)</f>
        <v>982.62318132124528</v>
      </c>
    </row>
    <row r="27" spans="1:19" x14ac:dyDescent="0.3">
      <c r="E27">
        <v>11</v>
      </c>
      <c r="F27">
        <v>1986.5473684210529</v>
      </c>
      <c r="G27">
        <v>1807.0833626633857</v>
      </c>
      <c r="H27">
        <v>275.33963159730638</v>
      </c>
      <c r="I27">
        <v>20</v>
      </c>
      <c r="J27">
        <v>1</v>
      </c>
      <c r="K27">
        <v>100</v>
      </c>
      <c r="L27" t="e">
        <v>#N/A</v>
      </c>
      <c r="M27" t="e">
        <v>#N/A</v>
      </c>
      <c r="N27" t="e">
        <v>#N/A</v>
      </c>
      <c r="Q27">
        <v>300</v>
      </c>
      <c r="R27">
        <f>[1]!MF_p_choke_atma(Q27,65,10,$B$1,0,,,0.13,Лист1!$B$11)</f>
        <v>838</v>
      </c>
      <c r="S27">
        <f>[1]!MF_p_pipeline_atma(Q27,65,$A$12:$B$14,R27,20,1,,Лист1!$B$11,$A$23:$B$25,1)</f>
        <v>1114.057247456137</v>
      </c>
    </row>
    <row r="28" spans="1:19" x14ac:dyDescent="0.3">
      <c r="E28">
        <v>12</v>
      </c>
      <c r="F28">
        <v>2185.202105263158</v>
      </c>
      <c r="G28">
        <v>1987.7916989297241</v>
      </c>
      <c r="H28">
        <v>290.84472948816546</v>
      </c>
      <c r="I28">
        <v>20</v>
      </c>
      <c r="J28">
        <v>1</v>
      </c>
      <c r="K28">
        <v>100</v>
      </c>
      <c r="L28" t="e">
        <v>#N/A</v>
      </c>
      <c r="M28" t="e">
        <v>#N/A</v>
      </c>
      <c r="N28" t="e">
        <v>#N/A</v>
      </c>
      <c r="Q28">
        <v>325</v>
      </c>
      <c r="R28">
        <f>[1]!MF_p_choke_atma(Q28,65,10,$B$1,0,,,0.13,Лист1!$B$11)</f>
        <v>976</v>
      </c>
      <c r="S28">
        <f>[1]!MF_p_pipeline_atma(Q28,65,$A$12:$B$14,R28,20,1,,Лист1!$B$11,$A$23:$B$25,1)</f>
        <v>1256.2412205667272</v>
      </c>
    </row>
    <row r="29" spans="1:19" x14ac:dyDescent="0.3">
      <c r="E29">
        <v>13</v>
      </c>
      <c r="F29">
        <v>2383.8568421052632</v>
      </c>
      <c r="G29">
        <v>2168.5000351960625</v>
      </c>
      <c r="H29">
        <v>306.36944152028968</v>
      </c>
      <c r="I29">
        <v>20</v>
      </c>
      <c r="J29">
        <v>1</v>
      </c>
      <c r="K29">
        <v>100</v>
      </c>
      <c r="L29" t="e">
        <v>#N/A</v>
      </c>
      <c r="M29" t="e">
        <v>#N/A</v>
      </c>
      <c r="N29" t="e">
        <v>#N/A</v>
      </c>
      <c r="Q29">
        <v>350</v>
      </c>
      <c r="R29">
        <f>[1]!MF_p_choke_atma(Q29,65,10,$B$1,0,,,0.13,Лист1!$B$11)</f>
        <v>1120</v>
      </c>
      <c r="S29">
        <f>[1]!MF_p_pipeline_atma(Q29,65,$A$12:$B$14,R29,20,1,,Лист1!$B$11,$A$23:$B$25,1)</f>
        <v>1405.2299517311308</v>
      </c>
    </row>
    <row r="30" spans="1:19" x14ac:dyDescent="0.3">
      <c r="E30">
        <v>14</v>
      </c>
      <c r="F30">
        <v>2582.5115789473684</v>
      </c>
      <c r="G30">
        <v>2349.2083714624014</v>
      </c>
      <c r="H30">
        <v>321.91285539125869</v>
      </c>
      <c r="I30">
        <v>20</v>
      </c>
      <c r="J30">
        <v>1</v>
      </c>
      <c r="K30">
        <v>100</v>
      </c>
      <c r="L30" t="e">
        <v>#N/A</v>
      </c>
      <c r="M30" t="e">
        <v>#N/A</v>
      </c>
      <c r="N30" t="e">
        <v>#N/A</v>
      </c>
      <c r="Q30">
        <v>375</v>
      </c>
      <c r="R30">
        <f>[1]!MF_p_choke_atma(Q30,65,10,$B$1,0,,,0.13,Лист1!$B$11)</f>
        <v>1268</v>
      </c>
      <c r="S30">
        <f>[1]!MF_p_pipeline_atma(Q30,65,$A$12:$B$14,R30,20,1,,Лист1!$B$11,$A$23:$B$25,1)</f>
        <v>1559.1206667804647</v>
      </c>
    </row>
    <row r="31" spans="1:19" x14ac:dyDescent="0.3">
      <c r="E31">
        <v>15</v>
      </c>
      <c r="F31">
        <v>2781.1663157894741</v>
      </c>
      <c r="G31">
        <v>2469.8661414464386</v>
      </c>
      <c r="H31">
        <v>332.37689474496972</v>
      </c>
      <c r="I31">
        <v>20</v>
      </c>
      <c r="J31">
        <v>1</v>
      </c>
      <c r="K31">
        <v>100</v>
      </c>
      <c r="L31" t="e">
        <v>#N/A</v>
      </c>
      <c r="M31" t="e">
        <v>#N/A</v>
      </c>
      <c r="N31" t="e">
        <v>#N/A</v>
      </c>
      <c r="Q31">
        <v>400</v>
      </c>
      <c r="R31">
        <f>[1]!MF_p_choke_atma(Q31,65,10,$B$1,0,,,0.13,Лист1!$B$11)</f>
        <v>1424</v>
      </c>
      <c r="S31">
        <f>[1]!MF_p_pipeline_atma(Q31,65,$A$12:$B$14,R31,20,1,,Лист1!$B$11,$A$23:$B$25,1)</f>
        <v>1722.2808693263557</v>
      </c>
    </row>
    <row r="32" spans="1:19" x14ac:dyDescent="0.3">
      <c r="E32">
        <v>16</v>
      </c>
      <c r="F32">
        <v>2979.8210526315793</v>
      </c>
      <c r="G32">
        <v>2582.0609131571514</v>
      </c>
      <c r="H32">
        <v>342.03736025714761</v>
      </c>
      <c r="I32">
        <v>20</v>
      </c>
      <c r="J32">
        <v>1</v>
      </c>
      <c r="K32">
        <v>100</v>
      </c>
      <c r="L32" t="e">
        <v>#N/A</v>
      </c>
      <c r="M32" t="e">
        <v>#N/A</v>
      </c>
      <c r="N32" t="e">
        <v>#N/A</v>
      </c>
      <c r="Q32">
        <v>425</v>
      </c>
      <c r="R32">
        <f>[1]!MF_p_choke_atma(Q32,65,10,$B$1,0,,,0.13,Лист1!$B$11)</f>
        <v>1584</v>
      </c>
      <c r="S32">
        <f>[1]!MF_p_pipeline_atma(Q32,65,$A$12:$B$14,R32,20,1,,Лист1!$B$11,$A$23:$B$25,1)</f>
        <v>1890.8285981132517</v>
      </c>
    </row>
    <row r="33" spans="17:19" x14ac:dyDescent="0.3">
      <c r="Q33">
        <v>450</v>
      </c>
      <c r="R33">
        <f>[1]!MF_p_choke_atma(Q33,65,10,$B$1,0,,,0.13,Лист1!$B$11)</f>
        <v>1744</v>
      </c>
      <c r="S33">
        <f>[1]!MF_p_pipeline_atma(Q33,65,$A$12:$B$14,R33,20,1,,Лист1!$B$11,$A$23:$B$25,1)</f>
        <v>2060.8451820115156</v>
      </c>
    </row>
    <row r="34" spans="17:19" x14ac:dyDescent="0.3">
      <c r="Q34">
        <v>475</v>
      </c>
      <c r="R34">
        <f>[1]!MF_p_choke_atma(Q34,65,10,$B$1,0,,,0.13,Лист1!$B$11)</f>
        <v>1908</v>
      </c>
      <c r="S34">
        <f>[1]!MF_p_pipeline_atma(Q34,65,$A$12:$B$14,R34,20,1,,Лист1!$B$11,$A$23:$B$25,1)</f>
        <v>2236.9510698994982</v>
      </c>
    </row>
    <row r="35" spans="17:19" x14ac:dyDescent="0.3">
      <c r="Q35">
        <v>500</v>
      </c>
      <c r="R35">
        <f>[1]!MF_p_choke_atma(Q35,65,10,$B$1,0,,,0.13,Лист1!$B$11)</f>
        <v>2072</v>
      </c>
      <c r="S35">
        <f>[1]!MF_p_pipeline_atma(Q35,65,$A$12:$B$14,R35,20,1,,Лист1!$B$11,$A$23:$B$25,1)</f>
        <v>2415.3955712945981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Миша Миша</dc:creator>
  <cp:lastModifiedBy>Миша Миша</cp:lastModifiedBy>
  <dcterms:created xsi:type="dcterms:W3CDTF">2021-03-04T15:30:38Z</dcterms:created>
  <dcterms:modified xsi:type="dcterms:W3CDTF">2021-03-04T17:24:20Z</dcterms:modified>
</cp:coreProperties>
</file>