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eva\OneDrive - Peter the Great St. Petersburg Polytechnical University\Курс НТЦ\Многофазка\4 неделя\"/>
    </mc:Choice>
  </mc:AlternateContent>
  <xr:revisionPtr revIDLastSave="3144" documentId="8_{B4FB0867-5FB4-4E06-8ADB-5F44DEB91E43}" xr6:coauthVersionLast="45" xr6:coauthVersionMax="45" xr10:uidLastSave="{E0CC3149-CE34-44CA-AEF8-07A87F44357C}"/>
  <bookViews>
    <workbookView xWindow="-110" yWindow="-110" windowWidth="38620" windowHeight="21220" firstSheet="1" activeTab="1" xr2:uid="{69206327-0105-43D9-9C1E-181CF5091739}"/>
  </bookViews>
  <sheets>
    <sheet name="Задание 1" sheetId="1" r:id="rId1"/>
    <sheet name="Задание 2" sheetId="2" r:id="rId2"/>
  </sheets>
  <externalReferences>
    <externalReference r:id="rId3"/>
  </externalReferences>
  <definedNames>
    <definedName name="solver_adj" localSheetId="1" hidden="1">'Задание 2'!$B$96:$C$97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'Задание 2'!$B$84</definedName>
    <definedName name="solver_lhs2" localSheetId="1" hidden="1">'Задание 2'!$B$85:$B$86</definedName>
    <definedName name="solver_lhs3" localSheetId="1" hidden="1">'Задание 2'!$B$85:$B$86</definedName>
    <definedName name="solver_lhs4" localSheetId="1" hidden="1">'Задание 2'!$B$87</definedName>
    <definedName name="solver_lhs5" localSheetId="1" hidden="1">'Задание 2'!$B$88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'Задание 2'!$B$102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el4" localSheetId="1" hidden="1">2</definedName>
    <definedName name="solver_rel5" localSheetId="1" hidden="1">2</definedName>
    <definedName name="solver_rhs1" localSheetId="1" hidden="1">'Задание 2'!$D$84</definedName>
    <definedName name="solver_rhs2" localSheetId="1" hidden="1">'Задание 2'!$D$85:$D$86</definedName>
    <definedName name="solver_rhs3" localSheetId="1" hidden="1">'Задание 2'!$C$85:$C$86</definedName>
    <definedName name="solver_rhs4" localSheetId="1" hidden="1">'Задание 2'!$C$87</definedName>
    <definedName name="solver_rhs5" localSheetId="1" hidden="1">'Задание 2'!$C$88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Газовый_фактор">'Задание 1'!$B$7</definedName>
    <definedName name="Газодержание">'Задание 1'!$B$8</definedName>
    <definedName name="Геотермический_град">'Задание 1'!$B$12</definedName>
    <definedName name="Давление_насыщения">'Задание 1'!$B$9</definedName>
    <definedName name="Давление_УПН">'Задание 1'!$B$3</definedName>
    <definedName name="Плотность_воды">'Задание 1'!$B$6</definedName>
    <definedName name="Плотность_газа">'Задание 1'!$B$5</definedName>
    <definedName name="Плотность_нефти">'Задание 1'!$B$4</definedName>
    <definedName name="Температура_пластовая">'Задание 1'!$B$10</definedName>
    <definedName name="Тпласт">'Задание 1'!$B$11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2" l="1" a="1"/>
  <c r="B40" i="2" l="1"/>
  <c r="C84" i="2"/>
  <c r="D88" i="2"/>
  <c r="D87" i="2"/>
  <c r="B27" i="2" a="1"/>
  <c r="B27" i="2" l="1"/>
  <c r="D86" i="2" l="1"/>
  <c r="D85" i="2"/>
  <c r="B102" i="2"/>
  <c r="F102" i="2" s="1"/>
  <c r="H5" i="2"/>
  <c r="C24" i="2" s="1"/>
  <c r="F5" i="2"/>
  <c r="B24" i="2" s="1"/>
  <c r="B46" i="2" a="1"/>
  <c r="B46" i="2" l="1"/>
  <c r="C29" i="2" l="1"/>
  <c r="B29" i="2"/>
  <c r="C12" i="2"/>
  <c r="B12" i="2"/>
  <c r="C27" i="2" a="1"/>
  <c r="B44" i="2" a="1"/>
  <c r="C27" i="2" l="1"/>
  <c r="B44" i="2"/>
  <c r="C6" i="2"/>
  <c r="B6" i="2"/>
  <c r="C7" i="2"/>
  <c r="B7" i="2"/>
  <c r="I6" i="2" l="1"/>
  <c r="I5" i="2" s="1"/>
  <c r="G6" i="2"/>
  <c r="G5" i="2" s="1"/>
  <c r="C2" i="2"/>
  <c r="C8" i="2" s="1"/>
  <c r="B2" i="2"/>
  <c r="B8" i="2" s="1"/>
  <c r="B50" i="2" a="1"/>
  <c r="X50" i="2" a="1"/>
  <c r="X50" i="2" l="1"/>
  <c r="X74" i="2"/>
  <c r="B74" i="2"/>
  <c r="B50" i="2"/>
  <c r="B4" i="2"/>
  <c r="B9" i="2" s="1"/>
  <c r="C4" i="2"/>
  <c r="C9" i="2" s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155" i="1"/>
  <c r="R27" i="1"/>
  <c r="O27" i="1"/>
  <c r="L27" i="1"/>
  <c r="I27" i="1"/>
  <c r="R4" i="1"/>
  <c r="R5" i="1"/>
  <c r="R6" i="1"/>
  <c r="L4" i="1"/>
  <c r="L5" i="1"/>
  <c r="L6" i="1"/>
  <c r="C37" i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U26" i="1"/>
  <c r="R26" i="1"/>
  <c r="O26" i="1"/>
  <c r="L26" i="1"/>
  <c r="K27" i="1"/>
  <c r="N27" i="1"/>
  <c r="Q27" i="1"/>
  <c r="T27" i="1"/>
  <c r="I26" i="1"/>
  <c r="H27" i="1"/>
  <c r="B6" i="1"/>
  <c r="B4" i="1"/>
  <c r="B45" i="2" a="1"/>
  <c r="D37" i="1" a="1"/>
  <c r="D40" i="1" a="1"/>
  <c r="F53" i="1" a="1"/>
  <c r="E50" i="1" a="1"/>
  <c r="E37" i="1" a="1"/>
  <c r="D43" i="1" a="1"/>
  <c r="G51" i="1" a="1"/>
  <c r="E49" i="1" a="1"/>
  <c r="E55" i="1" a="1"/>
  <c r="G56" i="1" a="1"/>
  <c r="F38" i="1" a="1"/>
  <c r="E36" i="1" a="1"/>
  <c r="F50" i="1" a="1"/>
  <c r="E45" i="1" a="1"/>
  <c r="F48" i="1" a="1"/>
  <c r="F49" i="1" a="1"/>
  <c r="F45" i="1" a="1"/>
  <c r="D56" i="1" a="1"/>
  <c r="B43" i="2" a="1"/>
  <c r="D46" i="1" a="1"/>
  <c r="E41" i="1" a="1"/>
  <c r="G37" i="1" a="1"/>
  <c r="E48" i="1" a="1"/>
  <c r="E42" i="1" a="1"/>
  <c r="F37" i="1" a="1"/>
  <c r="G45" i="1" a="1"/>
  <c r="D47" i="1" a="1"/>
  <c r="G44" i="1" a="1"/>
  <c r="D55" i="1" a="1"/>
  <c r="D36" i="1" a="1"/>
  <c r="E46" i="1" a="1"/>
  <c r="D41" i="1" a="1"/>
  <c r="F46" i="1" a="1"/>
  <c r="G47" i="1" a="1"/>
  <c r="E54" i="1" a="1"/>
  <c r="G50" i="1" a="1"/>
  <c r="D49" i="1" a="1"/>
  <c r="E38" i="1" a="1"/>
  <c r="D51" i="1" a="1"/>
  <c r="F56" i="1" a="1"/>
  <c r="E47" i="1" a="1"/>
  <c r="F40" i="1" a="1"/>
  <c r="D42" i="1" a="1"/>
  <c r="D44" i="1" a="1"/>
  <c r="E39" i="1" a="1"/>
  <c r="F51" i="1" a="1"/>
  <c r="F42" i="1" a="1"/>
  <c r="G43" i="1" a="1"/>
  <c r="G53" i="1" a="1"/>
  <c r="D38" i="1" a="1"/>
  <c r="E56" i="1" a="1"/>
  <c r="G52" i="1" a="1"/>
  <c r="G36" i="1" a="1"/>
  <c r="D52" i="1" a="1"/>
  <c r="F12" i="1" a="1"/>
  <c r="G38" i="1" a="1"/>
  <c r="E43" i="1" a="1"/>
  <c r="D45" i="1" a="1"/>
  <c r="F44" i="1" a="1"/>
  <c r="E44" i="1" a="1"/>
  <c r="D54" i="1" a="1"/>
  <c r="D39" i="1" a="1"/>
  <c r="G46" i="1" a="1"/>
  <c r="F55" i="1" a="1"/>
  <c r="F39" i="1" a="1"/>
  <c r="G39" i="1" a="1"/>
  <c r="F52" i="1" a="1"/>
  <c r="G55" i="1" a="1"/>
  <c r="G40" i="1" a="1"/>
  <c r="G48" i="1" a="1"/>
  <c r="G54" i="1" a="1"/>
  <c r="E40" i="1" a="1"/>
  <c r="G41" i="1" a="1"/>
  <c r="D48" i="1" a="1"/>
  <c r="D53" i="1" a="1"/>
  <c r="E52" i="1" a="1"/>
  <c r="F47" i="1" a="1"/>
  <c r="F36" i="1" a="1"/>
  <c r="E53" i="1" a="1"/>
  <c r="F54" i="1" a="1"/>
  <c r="F41" i="1" a="1"/>
  <c r="G42" i="1" a="1"/>
  <c r="G49" i="1" a="1"/>
  <c r="F43" i="1" a="1"/>
  <c r="E51" i="1" a="1"/>
  <c r="D50" i="1" a="1"/>
  <c r="B43" i="2" l="1"/>
  <c r="B45" i="2"/>
  <c r="G53" i="1"/>
  <c r="G47" i="1"/>
  <c r="G43" i="1"/>
  <c r="G40" i="1"/>
  <c r="G37" i="1"/>
  <c r="G52" i="1"/>
  <c r="G48" i="1"/>
  <c r="G45" i="1"/>
  <c r="G42" i="1"/>
  <c r="G41" i="1"/>
  <c r="G39" i="1"/>
  <c r="G38" i="1"/>
  <c r="G55" i="1"/>
  <c r="G46" i="1"/>
  <c r="F55" i="1"/>
  <c r="F53" i="1"/>
  <c r="F51" i="1"/>
  <c r="F49" i="1"/>
  <c r="F47" i="1"/>
  <c r="F46" i="1"/>
  <c r="F45" i="1"/>
  <c r="F43" i="1"/>
  <c r="F42" i="1"/>
  <c r="F41" i="1"/>
  <c r="F40" i="1"/>
  <c r="F39" i="1"/>
  <c r="F38" i="1"/>
  <c r="F37" i="1"/>
  <c r="G50" i="1"/>
  <c r="G44" i="1"/>
  <c r="F56" i="1"/>
  <c r="F54" i="1"/>
  <c r="F52" i="1"/>
  <c r="F50" i="1"/>
  <c r="F48" i="1"/>
  <c r="F44" i="1"/>
  <c r="G54" i="1"/>
  <c r="G49" i="1"/>
  <c r="E55" i="1"/>
  <c r="E54" i="1"/>
  <c r="E52" i="1"/>
  <c r="E51" i="1"/>
  <c r="E49" i="1"/>
  <c r="E48" i="1"/>
  <c r="E47" i="1"/>
  <c r="E46" i="1"/>
  <c r="E45" i="1"/>
  <c r="E43" i="1"/>
  <c r="E42" i="1"/>
  <c r="E41" i="1"/>
  <c r="E40" i="1"/>
  <c r="E39" i="1"/>
  <c r="E38" i="1"/>
  <c r="E37" i="1"/>
  <c r="G56" i="1"/>
  <c r="G51" i="1"/>
  <c r="E56" i="1"/>
  <c r="E53" i="1"/>
  <c r="E50" i="1"/>
  <c r="E44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G36" i="1"/>
  <c r="F36" i="1"/>
  <c r="E36" i="1"/>
  <c r="D36" i="1"/>
  <c r="F12" i="1"/>
  <c r="M50" i="2" a="1"/>
  <c r="I40" i="1"/>
  <c r="I52" i="1"/>
  <c r="K37" i="1"/>
  <c r="J40" i="1"/>
  <c r="L40" i="1"/>
  <c r="L54" i="1"/>
  <c r="K38" i="1"/>
  <c r="L42" i="1"/>
  <c r="L47" i="1"/>
  <c r="K52" i="1"/>
  <c r="K39" i="1"/>
  <c r="I45" i="1"/>
  <c r="J56" i="1"/>
  <c r="J43" i="1"/>
  <c r="J44" i="1"/>
  <c r="J48" i="1"/>
  <c r="K48" i="1"/>
  <c r="I44" i="1"/>
  <c r="L49" i="1"/>
  <c r="K50" i="1"/>
  <c r="K44" i="1"/>
  <c r="L55" i="1"/>
  <c r="J50" i="1"/>
  <c r="K56" i="1"/>
  <c r="I43" i="1"/>
  <c r="I42" i="1"/>
  <c r="K54" i="1"/>
  <c r="L36" i="1"/>
  <c r="K40" i="1"/>
  <c r="L56" i="1"/>
  <c r="E70" i="1"/>
  <c r="L50" i="1"/>
  <c r="J38" i="1"/>
  <c r="K41" i="1"/>
  <c r="I37" i="1"/>
  <c r="I53" i="1"/>
  <c r="I39" i="1"/>
  <c r="I46" i="1"/>
  <c r="K42" i="1"/>
  <c r="J42" i="1"/>
  <c r="D68" i="1" s="1"/>
  <c r="K49" i="1"/>
  <c r="L37" i="1"/>
  <c r="K45" i="1"/>
  <c r="I51" i="1"/>
  <c r="I54" i="1"/>
  <c r="I49" i="1"/>
  <c r="L39" i="1"/>
  <c r="L38" i="1"/>
  <c r="K46" i="1"/>
  <c r="L43" i="1"/>
  <c r="K43" i="1"/>
  <c r="J36" i="1"/>
  <c r="J47" i="1"/>
  <c r="L46" i="1"/>
  <c r="J55" i="1"/>
  <c r="D76" i="1"/>
  <c r="J51" i="1"/>
  <c r="L48" i="1"/>
  <c r="I48" i="1"/>
  <c r="J53" i="1"/>
  <c r="K53" i="1"/>
  <c r="J45" i="1"/>
  <c r="I38" i="1"/>
  <c r="L41" i="1"/>
  <c r="K36" i="1"/>
  <c r="E62" i="1" s="1"/>
  <c r="I55" i="1"/>
  <c r="L52" i="1"/>
  <c r="C72" i="1"/>
  <c r="I47" i="1"/>
  <c r="L44" i="1"/>
  <c r="I50" i="1"/>
  <c r="I41" i="1"/>
  <c r="K47" i="1"/>
  <c r="AK50" i="2" a="1"/>
  <c r="L53" i="1"/>
  <c r="J54" i="1"/>
  <c r="L51" i="1"/>
  <c r="J52" i="1"/>
  <c r="J41" i="1"/>
  <c r="J46" i="1"/>
  <c r="I36" i="1"/>
  <c r="L45" i="1"/>
  <c r="K51" i="1"/>
  <c r="I56" i="1"/>
  <c r="J49" i="1"/>
  <c r="J39" i="1"/>
  <c r="K55" i="1"/>
  <c r="J37" i="1"/>
  <c r="AK50" i="2" l="1"/>
  <c r="M50" i="2"/>
  <c r="X75" i="2"/>
  <c r="B75" i="2"/>
  <c r="E66" i="1"/>
  <c r="F73" i="1"/>
  <c r="C68" i="1"/>
  <c r="C82" i="1"/>
  <c r="E68" i="1"/>
  <c r="D70" i="1"/>
  <c r="E69" i="1"/>
  <c r="D80" i="1"/>
  <c r="D75" i="1"/>
  <c r="C66" i="1"/>
  <c r="C63" i="1"/>
  <c r="E80" i="1"/>
  <c r="D78" i="1"/>
  <c r="D63" i="1"/>
  <c r="C62" i="1"/>
  <c r="F75" i="1"/>
  <c r="E63" i="1"/>
  <c r="E72" i="1"/>
  <c r="C73" i="1"/>
  <c r="C81" i="1"/>
  <c r="C80" i="1"/>
  <c r="E81" i="1"/>
  <c r="F78" i="1"/>
  <c r="C64" i="1"/>
  <c r="C77" i="1"/>
  <c r="E74" i="1"/>
  <c r="F65" i="1"/>
  <c r="E71" i="1"/>
  <c r="D72" i="1"/>
  <c r="D81" i="1"/>
  <c r="F62" i="1"/>
  <c r="E73" i="1"/>
  <c r="C69" i="1"/>
  <c r="F70" i="1"/>
  <c r="F74" i="1"/>
  <c r="D77" i="1"/>
  <c r="F66" i="1"/>
  <c r="E77" i="1"/>
  <c r="D73" i="1"/>
  <c r="E75" i="1"/>
  <c r="E82" i="1"/>
  <c r="F79" i="1"/>
  <c r="F68" i="1"/>
  <c r="D71" i="1"/>
  <c r="F77" i="1"/>
  <c r="F64" i="1"/>
  <c r="D64" i="1"/>
  <c r="C76" i="1"/>
  <c r="C71" i="1"/>
  <c r="D67" i="1"/>
  <c r="E64" i="1"/>
  <c r="X77" i="2" a="1"/>
  <c r="C78" i="1"/>
  <c r="E76" i="1"/>
  <c r="F69" i="1"/>
  <c r="C65" i="1"/>
  <c r="C67" i="1"/>
  <c r="E67" i="1"/>
  <c r="D65" i="1"/>
  <c r="F72" i="1"/>
  <c r="E79" i="1"/>
  <c r="B77" i="2" a="1"/>
  <c r="F67" i="1"/>
  <c r="F80" i="1"/>
  <c r="C70" i="1"/>
  <c r="D79" i="1"/>
  <c r="F63" i="1"/>
  <c r="D74" i="1"/>
  <c r="E78" i="1"/>
  <c r="F71" i="1"/>
  <c r="E65" i="1"/>
  <c r="E139" i="1"/>
  <c r="E103" i="1"/>
  <c r="E123" i="1"/>
  <c r="E91" i="1"/>
  <c r="E133" i="1"/>
  <c r="E130" i="1"/>
  <c r="E125" i="1"/>
  <c r="C74" i="1"/>
  <c r="F76" i="1"/>
  <c r="D62" i="1"/>
  <c r="D82" i="1"/>
  <c r="D69" i="1"/>
  <c r="C79" i="1"/>
  <c r="F82" i="1"/>
  <c r="D66" i="1"/>
  <c r="C75" i="1"/>
  <c r="D131" i="1"/>
  <c r="F81" i="1"/>
  <c r="D140" i="1"/>
  <c r="C110" i="1"/>
  <c r="F125" i="1"/>
  <c r="F142" i="1"/>
  <c r="C94" i="1"/>
  <c r="C106" i="1"/>
  <c r="D108" i="1"/>
  <c r="D89" i="1"/>
  <c r="E128" i="1"/>
  <c r="E137" i="1"/>
  <c r="E122" i="1"/>
  <c r="E113" i="1"/>
  <c r="E108" i="1"/>
  <c r="D127" i="1"/>
  <c r="D107" i="1"/>
  <c r="D132" i="1"/>
  <c r="E116" i="1"/>
  <c r="E129" i="1"/>
  <c r="E101" i="1"/>
  <c r="C128" i="1"/>
  <c r="C114" i="1"/>
  <c r="C113" i="1"/>
  <c r="C123" i="1"/>
  <c r="C96" i="1"/>
  <c r="F95" i="1"/>
  <c r="F126" i="1"/>
  <c r="F150" i="1"/>
  <c r="F137" i="1"/>
  <c r="F94" i="1"/>
  <c r="F102" i="1"/>
  <c r="F93" i="1"/>
  <c r="F143" i="1"/>
  <c r="F148" i="1"/>
  <c r="C117" i="1"/>
  <c r="C120" i="1"/>
  <c r="C93" i="1"/>
  <c r="C90" i="1"/>
  <c r="C130" i="1"/>
  <c r="C122" i="1"/>
  <c r="C134" i="1"/>
  <c r="C115" i="1"/>
  <c r="E121" i="1"/>
  <c r="E88" i="1"/>
  <c r="E149" i="1"/>
  <c r="E90" i="1"/>
  <c r="E107" i="1"/>
  <c r="E104" i="1"/>
  <c r="E99" i="1"/>
  <c r="E135" i="1"/>
  <c r="E127" i="1"/>
  <c r="E145" i="1"/>
  <c r="C107" i="1"/>
  <c r="C150" i="1"/>
  <c r="C142" i="1"/>
  <c r="C124" i="1"/>
  <c r="C121" i="1"/>
  <c r="C144" i="1"/>
  <c r="C133" i="1"/>
  <c r="C112" i="1"/>
  <c r="F134" i="1"/>
  <c r="F108" i="1"/>
  <c r="F120" i="1"/>
  <c r="F92" i="1"/>
  <c r="F133" i="1"/>
  <c r="F110" i="1"/>
  <c r="F96" i="1"/>
  <c r="F121" i="1"/>
  <c r="F97" i="1"/>
  <c r="F149" i="1"/>
  <c r="F124" i="1"/>
  <c r="F117" i="1"/>
  <c r="F100" i="1"/>
  <c r="E94" i="1"/>
  <c r="E120" i="1"/>
  <c r="E97" i="1"/>
  <c r="E143" i="1"/>
  <c r="E106" i="1"/>
  <c r="E138" i="1"/>
  <c r="E126" i="1"/>
  <c r="E147" i="1"/>
  <c r="E93" i="1"/>
  <c r="E105" i="1"/>
  <c r="E150" i="1"/>
  <c r="E110" i="1"/>
  <c r="E141" i="1"/>
  <c r="E96" i="1"/>
  <c r="E136" i="1"/>
  <c r="E114" i="1"/>
  <c r="E95" i="1"/>
  <c r="E118" i="1"/>
  <c r="E102" i="1"/>
  <c r="E112" i="1"/>
  <c r="E131" i="1"/>
  <c r="E144" i="1"/>
  <c r="E115" i="1"/>
  <c r="E111" i="1"/>
  <c r="C99" i="1"/>
  <c r="C116" i="1"/>
  <c r="C103" i="1"/>
  <c r="C98" i="1"/>
  <c r="C135" i="1"/>
  <c r="C148" i="1"/>
  <c r="C109" i="1"/>
  <c r="C138" i="1"/>
  <c r="C140" i="1"/>
  <c r="C105" i="1"/>
  <c r="C132" i="1"/>
  <c r="C145" i="1"/>
  <c r="C131" i="1"/>
  <c r="C88" i="1"/>
  <c r="C97" i="1"/>
  <c r="C149" i="1"/>
  <c r="C95" i="1"/>
  <c r="C143" i="1"/>
  <c r="C89" i="1"/>
  <c r="C100" i="1"/>
  <c r="C139" i="1"/>
  <c r="C104" i="1"/>
  <c r="C125" i="1"/>
  <c r="C127" i="1"/>
  <c r="C101" i="1"/>
  <c r="C108" i="1"/>
  <c r="C137" i="1"/>
  <c r="C119" i="1"/>
  <c r="C91" i="1"/>
  <c r="C102" i="1"/>
  <c r="F139" i="1"/>
  <c r="F113" i="1"/>
  <c r="F101" i="1"/>
  <c r="F111" i="1"/>
  <c r="F132" i="1"/>
  <c r="F144" i="1"/>
  <c r="F103" i="1"/>
  <c r="F112" i="1"/>
  <c r="F119" i="1"/>
  <c r="F130" i="1"/>
  <c r="F141" i="1"/>
  <c r="F138" i="1"/>
  <c r="F136" i="1"/>
  <c r="F147" i="1"/>
  <c r="F99" i="1"/>
  <c r="F106" i="1"/>
  <c r="F115" i="1"/>
  <c r="F109" i="1"/>
  <c r="F145" i="1"/>
  <c r="F116" i="1"/>
  <c r="F131" i="1"/>
  <c r="F98" i="1"/>
  <c r="F90" i="1"/>
  <c r="F122" i="1"/>
  <c r="F89" i="1"/>
  <c r="F140" i="1"/>
  <c r="F114" i="1"/>
  <c r="F105" i="1"/>
  <c r="F129" i="1"/>
  <c r="F118" i="1"/>
  <c r="E146" i="1"/>
  <c r="E140" i="1"/>
  <c r="E109" i="1"/>
  <c r="E89" i="1"/>
  <c r="E132" i="1"/>
  <c r="E100" i="1"/>
  <c r="E148" i="1"/>
  <c r="E117" i="1"/>
  <c r="E142" i="1"/>
  <c r="E98" i="1"/>
  <c r="E92" i="1"/>
  <c r="E134" i="1"/>
  <c r="E124" i="1"/>
  <c r="E119" i="1"/>
  <c r="C141" i="1"/>
  <c r="C147" i="1"/>
  <c r="C146" i="1"/>
  <c r="C126" i="1"/>
  <c r="C136" i="1"/>
  <c r="C118" i="1"/>
  <c r="C129" i="1"/>
  <c r="C92" i="1"/>
  <c r="C111" i="1"/>
  <c r="F107" i="1"/>
  <c r="F123" i="1"/>
  <c r="F135" i="1"/>
  <c r="F128" i="1"/>
  <c r="F104" i="1"/>
  <c r="F88" i="1"/>
  <c r="F91" i="1"/>
  <c r="F127" i="1"/>
  <c r="F146" i="1"/>
  <c r="D136" i="1"/>
  <c r="D98" i="1"/>
  <c r="D99" i="1"/>
  <c r="D148" i="1"/>
  <c r="D90" i="1"/>
  <c r="D134" i="1"/>
  <c r="D118" i="1"/>
  <c r="D120" i="1"/>
  <c r="D116" i="1"/>
  <c r="D146" i="1"/>
  <c r="D103" i="1"/>
  <c r="D123" i="1"/>
  <c r="D100" i="1"/>
  <c r="D112" i="1"/>
  <c r="D143" i="1"/>
  <c r="D104" i="1"/>
  <c r="D145" i="1"/>
  <c r="D97" i="1"/>
  <c r="D96" i="1"/>
  <c r="D139" i="1"/>
  <c r="D88" i="1"/>
  <c r="D101" i="1"/>
  <c r="D142" i="1"/>
  <c r="D114" i="1"/>
  <c r="D106" i="1"/>
  <c r="D150" i="1"/>
  <c r="D105" i="1"/>
  <c r="D102" i="1"/>
  <c r="D138" i="1"/>
  <c r="D137" i="1"/>
  <c r="D117" i="1"/>
  <c r="D135" i="1"/>
  <c r="D115" i="1"/>
  <c r="D91" i="1"/>
  <c r="D149" i="1"/>
  <c r="D113" i="1"/>
  <c r="D144" i="1"/>
  <c r="D109" i="1"/>
  <c r="D121" i="1"/>
  <c r="D141" i="1"/>
  <c r="D130" i="1"/>
  <c r="D133" i="1"/>
  <c r="D147" i="1"/>
  <c r="D111" i="1"/>
  <c r="D129" i="1"/>
  <c r="D126" i="1"/>
  <c r="D128" i="1"/>
  <c r="D125" i="1"/>
  <c r="D119" i="1"/>
  <c r="D110" i="1"/>
  <c r="D95" i="1"/>
  <c r="D94" i="1"/>
  <c r="D124" i="1"/>
  <c r="D122" i="1"/>
  <c r="D92" i="1"/>
  <c r="D93" i="1"/>
  <c r="B77" i="2" l="1"/>
  <c r="B85" i="2" s="1"/>
  <c r="X77" i="2"/>
  <c r="B86" i="2" s="1"/>
  <c r="G107" i="1"/>
  <c r="C174" i="1" s="1"/>
  <c r="F174" i="1"/>
  <c r="G117" i="1"/>
  <c r="C184" i="1" s="1"/>
  <c r="G96" i="1"/>
  <c r="C163" i="1" s="1"/>
  <c r="F163" i="1"/>
  <c r="G141" i="1"/>
  <c r="C208" i="1" s="1"/>
  <c r="G125" i="1"/>
  <c r="C192" i="1" s="1"/>
  <c r="G99" i="1"/>
  <c r="C166" i="1" s="1"/>
  <c r="G138" i="1"/>
  <c r="C205" i="1" s="1"/>
  <c r="F205" i="1"/>
  <c r="G97" i="1"/>
  <c r="C164" i="1" s="1"/>
  <c r="G150" i="1"/>
  <c r="C217" i="1" s="1"/>
  <c r="G120" i="1"/>
  <c r="C187" i="1" s="1"/>
  <c r="G123" i="1"/>
  <c r="C190" i="1" s="1"/>
  <c r="F190" i="1"/>
  <c r="G147" i="1"/>
  <c r="C214" i="1" s="1"/>
  <c r="F214" i="1"/>
  <c r="G127" i="1"/>
  <c r="C194" i="1" s="1"/>
  <c r="G116" i="1"/>
  <c r="C183" i="1" s="1"/>
  <c r="G140" i="1"/>
  <c r="C207" i="1" s="1"/>
  <c r="F207" i="1"/>
  <c r="G149" i="1"/>
  <c r="C216" i="1" s="1"/>
  <c r="F216" i="1"/>
  <c r="G142" i="1"/>
  <c r="C209" i="1" s="1"/>
  <c r="G93" i="1"/>
  <c r="C160" i="1" s="1"/>
  <c r="G113" i="1"/>
  <c r="C180" i="1" s="1"/>
  <c r="F180" i="1"/>
  <c r="G146" i="1"/>
  <c r="C213" i="1" s="1"/>
  <c r="G101" i="1"/>
  <c r="C168" i="1" s="1"/>
  <c r="G103" i="1"/>
  <c r="C170" i="1" s="1"/>
  <c r="G105" i="1"/>
  <c r="C172" i="1" s="1"/>
  <c r="G95" i="1"/>
  <c r="C162" i="1" s="1"/>
  <c r="F162" i="1"/>
  <c r="G124" i="1"/>
  <c r="C191" i="1" s="1"/>
  <c r="F157" i="1"/>
  <c r="G90" i="1"/>
  <c r="C157" i="1" s="1"/>
  <c r="G114" i="1"/>
  <c r="C181" i="1" s="1"/>
  <c r="F181" i="1"/>
  <c r="G126" i="1"/>
  <c r="C193" i="1" s="1"/>
  <c r="F193" i="1"/>
  <c r="G108" i="1"/>
  <c r="C175" i="1" s="1"/>
  <c r="G98" i="1"/>
  <c r="C165" i="1" s="1"/>
  <c r="G132" i="1"/>
  <c r="C199" i="1" s="1"/>
  <c r="G143" i="1"/>
  <c r="C210" i="1" s="1"/>
  <c r="G121" i="1"/>
  <c r="C188" i="1" s="1"/>
  <c r="G130" i="1"/>
  <c r="C197" i="1" s="1"/>
  <c r="G128" i="1"/>
  <c r="C195" i="1" s="1"/>
  <c r="G136" i="1"/>
  <c r="C203" i="1" s="1"/>
  <c r="F203" i="1"/>
  <c r="G137" i="1"/>
  <c r="C204" i="1" s="1"/>
  <c r="G135" i="1"/>
  <c r="C202" i="1" s="1"/>
  <c r="G145" i="1"/>
  <c r="C212" i="1" s="1"/>
  <c r="G89" i="1"/>
  <c r="C156" i="1" s="1"/>
  <c r="F156" i="1"/>
  <c r="F186" i="1"/>
  <c r="G119" i="1"/>
  <c r="C186" i="1" s="1"/>
  <c r="G148" i="1"/>
  <c r="C215" i="1" s="1"/>
  <c r="G131" i="1"/>
  <c r="C198" i="1" s="1"/>
  <c r="F198" i="1"/>
  <c r="G100" i="1"/>
  <c r="C167" i="1" s="1"/>
  <c r="G144" i="1"/>
  <c r="C211" i="1" s="1"/>
  <c r="G122" i="1"/>
  <c r="C189" i="1" s="1"/>
  <c r="F189" i="1"/>
  <c r="G106" i="1"/>
  <c r="C173" i="1" s="1"/>
  <c r="G118" i="1"/>
  <c r="C185" i="1" s="1"/>
  <c r="F185" i="1"/>
  <c r="G91" i="1"/>
  <c r="C158" i="1" s="1"/>
  <c r="G109" i="1"/>
  <c r="C176" i="1" s="1"/>
  <c r="F176" i="1"/>
  <c r="G88" i="1"/>
  <c r="C155" i="1" s="1"/>
  <c r="G139" i="1"/>
  <c r="C206" i="1" s="1"/>
  <c r="F206" i="1"/>
  <c r="G133" i="1"/>
  <c r="C200" i="1" s="1"/>
  <c r="G134" i="1"/>
  <c r="C201" i="1" s="1"/>
  <c r="F201" i="1"/>
  <c r="G94" i="1"/>
  <c r="C161" i="1" s="1"/>
  <c r="G129" i="1"/>
  <c r="C196" i="1" s="1"/>
  <c r="G92" i="1"/>
  <c r="C159" i="1" s="1"/>
  <c r="G102" i="1"/>
  <c r="C169" i="1" s="1"/>
  <c r="F169" i="1"/>
  <c r="G104" i="1"/>
  <c r="C171" i="1" s="1"/>
  <c r="F171" i="1"/>
  <c r="G112" i="1"/>
  <c r="C179" i="1" s="1"/>
  <c r="F182" i="1"/>
  <c r="G115" i="1"/>
  <c r="C182" i="1" s="1"/>
  <c r="G110" i="1"/>
  <c r="C177" i="1" s="1"/>
  <c r="F177" i="1"/>
  <c r="G111" i="1"/>
  <c r="C178" i="1" s="1"/>
  <c r="D182" i="1"/>
  <c r="D176" i="1"/>
  <c r="D205" i="1"/>
  <c r="D198" i="1"/>
  <c r="D177" i="1"/>
  <c r="D174" i="1"/>
  <c r="D201" i="1"/>
  <c r="D190" i="1"/>
  <c r="D207" i="1"/>
  <c r="D180" i="1"/>
  <c r="D203" i="1"/>
  <c r="D189" i="1"/>
  <c r="D216" i="1"/>
  <c r="D169" i="1"/>
  <c r="D171" i="1"/>
  <c r="D186" i="1"/>
  <c r="M80" i="2" a="1"/>
  <c r="D157" i="1"/>
  <c r="D162" i="1"/>
  <c r="D214" i="1"/>
  <c r="D193" i="1"/>
  <c r="D156" i="1"/>
  <c r="AK80" i="2" a="1"/>
  <c r="D206" i="1"/>
  <c r="D181" i="1"/>
  <c r="D185" i="1"/>
  <c r="D163" i="1"/>
  <c r="B87" i="2" l="1"/>
  <c r="F212" i="1"/>
  <c r="F172" i="1"/>
  <c r="F166" i="1"/>
  <c r="F173" i="1"/>
  <c r="F202" i="1"/>
  <c r="F199" i="1"/>
  <c r="F192" i="1"/>
  <c r="F196" i="1"/>
  <c r="F155" i="1"/>
  <c r="F208" i="1"/>
  <c r="M80" i="2"/>
  <c r="B88" i="2"/>
  <c r="AL104" i="2"/>
  <c r="AK80" i="2"/>
  <c r="N104" i="2"/>
  <c r="B84" i="2"/>
  <c r="F179" i="1"/>
  <c r="F167" i="1"/>
  <c r="F210" i="1"/>
  <c r="F213" i="1"/>
  <c r="F164" i="1"/>
  <c r="F178" i="1"/>
  <c r="F161" i="1"/>
  <c r="F195" i="1"/>
  <c r="F215" i="1"/>
  <c r="F197" i="1"/>
  <c r="F165" i="1"/>
  <c r="F170" i="1"/>
  <c r="F160" i="1"/>
  <c r="F183" i="1"/>
  <c r="F187" i="1"/>
  <c r="F184" i="1"/>
  <c r="F159" i="1"/>
  <c r="F200" i="1"/>
  <c r="F158" i="1"/>
  <c r="F211" i="1"/>
  <c r="F204" i="1"/>
  <c r="F188" i="1"/>
  <c r="F175" i="1"/>
  <c r="F191" i="1"/>
  <c r="F168" i="1"/>
  <c r="F209" i="1"/>
  <c r="F194" i="1"/>
  <c r="F217" i="1"/>
  <c r="N105" i="2"/>
  <c r="D212" i="1"/>
  <c r="D155" i="1"/>
  <c r="D184" i="1"/>
  <c r="D217" i="1"/>
  <c r="D165" i="1"/>
  <c r="D204" i="1"/>
  <c r="D160" i="1"/>
  <c r="D172" i="1"/>
  <c r="D208" i="1"/>
  <c r="D191" i="1"/>
  <c r="D161" i="1"/>
  <c r="D158" i="1"/>
  <c r="D178" i="1"/>
  <c r="D166" i="1"/>
  <c r="D211" i="1"/>
  <c r="D167" i="1"/>
  <c r="D194" i="1"/>
  <c r="D188" i="1"/>
  <c r="D173" i="1"/>
  <c r="D175" i="1"/>
  <c r="D197" i="1"/>
  <c r="D170" i="1"/>
  <c r="D164" i="1"/>
  <c r="D202" i="1"/>
  <c r="D179" i="1"/>
  <c r="D200" i="1"/>
  <c r="D187" i="1"/>
  <c r="D159" i="1"/>
  <c r="D199" i="1"/>
  <c r="D215" i="1"/>
  <c r="D209" i="1"/>
  <c r="D213" i="1"/>
  <c r="D210" i="1"/>
  <c r="D192" i="1"/>
  <c r="AL105" i="2"/>
  <c r="D183" i="1"/>
  <c r="D196" i="1"/>
  <c r="D195" i="1"/>
  <c r="D168" i="1"/>
  <c r="J155" i="1" l="1" a="1"/>
  <c r="J15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<sst xmlns="http://schemas.openxmlformats.org/spreadsheetml/2006/main" count="221" uniqueCount="155">
  <si>
    <t>d, мм</t>
  </si>
  <si>
    <t>TVD, м</t>
  </si>
  <si>
    <t>MD, м</t>
  </si>
  <si>
    <t>Скважина 1 и Скважина 3</t>
  </si>
  <si>
    <t>Скважина 2 и Скважина 4</t>
  </si>
  <si>
    <t>Давление УПН</t>
  </si>
  <si>
    <t>Плотность нефти</t>
  </si>
  <si>
    <t>г/см3</t>
  </si>
  <si>
    <t>Плотность газа</t>
  </si>
  <si>
    <t>кг/м3</t>
  </si>
  <si>
    <t>Плотность воды</t>
  </si>
  <si>
    <t>Газовый фактор</t>
  </si>
  <si>
    <t>Газодержание</t>
  </si>
  <si>
    <t>м3/м3</t>
  </si>
  <si>
    <t>Давление насыщения</t>
  </si>
  <si>
    <t>атм.</t>
  </si>
  <si>
    <t>Температура пластовая</t>
  </si>
  <si>
    <t>С</t>
  </si>
  <si>
    <t>Тпласт</t>
  </si>
  <si>
    <t>Геотермический град</t>
  </si>
  <si>
    <t>С/100м</t>
  </si>
  <si>
    <t>Z0</t>
  </si>
  <si>
    <t>Z1</t>
  </si>
  <si>
    <t>м</t>
  </si>
  <si>
    <t>1 скважина</t>
  </si>
  <si>
    <t>2 скважина</t>
  </si>
  <si>
    <t>3 скважина</t>
  </si>
  <si>
    <t>4 скважина</t>
  </si>
  <si>
    <t>Кпрод</t>
  </si>
  <si>
    <t>Обводнённость</t>
  </si>
  <si>
    <t>Пластовое давление</t>
  </si>
  <si>
    <t>%</t>
  </si>
  <si>
    <t>атм</t>
  </si>
  <si>
    <t xml:space="preserve">dвык. линии 1 </t>
  </si>
  <si>
    <t>dвык. линии 2</t>
  </si>
  <si>
    <t>dвык. линии 3</t>
  </si>
  <si>
    <t>dвык. линии 4</t>
  </si>
  <si>
    <t>x0, м</t>
  </si>
  <si>
    <t>x1, м</t>
  </si>
  <si>
    <t>y0, м</t>
  </si>
  <si>
    <t>y1, м</t>
  </si>
  <si>
    <t>D, мм</t>
  </si>
  <si>
    <t>dтрубы до упн</t>
  </si>
  <si>
    <t>PVT строка</t>
  </si>
  <si>
    <t>Инклинометрия</t>
  </si>
  <si>
    <t>PVT свойства</t>
  </si>
  <si>
    <t>Название</t>
  </si>
  <si>
    <t>Значение</t>
  </si>
  <si>
    <t>Ед.изм.</t>
  </si>
  <si>
    <t>Параметры пласта</t>
  </si>
  <si>
    <t>T, C</t>
  </si>
  <si>
    <t>Труба 1</t>
  </si>
  <si>
    <t>Труба 2</t>
  </si>
  <si>
    <t>Труба 3</t>
  </si>
  <si>
    <t>Труба 4</t>
  </si>
  <si>
    <t>Труба 5</t>
  </si>
  <si>
    <t>Инклинометрия 2</t>
  </si>
  <si>
    <t>Pзаб</t>
  </si>
  <si>
    <t>Q1</t>
  </si>
  <si>
    <t>Q2</t>
  </si>
  <si>
    <t>Q3</t>
  </si>
  <si>
    <t>Q4</t>
  </si>
  <si>
    <t>Pбуф 3 скв</t>
  </si>
  <si>
    <t>Pбуф 4 скв</t>
  </si>
  <si>
    <t>Pбуф 2 скв</t>
  </si>
  <si>
    <t>Pбуф 1 скв</t>
  </si>
  <si>
    <t>Индикаторные прямые поиск буферного давления</t>
  </si>
  <si>
    <t>Поиск давления в точке сбора</t>
  </si>
  <si>
    <t>P1</t>
  </si>
  <si>
    <t>P2</t>
  </si>
  <si>
    <t>P3</t>
  </si>
  <si>
    <t>P4</t>
  </si>
  <si>
    <t>Дебит всех скважин от давления в точке сбора</t>
  </si>
  <si>
    <t>Давление</t>
  </si>
  <si>
    <t>Q 1 скв</t>
  </si>
  <si>
    <t>Q 2 скв</t>
  </si>
  <si>
    <t>Q 3 скв</t>
  </si>
  <si>
    <t>Q 4 скв</t>
  </si>
  <si>
    <t>Q общий</t>
  </si>
  <si>
    <t>Расчёт УПН</t>
  </si>
  <si>
    <t>Давление на сборе</t>
  </si>
  <si>
    <t>Дебит</t>
  </si>
  <si>
    <t>Скважина 1</t>
  </si>
  <si>
    <t>Скважина 2</t>
  </si>
  <si>
    <t>Расход газлифта</t>
  </si>
  <si>
    <t>Диаметр подачи г/г</t>
  </si>
  <si>
    <t>м3/сут</t>
  </si>
  <si>
    <t>Давление входа</t>
  </si>
  <si>
    <t>Давление выхода</t>
  </si>
  <si>
    <t>Диаметр штутцера</t>
  </si>
  <si>
    <t>Буферное давление</t>
  </si>
  <si>
    <t>Затрубное давление</t>
  </si>
  <si>
    <t>Линейное давление</t>
  </si>
  <si>
    <t>Даление газлифта</t>
  </si>
  <si>
    <t>Забойное давление</t>
  </si>
  <si>
    <t>Дебит газа</t>
  </si>
  <si>
    <t>Дебит ПНГ</t>
  </si>
  <si>
    <t>Дебит нефти</t>
  </si>
  <si>
    <t>Дебит жидкости</t>
  </si>
  <si>
    <t>мм</t>
  </si>
  <si>
    <t>т/сут</t>
  </si>
  <si>
    <t>ГФ общий</t>
  </si>
  <si>
    <t>ГФ ПНГ</t>
  </si>
  <si>
    <t>Обводённость</t>
  </si>
  <si>
    <t>Решение</t>
  </si>
  <si>
    <t>Дебит УПН</t>
  </si>
  <si>
    <t>P затр</t>
  </si>
  <si>
    <t>1. Расчёт затрубного давления</t>
  </si>
  <si>
    <t>2. Расчёт давления закачки</t>
  </si>
  <si>
    <t xml:space="preserve">Буферная температура </t>
  </si>
  <si>
    <t>Температура клапана</t>
  </si>
  <si>
    <t>Дебит нефти (объём)</t>
  </si>
  <si>
    <t>Темература пластовая</t>
  </si>
  <si>
    <t>Диаметр трубы внутренний</t>
  </si>
  <si>
    <t>Вязкость нефти (пласт)</t>
  </si>
  <si>
    <t>Вязкость воды (пласт)</t>
  </si>
  <si>
    <t>Объёмный коэф</t>
  </si>
  <si>
    <t>Плотность нефти (станд.)</t>
  </si>
  <si>
    <t>Плотность нефти (пласт.)</t>
  </si>
  <si>
    <t>сПз</t>
  </si>
  <si>
    <t>Плотность воды (станд)</t>
  </si>
  <si>
    <t>Газосодержание</t>
  </si>
  <si>
    <t>Pвхода</t>
  </si>
  <si>
    <t>Pвыхода</t>
  </si>
  <si>
    <t>Расход газа</t>
  </si>
  <si>
    <t>Продуктивность пласта</t>
  </si>
  <si>
    <t>Pbuf</t>
  </si>
  <si>
    <t>Plin</t>
  </si>
  <si>
    <t>Диаметр линейный</t>
  </si>
  <si>
    <t>Расчёт подачи газа (скважина 1)</t>
  </si>
  <si>
    <t>Расчёт ниже клапана (скважина 1)</t>
  </si>
  <si>
    <t>Расчёт выше клапана (скважина 1)</t>
  </si>
  <si>
    <t>Диаметр клапана</t>
  </si>
  <si>
    <t>Расчёт подачи газа (скважина 2)</t>
  </si>
  <si>
    <t>Расчёт ниже клапана (скважина 2)</t>
  </si>
  <si>
    <t>PVT жидкости (1 скважина)</t>
  </si>
  <si>
    <t>PVT газа (1 скважина (газ))</t>
  </si>
  <si>
    <t>PVT жидкости (2 скважина)</t>
  </si>
  <si>
    <t>PVT газа (2 скважина (газ))</t>
  </si>
  <si>
    <t>Условия</t>
  </si>
  <si>
    <t>Минимум</t>
  </si>
  <si>
    <t>Максимум</t>
  </si>
  <si>
    <t>Закачка газа</t>
  </si>
  <si>
    <t>Название критерия</t>
  </si>
  <si>
    <t>Параметры</t>
  </si>
  <si>
    <t>м3</t>
  </si>
  <si>
    <t>Единицы</t>
  </si>
  <si>
    <t xml:space="preserve">Наименование параметра </t>
  </si>
  <si>
    <t>Целевая функция</t>
  </si>
  <si>
    <t>Закачка газа (скважина 1)</t>
  </si>
  <si>
    <t>Закачка газа (скважина 2)</t>
  </si>
  <si>
    <t>Давление буферное (скважина 1)</t>
  </si>
  <si>
    <t>Давление буферное (скважина 2)</t>
  </si>
  <si>
    <t>Было</t>
  </si>
  <si>
    <t>Стало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</si>
</sst>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Обычный 2 9" xfId="1" xr:uid="{5B5FB644-BDDD-4807-9031-065392085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633535203092665E-2"/>
          <c:y val="2.0513612269054602E-2"/>
          <c:w val="0.90132752182055131"/>
          <c:h val="0.87227537734253802"/>
        </c:manualLayout>
      </c:layout>
      <c:scatterChart>
        <c:scatterStyle val="lineMarker"/>
        <c:varyColors val="0"/>
        <c:ser>
          <c:idx val="0"/>
          <c:order val="0"/>
          <c:tx>
            <c:v>1 труба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1'!$B$26:$C$26</c:f>
              <c:numCache>
                <c:formatCode>General</c:formatCode>
                <c:ptCount val="2"/>
                <c:pt idx="0">
                  <c:v>1</c:v>
                </c:pt>
                <c:pt idx="1">
                  <c:v>500</c:v>
                </c:pt>
              </c:numCache>
            </c:numRef>
          </c:xVal>
          <c:yVal>
            <c:numRef>
              <c:f>'Задание 1'!$D$26:$E$26</c:f>
              <c:numCache>
                <c:formatCode>General</c:formatCode>
                <c:ptCount val="2"/>
                <c:pt idx="0">
                  <c:v>1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C-4141-B561-517D589C1772}"/>
            </c:ext>
          </c:extLst>
        </c:ser>
        <c:ser>
          <c:idx val="1"/>
          <c:order val="1"/>
          <c:tx>
            <c:v>2 труба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1'!$B$27:$C$27</c:f>
              <c:numCache>
                <c:formatCode>General</c:formatCode>
                <c:ptCount val="2"/>
                <c:pt idx="0">
                  <c:v>1000</c:v>
                </c:pt>
                <c:pt idx="1">
                  <c:v>500</c:v>
                </c:pt>
              </c:numCache>
            </c:numRef>
          </c:xVal>
          <c:yVal>
            <c:numRef>
              <c:f>'Задание 1'!$D$27:$E$27</c:f>
              <c:numCache>
                <c:formatCode>General</c:formatCode>
                <c:ptCount val="2"/>
                <c:pt idx="0">
                  <c:v>1000</c:v>
                </c:pt>
                <c:pt idx="1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C-4141-B561-517D589C1772}"/>
            </c:ext>
          </c:extLst>
        </c:ser>
        <c:ser>
          <c:idx val="2"/>
          <c:order val="2"/>
          <c:tx>
            <c:v>3 труба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1'!$B$28:$C$28</c:f>
              <c:numCache>
                <c:formatCode>General</c:formatCode>
                <c:ptCount val="2"/>
                <c:pt idx="0">
                  <c:v>1</c:v>
                </c:pt>
                <c:pt idx="1">
                  <c:v>500</c:v>
                </c:pt>
              </c:numCache>
            </c:numRef>
          </c:xVal>
          <c:yVal>
            <c:numRef>
              <c:f>'Задание 1'!$D$28:$E$28</c:f>
              <c:numCache>
                <c:formatCode>General</c:formatCode>
                <c:ptCount val="2"/>
                <c:pt idx="0">
                  <c:v>1000</c:v>
                </c:pt>
                <c:pt idx="1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5C-4141-B561-517D589C1772}"/>
            </c:ext>
          </c:extLst>
        </c:ser>
        <c:ser>
          <c:idx val="3"/>
          <c:order val="3"/>
          <c:tx>
            <c:v>4 труба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1'!$B$29:$C$29</c:f>
              <c:numCache>
                <c:formatCode>General</c:formatCode>
                <c:ptCount val="2"/>
                <c:pt idx="0">
                  <c:v>500</c:v>
                </c:pt>
                <c:pt idx="1">
                  <c:v>1000</c:v>
                </c:pt>
              </c:numCache>
            </c:numRef>
          </c:xVal>
          <c:yVal>
            <c:numRef>
              <c:f>'Задание 1'!$D$29:$E$29</c:f>
              <c:numCache>
                <c:formatCode>General</c:formatCode>
                <c:ptCount val="2"/>
                <c:pt idx="0">
                  <c:v>600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C-4141-B561-517D589C1772}"/>
            </c:ext>
          </c:extLst>
        </c:ser>
        <c:ser>
          <c:idx val="4"/>
          <c:order val="4"/>
          <c:tx>
            <c:v>5 труба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'Задание 1'!$B$30:$C$30</c:f>
              <c:numCache>
                <c:formatCode>General</c:formatCode>
                <c:ptCount val="2"/>
                <c:pt idx="0">
                  <c:v>500</c:v>
                </c:pt>
                <c:pt idx="1">
                  <c:v>500</c:v>
                </c:pt>
              </c:numCache>
            </c:numRef>
          </c:xVal>
          <c:yVal>
            <c:numRef>
              <c:f>'Задание 1'!$D$30:$E$30</c:f>
              <c:numCache>
                <c:formatCode>General</c:formatCode>
                <c:ptCount val="2"/>
                <c:pt idx="0">
                  <c:v>600</c:v>
                </c:pt>
                <c:pt idx="1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5C-4141-B561-517D589C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239983"/>
        <c:axId val="806309551"/>
      </c:scatterChart>
      <c:valAx>
        <c:axId val="89823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6309551"/>
        <c:crosses val="autoZero"/>
        <c:crossBetween val="midCat"/>
      </c:valAx>
      <c:valAx>
        <c:axId val="80630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23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/>
              <a:t>Индикаторные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1'!$D$35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1'!$D$36:$D$56</c:f>
              <c:numCache>
                <c:formatCode>0.00</c:formatCode>
                <c:ptCount val="21"/>
                <c:pt idx="0">
                  <c:v>64.959622287705599</c:v>
                </c:pt>
                <c:pt idx="1">
                  <c:v>63.976377022194704</c:v>
                </c:pt>
                <c:pt idx="2">
                  <c:v>62.993131756683802</c:v>
                </c:pt>
                <c:pt idx="3">
                  <c:v>62.009886491172907</c:v>
                </c:pt>
                <c:pt idx="4">
                  <c:v>60.886516681077538</c:v>
                </c:pt>
                <c:pt idx="5">
                  <c:v>59.114991816805649</c:v>
                </c:pt>
                <c:pt idx="6">
                  <c:v>56.794893026350671</c:v>
                </c:pt>
                <c:pt idx="7">
                  <c:v>54.040594192536709</c:v>
                </c:pt>
                <c:pt idx="8">
                  <c:v>50.931510921188945</c:v>
                </c:pt>
                <c:pt idx="9">
                  <c:v>47.525449437865255</c:v>
                </c:pt>
                <c:pt idx="10">
                  <c:v>43.866039449182161</c:v>
                </c:pt>
                <c:pt idx="11">
                  <c:v>39.987171072136469</c:v>
                </c:pt>
                <c:pt idx="12">
                  <c:v>35.915791529815301</c:v>
                </c:pt>
                <c:pt idx="13">
                  <c:v>31.673746943397092</c:v>
                </c:pt>
                <c:pt idx="14">
                  <c:v>27.279039840448849</c:v>
                </c:pt>
                <c:pt idx="15">
                  <c:v>22.75500000000002</c:v>
                </c:pt>
                <c:pt idx="16">
                  <c:v>18.204000000000025</c:v>
                </c:pt>
                <c:pt idx="17">
                  <c:v>13.653000000000027</c:v>
                </c:pt>
                <c:pt idx="18">
                  <c:v>9.1020000000000305</c:v>
                </c:pt>
                <c:pt idx="19">
                  <c:v>4.5510000000000321</c:v>
                </c:pt>
                <c:pt idx="20">
                  <c:v>3.4958702599396929E-14</c:v>
                </c:pt>
              </c:numCache>
            </c:numRef>
          </c:xVal>
          <c:yVal>
            <c:numRef>
              <c:f>'Задание 1'!$C$36:$C$56</c:f>
              <c:numCache>
                <c:formatCode>General</c:formatCode>
                <c:ptCount val="21"/>
                <c:pt idx="0">
                  <c:v>1</c:v>
                </c:pt>
                <c:pt idx="1">
                  <c:v>12.1</c:v>
                </c:pt>
                <c:pt idx="2">
                  <c:v>23.2</c:v>
                </c:pt>
                <c:pt idx="3">
                  <c:v>34.299999999999997</c:v>
                </c:pt>
                <c:pt idx="4">
                  <c:v>45.4</c:v>
                </c:pt>
                <c:pt idx="5">
                  <c:v>56.5</c:v>
                </c:pt>
                <c:pt idx="6">
                  <c:v>67.599999999999994</c:v>
                </c:pt>
                <c:pt idx="7">
                  <c:v>78.699999999999989</c:v>
                </c:pt>
                <c:pt idx="8">
                  <c:v>89.799999999999983</c:v>
                </c:pt>
                <c:pt idx="9">
                  <c:v>100.89999999999998</c:v>
                </c:pt>
                <c:pt idx="10">
                  <c:v>111.99999999999997</c:v>
                </c:pt>
                <c:pt idx="11">
                  <c:v>123.09999999999997</c:v>
                </c:pt>
                <c:pt idx="12">
                  <c:v>134.19999999999996</c:v>
                </c:pt>
                <c:pt idx="13">
                  <c:v>145.29999999999995</c:v>
                </c:pt>
                <c:pt idx="14">
                  <c:v>156.39999999999995</c:v>
                </c:pt>
                <c:pt idx="15">
                  <c:v>167.49999999999994</c:v>
                </c:pt>
                <c:pt idx="16">
                  <c:v>178.59999999999994</c:v>
                </c:pt>
                <c:pt idx="17">
                  <c:v>189.69999999999993</c:v>
                </c:pt>
                <c:pt idx="18">
                  <c:v>200.79999999999993</c:v>
                </c:pt>
                <c:pt idx="19">
                  <c:v>211.89999999999992</c:v>
                </c:pt>
                <c:pt idx="20">
                  <c:v>222.99999999999991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9-41C3-A60D-0678350F15A6}"/>
            </c:ext>
          </c:extLst>
        </c:ser>
        <c:ser>
          <c:idx val="1"/>
          <c:order val="1"/>
          <c:tx>
            <c:strRef>
              <c:f>'Задание 1'!$E$35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1'!$E$36:$E$56</c:f>
              <c:numCache>
                <c:formatCode>0.00</c:formatCode>
                <c:ptCount val="21"/>
                <c:pt idx="0">
                  <c:v>59.182280523209194</c:v>
                </c:pt>
                <c:pt idx="1">
                  <c:v>58.336549629942589</c:v>
                </c:pt>
                <c:pt idx="2">
                  <c:v>57.490818736675983</c:v>
                </c:pt>
                <c:pt idx="3">
                  <c:v>56.645087843409385</c:v>
                </c:pt>
                <c:pt idx="4">
                  <c:v>55.725093250652598</c:v>
                </c:pt>
                <c:pt idx="5">
                  <c:v>54.27074316522905</c:v>
                </c:pt>
                <c:pt idx="6">
                  <c:v>52.33700504665557</c:v>
                </c:pt>
                <c:pt idx="7">
                  <c:v>50.032482529832301</c:v>
                </c:pt>
                <c:pt idx="8">
                  <c:v>47.430077242255614</c:v>
                </c:pt>
                <c:pt idx="9">
                  <c:v>44.581534697759714</c:v>
                </c:pt>
                <c:pt idx="10">
                  <c:v>41.525155975364946</c:v>
                </c:pt>
                <c:pt idx="11">
                  <c:v>38.290232556026581</c:v>
                </c:pt>
                <c:pt idx="12">
                  <c:v>34.899760717941625</c:v>
                </c:pt>
                <c:pt idx="13">
                  <c:v>31.372187070910453</c:v>
                </c:pt>
                <c:pt idx="14">
                  <c:v>27.722577097516147</c:v>
                </c:pt>
                <c:pt idx="15">
                  <c:v>23.97000000000002</c:v>
                </c:pt>
                <c:pt idx="16">
                  <c:v>20.196000000000023</c:v>
                </c:pt>
                <c:pt idx="17">
                  <c:v>16.422000000000025</c:v>
                </c:pt>
                <c:pt idx="18">
                  <c:v>12.648000000000026</c:v>
                </c:pt>
                <c:pt idx="19">
                  <c:v>8.8740000000000272</c:v>
                </c:pt>
                <c:pt idx="20">
                  <c:v>5.100000000000029</c:v>
                </c:pt>
              </c:numCache>
            </c:numRef>
          </c:xVal>
          <c:yVal>
            <c:numRef>
              <c:f>'Задание 1'!$C$36:$C$56</c:f>
              <c:numCache>
                <c:formatCode>General</c:formatCode>
                <c:ptCount val="21"/>
                <c:pt idx="0">
                  <c:v>1</c:v>
                </c:pt>
                <c:pt idx="1">
                  <c:v>12.1</c:v>
                </c:pt>
                <c:pt idx="2">
                  <c:v>23.2</c:v>
                </c:pt>
                <c:pt idx="3">
                  <c:v>34.299999999999997</c:v>
                </c:pt>
                <c:pt idx="4">
                  <c:v>45.4</c:v>
                </c:pt>
                <c:pt idx="5">
                  <c:v>56.5</c:v>
                </c:pt>
                <c:pt idx="6">
                  <c:v>67.599999999999994</c:v>
                </c:pt>
                <c:pt idx="7">
                  <c:v>78.699999999999989</c:v>
                </c:pt>
                <c:pt idx="8">
                  <c:v>89.799999999999983</c:v>
                </c:pt>
                <c:pt idx="9">
                  <c:v>100.89999999999998</c:v>
                </c:pt>
                <c:pt idx="10">
                  <c:v>111.99999999999997</c:v>
                </c:pt>
                <c:pt idx="11">
                  <c:v>123.09999999999997</c:v>
                </c:pt>
                <c:pt idx="12">
                  <c:v>134.19999999999996</c:v>
                </c:pt>
                <c:pt idx="13">
                  <c:v>145.29999999999995</c:v>
                </c:pt>
                <c:pt idx="14">
                  <c:v>156.39999999999995</c:v>
                </c:pt>
                <c:pt idx="15">
                  <c:v>167.49999999999994</c:v>
                </c:pt>
                <c:pt idx="16">
                  <c:v>178.59999999999994</c:v>
                </c:pt>
                <c:pt idx="17">
                  <c:v>189.69999999999993</c:v>
                </c:pt>
                <c:pt idx="18">
                  <c:v>200.79999999999993</c:v>
                </c:pt>
                <c:pt idx="19">
                  <c:v>211.89999999999992</c:v>
                </c:pt>
                <c:pt idx="20">
                  <c:v>222.99999999999991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29-41C3-A60D-0678350F15A6}"/>
            </c:ext>
          </c:extLst>
        </c:ser>
        <c:ser>
          <c:idx val="2"/>
          <c:order val="2"/>
          <c:tx>
            <c:strRef>
              <c:f>'Задание 1'!$F$35</c:f>
              <c:strCache>
                <c:ptCount val="1"/>
                <c:pt idx="0">
                  <c:v>Q3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1'!$F$36:$F$56</c:f>
              <c:numCache>
                <c:formatCode>0.00</c:formatCode>
                <c:ptCount val="21"/>
                <c:pt idx="0">
                  <c:v>60.315849525291291</c:v>
                </c:pt>
                <c:pt idx="1">
                  <c:v>59.175610292723107</c:v>
                </c:pt>
                <c:pt idx="2">
                  <c:v>58.03537106015493</c:v>
                </c:pt>
                <c:pt idx="3">
                  <c:v>56.895131827586745</c:v>
                </c:pt>
                <c:pt idx="4">
                  <c:v>55.754892595018568</c:v>
                </c:pt>
                <c:pt idx="5">
                  <c:v>54.487503096930155</c:v>
                </c:pt>
                <c:pt idx="6">
                  <c:v>52.499412484500304</c:v>
                </c:pt>
                <c:pt idx="7">
                  <c:v>50.008829880757965</c:v>
                </c:pt>
                <c:pt idx="8">
                  <c:v>47.188707941739601</c:v>
                </c:pt>
                <c:pt idx="9">
                  <c:v>44.130955369034602</c:v>
                </c:pt>
                <c:pt idx="10">
                  <c:v>40.891346848128286</c:v>
                </c:pt>
                <c:pt idx="11">
                  <c:v>37.506747905148643</c:v>
                </c:pt>
                <c:pt idx="12">
                  <c:v>34.003032067137632</c:v>
                </c:pt>
                <c:pt idx="13">
                  <c:v>30.39918609678654</c:v>
                </c:pt>
                <c:pt idx="14">
                  <c:v>26.709631995419759</c:v>
                </c:pt>
                <c:pt idx="15">
                  <c:v>22.950000000000021</c:v>
                </c:pt>
                <c:pt idx="16">
                  <c:v>19.176000000000023</c:v>
                </c:pt>
                <c:pt idx="17">
                  <c:v>15.402000000000024</c:v>
                </c:pt>
                <c:pt idx="18">
                  <c:v>11.628000000000027</c:v>
                </c:pt>
                <c:pt idx="19">
                  <c:v>7.8540000000000276</c:v>
                </c:pt>
                <c:pt idx="20">
                  <c:v>4.0800000000000294</c:v>
                </c:pt>
              </c:numCache>
            </c:numRef>
          </c:xVal>
          <c:yVal>
            <c:numRef>
              <c:f>'Задание 1'!$C$36:$C$56</c:f>
              <c:numCache>
                <c:formatCode>General</c:formatCode>
                <c:ptCount val="21"/>
                <c:pt idx="0">
                  <c:v>1</c:v>
                </c:pt>
                <c:pt idx="1">
                  <c:v>12.1</c:v>
                </c:pt>
                <c:pt idx="2">
                  <c:v>23.2</c:v>
                </c:pt>
                <c:pt idx="3">
                  <c:v>34.299999999999997</c:v>
                </c:pt>
                <c:pt idx="4">
                  <c:v>45.4</c:v>
                </c:pt>
                <c:pt idx="5">
                  <c:v>56.5</c:v>
                </c:pt>
                <c:pt idx="6">
                  <c:v>67.599999999999994</c:v>
                </c:pt>
                <c:pt idx="7">
                  <c:v>78.699999999999989</c:v>
                </c:pt>
                <c:pt idx="8">
                  <c:v>89.799999999999983</c:v>
                </c:pt>
                <c:pt idx="9">
                  <c:v>100.89999999999998</c:v>
                </c:pt>
                <c:pt idx="10">
                  <c:v>111.99999999999997</c:v>
                </c:pt>
                <c:pt idx="11">
                  <c:v>123.09999999999997</c:v>
                </c:pt>
                <c:pt idx="12">
                  <c:v>134.19999999999996</c:v>
                </c:pt>
                <c:pt idx="13">
                  <c:v>145.29999999999995</c:v>
                </c:pt>
                <c:pt idx="14">
                  <c:v>156.39999999999995</c:v>
                </c:pt>
                <c:pt idx="15">
                  <c:v>167.49999999999994</c:v>
                </c:pt>
                <c:pt idx="16">
                  <c:v>178.59999999999994</c:v>
                </c:pt>
                <c:pt idx="17">
                  <c:v>189.69999999999993</c:v>
                </c:pt>
                <c:pt idx="18">
                  <c:v>200.79999999999993</c:v>
                </c:pt>
                <c:pt idx="19">
                  <c:v>211.89999999999992</c:v>
                </c:pt>
                <c:pt idx="20">
                  <c:v>222.99999999999991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29-41C3-A60D-0678350F15A6}"/>
            </c:ext>
          </c:extLst>
        </c:ser>
        <c:ser>
          <c:idx val="3"/>
          <c:order val="3"/>
          <c:tx>
            <c:strRef>
              <c:f>'Задание 1'!$G$35</c:f>
              <c:strCache>
                <c:ptCount val="1"/>
                <c:pt idx="0">
                  <c:v>Q4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1'!$G$36:$G$56</c:f>
              <c:numCache>
                <c:formatCode>0.00</c:formatCode>
                <c:ptCount val="21"/>
                <c:pt idx="0">
                  <c:v>53.927269757145645</c:v>
                </c:pt>
                <c:pt idx="1">
                  <c:v>53.067501462693038</c:v>
                </c:pt>
                <c:pt idx="2">
                  <c:v>52.207733168240431</c:v>
                </c:pt>
                <c:pt idx="3">
                  <c:v>51.347964873787824</c:v>
                </c:pt>
                <c:pt idx="4">
                  <c:v>50.486691789442126</c:v>
                </c:pt>
                <c:pt idx="5">
                  <c:v>49.226898804073628</c:v>
                </c:pt>
                <c:pt idx="6">
                  <c:v>47.438575893929368</c:v>
                </c:pt>
                <c:pt idx="7">
                  <c:v>45.276552340445086</c:v>
                </c:pt>
                <c:pt idx="8">
                  <c:v>42.832205627068198</c:v>
                </c:pt>
                <c:pt idx="9">
                  <c:v>40.164815255734496</c:v>
                </c:pt>
                <c:pt idx="10">
                  <c:v>37.315428966096135</c:v>
                </c:pt>
                <c:pt idx="11">
                  <c:v>34.313863361787604</c:v>
                </c:pt>
                <c:pt idx="12">
                  <c:v>31.182586348656891</c:v>
                </c:pt>
                <c:pt idx="13">
                  <c:v>27.939027556454676</c:v>
                </c:pt>
                <c:pt idx="14">
                  <c:v>24.597031084008549</c:v>
                </c:pt>
                <c:pt idx="15">
                  <c:v>21.17300000000002</c:v>
                </c:pt>
                <c:pt idx="16">
                  <c:v>17.732000000000024</c:v>
                </c:pt>
                <c:pt idx="17">
                  <c:v>14.291000000000025</c:v>
                </c:pt>
                <c:pt idx="18">
                  <c:v>10.850000000000026</c:v>
                </c:pt>
                <c:pt idx="19">
                  <c:v>7.4090000000000282</c:v>
                </c:pt>
                <c:pt idx="20">
                  <c:v>3.9680000000000297</c:v>
                </c:pt>
              </c:numCache>
            </c:numRef>
          </c:xVal>
          <c:yVal>
            <c:numRef>
              <c:f>'Задание 1'!$C$36:$C$56</c:f>
              <c:numCache>
                <c:formatCode>General</c:formatCode>
                <c:ptCount val="21"/>
                <c:pt idx="0">
                  <c:v>1</c:v>
                </c:pt>
                <c:pt idx="1">
                  <c:v>12.1</c:v>
                </c:pt>
                <c:pt idx="2">
                  <c:v>23.2</c:v>
                </c:pt>
                <c:pt idx="3">
                  <c:v>34.299999999999997</c:v>
                </c:pt>
                <c:pt idx="4">
                  <c:v>45.4</c:v>
                </c:pt>
                <c:pt idx="5">
                  <c:v>56.5</c:v>
                </c:pt>
                <c:pt idx="6">
                  <c:v>67.599999999999994</c:v>
                </c:pt>
                <c:pt idx="7">
                  <c:v>78.699999999999989</c:v>
                </c:pt>
                <c:pt idx="8">
                  <c:v>89.799999999999983</c:v>
                </c:pt>
                <c:pt idx="9">
                  <c:v>100.89999999999998</c:v>
                </c:pt>
                <c:pt idx="10">
                  <c:v>111.99999999999997</c:v>
                </c:pt>
                <c:pt idx="11">
                  <c:v>123.09999999999997</c:v>
                </c:pt>
                <c:pt idx="12">
                  <c:v>134.19999999999996</c:v>
                </c:pt>
                <c:pt idx="13">
                  <c:v>145.29999999999995</c:v>
                </c:pt>
                <c:pt idx="14">
                  <c:v>156.39999999999995</c:v>
                </c:pt>
                <c:pt idx="15">
                  <c:v>167.49999999999994</c:v>
                </c:pt>
                <c:pt idx="16">
                  <c:v>178.59999999999994</c:v>
                </c:pt>
                <c:pt idx="17">
                  <c:v>189.69999999999993</c:v>
                </c:pt>
                <c:pt idx="18">
                  <c:v>200.79999999999993</c:v>
                </c:pt>
                <c:pt idx="19">
                  <c:v>211.89999999999992</c:v>
                </c:pt>
                <c:pt idx="20">
                  <c:v>222.99999999999991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29-41C3-A60D-0678350F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659583"/>
        <c:axId val="2084140735"/>
      </c:scatterChart>
      <c:valAx>
        <c:axId val="111665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Дебит на поверхности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2084140735"/>
        <c:crosses val="autoZero"/>
        <c:crossBetween val="midCat"/>
      </c:valAx>
      <c:valAx>
        <c:axId val="208414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Забойное 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11665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/>
              <a:t>Индикаторные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Скважина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1'!$D$36:$D$56</c:f>
              <c:numCache>
                <c:formatCode>0.00</c:formatCode>
                <c:ptCount val="21"/>
                <c:pt idx="0">
                  <c:v>64.959622287705599</c:v>
                </c:pt>
                <c:pt idx="1">
                  <c:v>63.976377022194704</c:v>
                </c:pt>
                <c:pt idx="2">
                  <c:v>62.993131756683802</c:v>
                </c:pt>
                <c:pt idx="3">
                  <c:v>62.009886491172907</c:v>
                </c:pt>
                <c:pt idx="4">
                  <c:v>60.886516681077538</c:v>
                </c:pt>
                <c:pt idx="5">
                  <c:v>59.114991816805649</c:v>
                </c:pt>
                <c:pt idx="6">
                  <c:v>56.794893026350671</c:v>
                </c:pt>
                <c:pt idx="7">
                  <c:v>54.040594192536709</c:v>
                </c:pt>
                <c:pt idx="8">
                  <c:v>50.931510921188945</c:v>
                </c:pt>
                <c:pt idx="9">
                  <c:v>47.525449437865255</c:v>
                </c:pt>
                <c:pt idx="10">
                  <c:v>43.866039449182161</c:v>
                </c:pt>
                <c:pt idx="11">
                  <c:v>39.987171072136469</c:v>
                </c:pt>
                <c:pt idx="12">
                  <c:v>35.915791529815301</c:v>
                </c:pt>
                <c:pt idx="13">
                  <c:v>31.673746943397092</c:v>
                </c:pt>
                <c:pt idx="14">
                  <c:v>27.279039840448849</c:v>
                </c:pt>
                <c:pt idx="15">
                  <c:v>22.75500000000002</c:v>
                </c:pt>
                <c:pt idx="16">
                  <c:v>18.204000000000025</c:v>
                </c:pt>
                <c:pt idx="17">
                  <c:v>13.653000000000027</c:v>
                </c:pt>
                <c:pt idx="18">
                  <c:v>9.1020000000000305</c:v>
                </c:pt>
                <c:pt idx="19">
                  <c:v>4.5510000000000321</c:v>
                </c:pt>
                <c:pt idx="20">
                  <c:v>3.4958702599396929E-14</c:v>
                </c:pt>
              </c:numCache>
            </c:numRef>
          </c:xVal>
          <c:yVal>
            <c:numRef>
              <c:f>'Задание 1'!$I$36:$I$56</c:f>
              <c:numCache>
                <c:formatCode>0.00</c:formatCode>
                <c:ptCount val="21"/>
                <c:pt idx="0">
                  <c:v>0.88677051162621068</c:v>
                </c:pt>
                <c:pt idx="1">
                  <c:v>0.82002520860490324</c:v>
                </c:pt>
                <c:pt idx="2">
                  <c:v>0.86515663224367534</c:v>
                </c:pt>
                <c:pt idx="3">
                  <c:v>0.80993988320005328</c:v>
                </c:pt>
                <c:pt idx="4">
                  <c:v>0.83586932770592681</c:v>
                </c:pt>
                <c:pt idx="5">
                  <c:v>0.86692869880465051</c:v>
                </c:pt>
                <c:pt idx="6">
                  <c:v>0.81913564290341212</c:v>
                </c:pt>
                <c:pt idx="7">
                  <c:v>0.8942048040446966</c:v>
                </c:pt>
                <c:pt idx="8">
                  <c:v>0.88361667763071305</c:v>
                </c:pt>
                <c:pt idx="9">
                  <c:v>1.1371469268559513</c:v>
                </c:pt>
                <c:pt idx="10">
                  <c:v>2.251639043935977</c:v>
                </c:pt>
                <c:pt idx="11">
                  <c:v>3.6088467112436309</c:v>
                </c:pt>
                <c:pt idx="12">
                  <c:v>5.9741979785209995</c:v>
                </c:pt>
                <c:pt idx="13">
                  <c:v>11.111710992647044</c:v>
                </c:pt>
                <c:pt idx="14">
                  <c:v>19.463667119239531</c:v>
                </c:pt>
                <c:pt idx="15">
                  <c:v>29.898427963422979</c:v>
                </c:pt>
                <c:pt idx="16">
                  <c:v>40.954522957694067</c:v>
                </c:pt>
                <c:pt idx="17">
                  <c:v>52.297578145570156</c:v>
                </c:pt>
                <c:pt idx="18">
                  <c:v>63.746958602605382</c:v>
                </c:pt>
                <c:pt idx="19">
                  <c:v>75.210428471644775</c:v>
                </c:pt>
                <c:pt idx="20">
                  <c:v>86.600949967194097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CA-49BE-B3ED-5CD1FF7AFD1D}"/>
            </c:ext>
          </c:extLst>
        </c:ser>
        <c:ser>
          <c:idx val="1"/>
          <c:order val="1"/>
          <c:tx>
            <c:v>Скважина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1'!$E$36:$E$56</c:f>
              <c:numCache>
                <c:formatCode>0.00</c:formatCode>
                <c:ptCount val="21"/>
                <c:pt idx="0">
                  <c:v>59.182280523209194</c:v>
                </c:pt>
                <c:pt idx="1">
                  <c:v>58.336549629942589</c:v>
                </c:pt>
                <c:pt idx="2">
                  <c:v>57.490818736675983</c:v>
                </c:pt>
                <c:pt idx="3">
                  <c:v>56.645087843409385</c:v>
                </c:pt>
                <c:pt idx="4">
                  <c:v>55.725093250652598</c:v>
                </c:pt>
                <c:pt idx="5">
                  <c:v>54.27074316522905</c:v>
                </c:pt>
                <c:pt idx="6">
                  <c:v>52.33700504665557</c:v>
                </c:pt>
                <c:pt idx="7">
                  <c:v>50.032482529832301</c:v>
                </c:pt>
                <c:pt idx="8">
                  <c:v>47.430077242255614</c:v>
                </c:pt>
                <c:pt idx="9">
                  <c:v>44.581534697759714</c:v>
                </c:pt>
                <c:pt idx="10">
                  <c:v>41.525155975364946</c:v>
                </c:pt>
                <c:pt idx="11">
                  <c:v>38.290232556026581</c:v>
                </c:pt>
                <c:pt idx="12">
                  <c:v>34.899760717941625</c:v>
                </c:pt>
                <c:pt idx="13">
                  <c:v>31.372187070910453</c:v>
                </c:pt>
                <c:pt idx="14">
                  <c:v>27.722577097516147</c:v>
                </c:pt>
                <c:pt idx="15">
                  <c:v>23.97000000000002</c:v>
                </c:pt>
                <c:pt idx="16">
                  <c:v>20.196000000000023</c:v>
                </c:pt>
                <c:pt idx="17">
                  <c:v>16.422000000000025</c:v>
                </c:pt>
                <c:pt idx="18">
                  <c:v>12.648000000000026</c:v>
                </c:pt>
                <c:pt idx="19">
                  <c:v>8.8740000000000272</c:v>
                </c:pt>
                <c:pt idx="20">
                  <c:v>5.100000000000029</c:v>
                </c:pt>
              </c:numCache>
            </c:numRef>
          </c:xVal>
          <c:yVal>
            <c:numRef>
              <c:f>'Задание 1'!$J$36:$J$56</c:f>
              <c:numCache>
                <c:formatCode>0.00</c:formatCode>
                <c:ptCount val="21"/>
                <c:pt idx="0">
                  <c:v>0.8460624197547455</c:v>
                </c:pt>
                <c:pt idx="1">
                  <c:v>0.86896489382983044</c:v>
                </c:pt>
                <c:pt idx="2">
                  <c:v>0.88705533777275392</c:v>
                </c:pt>
                <c:pt idx="3">
                  <c:v>0.86574623704993792</c:v>
                </c:pt>
                <c:pt idx="4">
                  <c:v>0.80848544029370928</c:v>
                </c:pt>
                <c:pt idx="5">
                  <c:v>0.89760705711731581</c:v>
                </c:pt>
                <c:pt idx="6">
                  <c:v>0.89793532993826364</c:v>
                </c:pt>
                <c:pt idx="7">
                  <c:v>0.85670821395351338</c:v>
                </c:pt>
                <c:pt idx="8">
                  <c:v>0.88782930428751228</c:v>
                </c:pt>
                <c:pt idx="9">
                  <c:v>0.87593951984344998</c:v>
                </c:pt>
                <c:pt idx="10">
                  <c:v>1.8424263188865357</c:v>
                </c:pt>
                <c:pt idx="11">
                  <c:v>3.0151880592320111</c:v>
                </c:pt>
                <c:pt idx="12">
                  <c:v>4.3084588481217523</c:v>
                </c:pt>
                <c:pt idx="13">
                  <c:v>5.8615171276880167</c:v>
                </c:pt>
                <c:pt idx="14">
                  <c:v>8.4983332018668829</c:v>
                </c:pt>
                <c:pt idx="15">
                  <c:v>12.702908135433642</c:v>
                </c:pt>
                <c:pt idx="16">
                  <c:v>18.861757752626552</c:v>
                </c:pt>
                <c:pt idx="17">
                  <c:v>27.265656496518446</c:v>
                </c:pt>
                <c:pt idx="18">
                  <c:v>37.92362977288554</c:v>
                </c:pt>
                <c:pt idx="19">
                  <c:v>49.162993278308427</c:v>
                </c:pt>
                <c:pt idx="20">
                  <c:v>60.585826180939883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CA-49BE-B3ED-5CD1FF7AFD1D}"/>
            </c:ext>
          </c:extLst>
        </c:ser>
        <c:ser>
          <c:idx val="2"/>
          <c:order val="2"/>
          <c:tx>
            <c:v>Скважина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1'!$F$36:$F$56</c:f>
              <c:numCache>
                <c:formatCode>0.00</c:formatCode>
                <c:ptCount val="21"/>
                <c:pt idx="0">
                  <c:v>60.315849525291291</c:v>
                </c:pt>
                <c:pt idx="1">
                  <c:v>59.175610292723107</c:v>
                </c:pt>
                <c:pt idx="2">
                  <c:v>58.03537106015493</c:v>
                </c:pt>
                <c:pt idx="3">
                  <c:v>56.895131827586745</c:v>
                </c:pt>
                <c:pt idx="4">
                  <c:v>55.754892595018568</c:v>
                </c:pt>
                <c:pt idx="5">
                  <c:v>54.487503096930155</c:v>
                </c:pt>
                <c:pt idx="6">
                  <c:v>52.499412484500304</c:v>
                </c:pt>
                <c:pt idx="7">
                  <c:v>50.008829880757965</c:v>
                </c:pt>
                <c:pt idx="8">
                  <c:v>47.188707941739601</c:v>
                </c:pt>
                <c:pt idx="9">
                  <c:v>44.130955369034602</c:v>
                </c:pt>
                <c:pt idx="10">
                  <c:v>40.891346848128286</c:v>
                </c:pt>
                <c:pt idx="11">
                  <c:v>37.506747905148643</c:v>
                </c:pt>
                <c:pt idx="12">
                  <c:v>34.003032067137632</c:v>
                </c:pt>
                <c:pt idx="13">
                  <c:v>30.39918609678654</c:v>
                </c:pt>
                <c:pt idx="14">
                  <c:v>26.709631995419759</c:v>
                </c:pt>
                <c:pt idx="15">
                  <c:v>22.950000000000021</c:v>
                </c:pt>
                <c:pt idx="16">
                  <c:v>19.176000000000023</c:v>
                </c:pt>
                <c:pt idx="17">
                  <c:v>15.402000000000024</c:v>
                </c:pt>
                <c:pt idx="18">
                  <c:v>11.628000000000027</c:v>
                </c:pt>
                <c:pt idx="19">
                  <c:v>7.8540000000000276</c:v>
                </c:pt>
                <c:pt idx="20">
                  <c:v>4.0800000000000294</c:v>
                </c:pt>
              </c:numCache>
            </c:numRef>
          </c:xVal>
          <c:yVal>
            <c:numRef>
              <c:f>'Задание 1'!$K$36:$K$56</c:f>
              <c:numCache>
                <c:formatCode>0.00</c:formatCode>
                <c:ptCount val="21"/>
                <c:pt idx="0">
                  <c:v>0.86652752651360077</c:v>
                </c:pt>
                <c:pt idx="1">
                  <c:v>0.89189642216479581</c:v>
                </c:pt>
                <c:pt idx="2">
                  <c:v>0.86575887018701003</c:v>
                </c:pt>
                <c:pt idx="3">
                  <c:v>0.88556251194546687</c:v>
                </c:pt>
                <c:pt idx="4">
                  <c:v>0.89130661763868058</c:v>
                </c:pt>
                <c:pt idx="5">
                  <c:v>0.87453255093788074</c:v>
                </c:pt>
                <c:pt idx="6">
                  <c:v>0.87738067797156727</c:v>
                </c:pt>
                <c:pt idx="7">
                  <c:v>0.88666255298609775</c:v>
                </c:pt>
                <c:pt idx="8">
                  <c:v>0.88618877809852925</c:v>
                </c:pt>
                <c:pt idx="9">
                  <c:v>0.85420015386251602</c:v>
                </c:pt>
                <c:pt idx="10">
                  <c:v>0.88242081897044955</c:v>
                </c:pt>
                <c:pt idx="11">
                  <c:v>0.88755908176499132</c:v>
                </c:pt>
                <c:pt idx="12">
                  <c:v>1.1372973557833794</c:v>
                </c:pt>
                <c:pt idx="13">
                  <c:v>3.9447803910676376</c:v>
                </c:pt>
                <c:pt idx="14">
                  <c:v>11.182240138404872</c:v>
                </c:pt>
                <c:pt idx="15">
                  <c:v>21.503946855365562</c:v>
                </c:pt>
                <c:pt idx="16">
                  <c:v>32.447320653121778</c:v>
                </c:pt>
                <c:pt idx="17">
                  <c:v>43.624342705543242</c:v>
                </c:pt>
                <c:pt idx="18">
                  <c:v>54.896168714608343</c:v>
                </c:pt>
                <c:pt idx="19">
                  <c:v>66.194985615774428</c:v>
                </c:pt>
                <c:pt idx="20">
                  <c:v>77.485689548104503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CA-49BE-B3ED-5CD1FF7AFD1D}"/>
            </c:ext>
          </c:extLst>
        </c:ser>
        <c:ser>
          <c:idx val="3"/>
          <c:order val="3"/>
          <c:tx>
            <c:v>Скважина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1'!$G$36:$G$56</c:f>
              <c:numCache>
                <c:formatCode>0.00</c:formatCode>
                <c:ptCount val="21"/>
                <c:pt idx="0">
                  <c:v>53.927269757145645</c:v>
                </c:pt>
                <c:pt idx="1">
                  <c:v>53.067501462693038</c:v>
                </c:pt>
                <c:pt idx="2">
                  <c:v>52.207733168240431</c:v>
                </c:pt>
                <c:pt idx="3">
                  <c:v>51.347964873787824</c:v>
                </c:pt>
                <c:pt idx="4">
                  <c:v>50.486691789442126</c:v>
                </c:pt>
                <c:pt idx="5">
                  <c:v>49.226898804073628</c:v>
                </c:pt>
                <c:pt idx="6">
                  <c:v>47.438575893929368</c:v>
                </c:pt>
                <c:pt idx="7">
                  <c:v>45.276552340445086</c:v>
                </c:pt>
                <c:pt idx="8">
                  <c:v>42.832205627068198</c:v>
                </c:pt>
                <c:pt idx="9">
                  <c:v>40.164815255734496</c:v>
                </c:pt>
                <c:pt idx="10">
                  <c:v>37.315428966096135</c:v>
                </c:pt>
                <c:pt idx="11">
                  <c:v>34.313863361787604</c:v>
                </c:pt>
                <c:pt idx="12">
                  <c:v>31.182586348656891</c:v>
                </c:pt>
                <c:pt idx="13">
                  <c:v>27.939027556454676</c:v>
                </c:pt>
                <c:pt idx="14">
                  <c:v>24.597031084008549</c:v>
                </c:pt>
                <c:pt idx="15">
                  <c:v>21.17300000000002</c:v>
                </c:pt>
                <c:pt idx="16">
                  <c:v>17.732000000000024</c:v>
                </c:pt>
                <c:pt idx="17">
                  <c:v>14.291000000000025</c:v>
                </c:pt>
                <c:pt idx="18">
                  <c:v>10.850000000000026</c:v>
                </c:pt>
                <c:pt idx="19">
                  <c:v>7.4090000000000282</c:v>
                </c:pt>
                <c:pt idx="20">
                  <c:v>3.9680000000000297</c:v>
                </c:pt>
              </c:numCache>
            </c:numRef>
          </c:xVal>
          <c:yVal>
            <c:numRef>
              <c:f>'Задание 1'!$L$36:$L$56</c:f>
              <c:numCache>
                <c:formatCode>0.00</c:formatCode>
                <c:ptCount val="21"/>
                <c:pt idx="0">
                  <c:v>0.87441537697892346</c:v>
                </c:pt>
                <c:pt idx="1">
                  <c:v>0.85142867324754568</c:v>
                </c:pt>
                <c:pt idx="2">
                  <c:v>0.85078809785983167</c:v>
                </c:pt>
                <c:pt idx="3">
                  <c:v>0.8997048835560979</c:v>
                </c:pt>
                <c:pt idx="4">
                  <c:v>0.88229043661055051</c:v>
                </c:pt>
                <c:pt idx="5">
                  <c:v>0.87367684060309936</c:v>
                </c:pt>
                <c:pt idx="6">
                  <c:v>0.84442613678655309</c:v>
                </c:pt>
                <c:pt idx="7">
                  <c:v>0.88442931330613106</c:v>
                </c:pt>
                <c:pt idx="8">
                  <c:v>0.89177194856569741</c:v>
                </c:pt>
                <c:pt idx="9">
                  <c:v>0.88671644843462283</c:v>
                </c:pt>
                <c:pt idx="10">
                  <c:v>0.85908726089865428</c:v>
                </c:pt>
                <c:pt idx="11">
                  <c:v>0.89743116615911667</c:v>
                </c:pt>
                <c:pt idx="12">
                  <c:v>1.6685893165129773</c:v>
                </c:pt>
                <c:pt idx="13">
                  <c:v>2.8163470775395076</c:v>
                </c:pt>
                <c:pt idx="14">
                  <c:v>4.9762953227978262</c:v>
                </c:pt>
                <c:pt idx="15">
                  <c:v>8.861855602418629</c:v>
                </c:pt>
                <c:pt idx="16">
                  <c:v>14.879569963279009</c:v>
                </c:pt>
                <c:pt idx="17">
                  <c:v>23.338669385878383</c:v>
                </c:pt>
                <c:pt idx="18">
                  <c:v>34.133960549056816</c:v>
                </c:pt>
                <c:pt idx="19">
                  <c:v>45.422209412411235</c:v>
                </c:pt>
                <c:pt idx="20">
                  <c:v>56.857535661655746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CA-49BE-B3ED-5CD1FF7AF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572111"/>
        <c:axId val="808297023"/>
      </c:scatterChart>
      <c:valAx>
        <c:axId val="110957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Дебит, 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808297023"/>
        <c:crosses val="autoZero"/>
        <c:crossBetween val="midCat"/>
      </c:valAx>
      <c:valAx>
        <c:axId val="8082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Буферное давление, атм.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10957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/>
              <a:t>Индикаторные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Скважина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1'!$D$36:$D$56</c:f>
              <c:numCache>
                <c:formatCode>0.00</c:formatCode>
                <c:ptCount val="21"/>
                <c:pt idx="0">
                  <c:v>64.959622287705599</c:v>
                </c:pt>
                <c:pt idx="1">
                  <c:v>63.976377022194704</c:v>
                </c:pt>
                <c:pt idx="2">
                  <c:v>62.993131756683802</c:v>
                </c:pt>
                <c:pt idx="3">
                  <c:v>62.009886491172907</c:v>
                </c:pt>
                <c:pt idx="4">
                  <c:v>60.886516681077538</c:v>
                </c:pt>
                <c:pt idx="5">
                  <c:v>59.114991816805649</c:v>
                </c:pt>
                <c:pt idx="6">
                  <c:v>56.794893026350671</c:v>
                </c:pt>
                <c:pt idx="7">
                  <c:v>54.040594192536709</c:v>
                </c:pt>
                <c:pt idx="8">
                  <c:v>50.931510921188945</c:v>
                </c:pt>
                <c:pt idx="9">
                  <c:v>47.525449437865255</c:v>
                </c:pt>
                <c:pt idx="10">
                  <c:v>43.866039449182161</c:v>
                </c:pt>
                <c:pt idx="11">
                  <c:v>39.987171072136469</c:v>
                </c:pt>
                <c:pt idx="12">
                  <c:v>35.915791529815301</c:v>
                </c:pt>
                <c:pt idx="13">
                  <c:v>31.673746943397092</c:v>
                </c:pt>
                <c:pt idx="14">
                  <c:v>27.279039840448849</c:v>
                </c:pt>
                <c:pt idx="15">
                  <c:v>22.75500000000002</c:v>
                </c:pt>
                <c:pt idx="16">
                  <c:v>18.204000000000025</c:v>
                </c:pt>
                <c:pt idx="17">
                  <c:v>13.653000000000027</c:v>
                </c:pt>
                <c:pt idx="18">
                  <c:v>9.1020000000000305</c:v>
                </c:pt>
                <c:pt idx="19">
                  <c:v>4.5510000000000321</c:v>
                </c:pt>
                <c:pt idx="20">
                  <c:v>3.4958702599396929E-14</c:v>
                </c:pt>
              </c:numCache>
            </c:numRef>
          </c:xVal>
          <c:yVal>
            <c:numRef>
              <c:f>'Задание 1'!$C$62:$C$82</c:f>
              <c:numCache>
                <c:formatCode>0.00</c:formatCode>
                <c:ptCount val="21"/>
                <c:pt idx="0">
                  <c:v>0.88677051162621068</c:v>
                </c:pt>
                <c:pt idx="1">
                  <c:v>0.82002520860490324</c:v>
                </c:pt>
                <c:pt idx="2">
                  <c:v>0.86515663224367534</c:v>
                </c:pt>
                <c:pt idx="3">
                  <c:v>0.80993988320005328</c:v>
                </c:pt>
                <c:pt idx="4">
                  <c:v>0.83586932770592681</c:v>
                </c:pt>
                <c:pt idx="5">
                  <c:v>0.86692869880465051</c:v>
                </c:pt>
                <c:pt idx="6">
                  <c:v>0.81913564290341212</c:v>
                </c:pt>
                <c:pt idx="7">
                  <c:v>0.8942048040446966</c:v>
                </c:pt>
                <c:pt idx="8">
                  <c:v>0.88361667763071305</c:v>
                </c:pt>
                <c:pt idx="9">
                  <c:v>0.88828812242707889</c:v>
                </c:pt>
                <c:pt idx="10">
                  <c:v>0.89918007556221402</c:v>
                </c:pt>
                <c:pt idx="11">
                  <c:v>1.8201462732295561</c:v>
                </c:pt>
                <c:pt idx="12">
                  <c:v>3.5226554393945935</c:v>
                </c:pt>
                <c:pt idx="13">
                  <c:v>7.5219592686775663</c:v>
                </c:pt>
                <c:pt idx="14">
                  <c:v>14.480008245309451</c:v>
                </c:pt>
                <c:pt idx="15">
                  <c:v>23.755902629278921</c:v>
                </c:pt>
                <c:pt idx="16">
                  <c:v>34.826646956098756</c:v>
                </c:pt>
                <c:pt idx="17">
                  <c:v>46.201721689613287</c:v>
                </c:pt>
                <c:pt idx="18">
                  <c:v>57.68464793761747</c:v>
                </c:pt>
                <c:pt idx="19">
                  <c:v>69.182550225134818</c:v>
                </c:pt>
                <c:pt idx="20">
                  <c:v>80.607711856530329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C-4069-BCE3-E7487E43EB70}"/>
            </c:ext>
          </c:extLst>
        </c:ser>
        <c:ser>
          <c:idx val="1"/>
          <c:order val="1"/>
          <c:tx>
            <c:v>Скважина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1'!$E$36:$E$56</c:f>
              <c:numCache>
                <c:formatCode>0.00</c:formatCode>
                <c:ptCount val="21"/>
                <c:pt idx="0">
                  <c:v>59.182280523209194</c:v>
                </c:pt>
                <c:pt idx="1">
                  <c:v>58.336549629942589</c:v>
                </c:pt>
                <c:pt idx="2">
                  <c:v>57.490818736675983</c:v>
                </c:pt>
                <c:pt idx="3">
                  <c:v>56.645087843409385</c:v>
                </c:pt>
                <c:pt idx="4">
                  <c:v>55.725093250652598</c:v>
                </c:pt>
                <c:pt idx="5">
                  <c:v>54.27074316522905</c:v>
                </c:pt>
                <c:pt idx="6">
                  <c:v>52.33700504665557</c:v>
                </c:pt>
                <c:pt idx="7">
                  <c:v>50.032482529832301</c:v>
                </c:pt>
                <c:pt idx="8">
                  <c:v>47.430077242255614</c:v>
                </c:pt>
                <c:pt idx="9">
                  <c:v>44.581534697759714</c:v>
                </c:pt>
                <c:pt idx="10">
                  <c:v>41.525155975364946</c:v>
                </c:pt>
                <c:pt idx="11">
                  <c:v>38.290232556026581</c:v>
                </c:pt>
                <c:pt idx="12">
                  <c:v>34.899760717941625</c:v>
                </c:pt>
                <c:pt idx="13">
                  <c:v>31.372187070910453</c:v>
                </c:pt>
                <c:pt idx="14">
                  <c:v>27.722577097516147</c:v>
                </c:pt>
                <c:pt idx="15">
                  <c:v>23.97000000000002</c:v>
                </c:pt>
                <c:pt idx="16">
                  <c:v>20.196000000000023</c:v>
                </c:pt>
                <c:pt idx="17">
                  <c:v>16.422000000000025</c:v>
                </c:pt>
                <c:pt idx="18">
                  <c:v>12.648000000000026</c:v>
                </c:pt>
                <c:pt idx="19">
                  <c:v>8.8740000000000272</c:v>
                </c:pt>
                <c:pt idx="20">
                  <c:v>5.100000000000029</c:v>
                </c:pt>
              </c:numCache>
            </c:numRef>
          </c:xVal>
          <c:yVal>
            <c:numRef>
              <c:f>'Задание 1'!$D$62:$D$82</c:f>
              <c:numCache>
                <c:formatCode>0.00</c:formatCode>
                <c:ptCount val="21"/>
                <c:pt idx="0">
                  <c:v>0.8460624197547455</c:v>
                </c:pt>
                <c:pt idx="1">
                  <c:v>0.86896489382983044</c:v>
                </c:pt>
                <c:pt idx="2">
                  <c:v>0.88705533777275392</c:v>
                </c:pt>
                <c:pt idx="3">
                  <c:v>0.86574623704993792</c:v>
                </c:pt>
                <c:pt idx="4">
                  <c:v>0.80848544029370928</c:v>
                </c:pt>
                <c:pt idx="5">
                  <c:v>0.89760705711731581</c:v>
                </c:pt>
                <c:pt idx="6">
                  <c:v>0.89793532993826364</c:v>
                </c:pt>
                <c:pt idx="7">
                  <c:v>0.85670821395351338</c:v>
                </c:pt>
                <c:pt idx="8">
                  <c:v>0.88782930428751228</c:v>
                </c:pt>
                <c:pt idx="9">
                  <c:v>0.87593951984344998</c:v>
                </c:pt>
                <c:pt idx="10">
                  <c:v>0.88731300718577244</c:v>
                </c:pt>
                <c:pt idx="11">
                  <c:v>1.4075993502687816</c:v>
                </c:pt>
                <c:pt idx="12">
                  <c:v>2.2967236165384159</c:v>
                </c:pt>
                <c:pt idx="13">
                  <c:v>3.4064417430662117</c:v>
                </c:pt>
                <c:pt idx="14">
                  <c:v>5.3840247978599685</c:v>
                </c:pt>
                <c:pt idx="15">
                  <c:v>8.6990853606209626</c:v>
                </c:pt>
                <c:pt idx="16">
                  <c:v>13.77453653656554</c:v>
                </c:pt>
                <c:pt idx="17">
                  <c:v>21.131306921645912</c:v>
                </c:pt>
                <c:pt idx="18">
                  <c:v>31.788546434636544</c:v>
                </c:pt>
                <c:pt idx="19">
                  <c:v>43.058795604638966</c:v>
                </c:pt>
                <c:pt idx="20">
                  <c:v>54.514537818805564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6C-4069-BCE3-E7487E43EB70}"/>
            </c:ext>
          </c:extLst>
        </c:ser>
        <c:ser>
          <c:idx val="2"/>
          <c:order val="2"/>
          <c:tx>
            <c:v>Скважина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1'!$F$36:$F$56</c:f>
              <c:numCache>
                <c:formatCode>0.00</c:formatCode>
                <c:ptCount val="21"/>
                <c:pt idx="0">
                  <c:v>60.315849525291291</c:v>
                </c:pt>
                <c:pt idx="1">
                  <c:v>59.175610292723107</c:v>
                </c:pt>
                <c:pt idx="2">
                  <c:v>58.03537106015493</c:v>
                </c:pt>
                <c:pt idx="3">
                  <c:v>56.895131827586745</c:v>
                </c:pt>
                <c:pt idx="4">
                  <c:v>55.754892595018568</c:v>
                </c:pt>
                <c:pt idx="5">
                  <c:v>54.487503096930155</c:v>
                </c:pt>
                <c:pt idx="6">
                  <c:v>52.499412484500304</c:v>
                </c:pt>
                <c:pt idx="7">
                  <c:v>50.008829880757965</c:v>
                </c:pt>
                <c:pt idx="8">
                  <c:v>47.188707941739601</c:v>
                </c:pt>
                <c:pt idx="9">
                  <c:v>44.130955369034602</c:v>
                </c:pt>
                <c:pt idx="10">
                  <c:v>40.891346848128286</c:v>
                </c:pt>
                <c:pt idx="11">
                  <c:v>37.506747905148643</c:v>
                </c:pt>
                <c:pt idx="12">
                  <c:v>34.003032067137632</c:v>
                </c:pt>
                <c:pt idx="13">
                  <c:v>30.39918609678654</c:v>
                </c:pt>
                <c:pt idx="14">
                  <c:v>26.709631995419759</c:v>
                </c:pt>
                <c:pt idx="15">
                  <c:v>22.950000000000021</c:v>
                </c:pt>
                <c:pt idx="16">
                  <c:v>19.176000000000023</c:v>
                </c:pt>
                <c:pt idx="17">
                  <c:v>15.402000000000024</c:v>
                </c:pt>
                <c:pt idx="18">
                  <c:v>11.628000000000027</c:v>
                </c:pt>
                <c:pt idx="19">
                  <c:v>7.8540000000000276</c:v>
                </c:pt>
                <c:pt idx="20">
                  <c:v>4.0800000000000294</c:v>
                </c:pt>
              </c:numCache>
            </c:numRef>
          </c:xVal>
          <c:yVal>
            <c:numRef>
              <c:f>'Задание 1'!$E$62:$E$82</c:f>
              <c:numCache>
                <c:formatCode>0.00</c:formatCode>
                <c:ptCount val="21"/>
                <c:pt idx="0">
                  <c:v>0.86652752651360077</c:v>
                </c:pt>
                <c:pt idx="1">
                  <c:v>0.89189642216479581</c:v>
                </c:pt>
                <c:pt idx="2">
                  <c:v>0.86575887018701003</c:v>
                </c:pt>
                <c:pt idx="3">
                  <c:v>0.88556251194546687</c:v>
                </c:pt>
                <c:pt idx="4">
                  <c:v>0.89130661763868058</c:v>
                </c:pt>
                <c:pt idx="5">
                  <c:v>0.87453255093788074</c:v>
                </c:pt>
                <c:pt idx="6">
                  <c:v>0.87738067797156727</c:v>
                </c:pt>
                <c:pt idx="7">
                  <c:v>0.88666255298609775</c:v>
                </c:pt>
                <c:pt idx="8">
                  <c:v>0.88618877809852925</c:v>
                </c:pt>
                <c:pt idx="9">
                  <c:v>0.85420015386251602</c:v>
                </c:pt>
                <c:pt idx="10">
                  <c:v>0.88242081897044955</c:v>
                </c:pt>
                <c:pt idx="11">
                  <c:v>0.88755908176499132</c:v>
                </c:pt>
                <c:pt idx="12">
                  <c:v>0.8731109631646089</c:v>
                </c:pt>
                <c:pt idx="13">
                  <c:v>2.0193099070917881</c:v>
                </c:pt>
                <c:pt idx="14">
                  <c:v>7.5077970111206414</c:v>
                </c:pt>
                <c:pt idx="15">
                  <c:v>16.13844257578037</c:v>
                </c:pt>
                <c:pt idx="16">
                  <c:v>26.296963723352494</c:v>
                </c:pt>
                <c:pt idx="17">
                  <c:v>37.504129855739308</c:v>
                </c:pt>
                <c:pt idx="18">
                  <c:v>48.8079316770296</c:v>
                </c:pt>
                <c:pt idx="19">
                  <c:v>60.139987714694563</c:v>
                </c:pt>
                <c:pt idx="20">
                  <c:v>71.464684794442903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6C-4069-BCE3-E7487E43EB70}"/>
            </c:ext>
          </c:extLst>
        </c:ser>
        <c:ser>
          <c:idx val="3"/>
          <c:order val="3"/>
          <c:tx>
            <c:v>Скважина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1'!$G$36:$G$56</c:f>
              <c:numCache>
                <c:formatCode>0.00</c:formatCode>
                <c:ptCount val="21"/>
                <c:pt idx="0">
                  <c:v>53.927269757145645</c:v>
                </c:pt>
                <c:pt idx="1">
                  <c:v>53.067501462693038</c:v>
                </c:pt>
                <c:pt idx="2">
                  <c:v>52.207733168240431</c:v>
                </c:pt>
                <c:pt idx="3">
                  <c:v>51.347964873787824</c:v>
                </c:pt>
                <c:pt idx="4">
                  <c:v>50.486691789442126</c:v>
                </c:pt>
                <c:pt idx="5">
                  <c:v>49.226898804073628</c:v>
                </c:pt>
                <c:pt idx="6">
                  <c:v>47.438575893929368</c:v>
                </c:pt>
                <c:pt idx="7">
                  <c:v>45.276552340445086</c:v>
                </c:pt>
                <c:pt idx="8">
                  <c:v>42.832205627068198</c:v>
                </c:pt>
                <c:pt idx="9">
                  <c:v>40.164815255734496</c:v>
                </c:pt>
                <c:pt idx="10">
                  <c:v>37.315428966096135</c:v>
                </c:pt>
                <c:pt idx="11">
                  <c:v>34.313863361787604</c:v>
                </c:pt>
                <c:pt idx="12">
                  <c:v>31.182586348656891</c:v>
                </c:pt>
                <c:pt idx="13">
                  <c:v>27.939027556454676</c:v>
                </c:pt>
                <c:pt idx="14">
                  <c:v>24.597031084008549</c:v>
                </c:pt>
                <c:pt idx="15">
                  <c:v>21.17300000000002</c:v>
                </c:pt>
                <c:pt idx="16">
                  <c:v>17.732000000000024</c:v>
                </c:pt>
                <c:pt idx="17">
                  <c:v>14.291000000000025</c:v>
                </c:pt>
                <c:pt idx="18">
                  <c:v>10.850000000000026</c:v>
                </c:pt>
                <c:pt idx="19">
                  <c:v>7.4090000000000282</c:v>
                </c:pt>
                <c:pt idx="20">
                  <c:v>3.9680000000000297</c:v>
                </c:pt>
              </c:numCache>
            </c:numRef>
          </c:xVal>
          <c:yVal>
            <c:numRef>
              <c:f>'Задание 1'!$F$62:$F$82</c:f>
              <c:numCache>
                <c:formatCode>0.00</c:formatCode>
                <c:ptCount val="21"/>
                <c:pt idx="0">
                  <c:v>0.87441537697892346</c:v>
                </c:pt>
                <c:pt idx="1">
                  <c:v>0.85142867324754568</c:v>
                </c:pt>
                <c:pt idx="2">
                  <c:v>0.85078809785983167</c:v>
                </c:pt>
                <c:pt idx="3">
                  <c:v>0.8997048835560979</c:v>
                </c:pt>
                <c:pt idx="4">
                  <c:v>0.88229043661055051</c:v>
                </c:pt>
                <c:pt idx="5">
                  <c:v>0.87367684060309936</c:v>
                </c:pt>
                <c:pt idx="6">
                  <c:v>0.84442613678655309</c:v>
                </c:pt>
                <c:pt idx="7">
                  <c:v>0.88442931330613106</c:v>
                </c:pt>
                <c:pt idx="8">
                  <c:v>0.89177194856569741</c:v>
                </c:pt>
                <c:pt idx="9">
                  <c:v>0.88671644843462283</c:v>
                </c:pt>
                <c:pt idx="10">
                  <c:v>0.85908726089865428</c:v>
                </c:pt>
                <c:pt idx="11">
                  <c:v>0.89743116615911667</c:v>
                </c:pt>
                <c:pt idx="12">
                  <c:v>0.88339363008062621</c:v>
                </c:pt>
                <c:pt idx="13">
                  <c:v>1.2507652685839721</c:v>
                </c:pt>
                <c:pt idx="14">
                  <c:v>2.704459040142964</c:v>
                </c:pt>
                <c:pt idx="15">
                  <c:v>5.5704143011383973</c:v>
                </c:pt>
                <c:pt idx="16">
                  <c:v>10.340583298255332</c:v>
                </c:pt>
                <c:pt idx="17">
                  <c:v>17.414910966996018</c:v>
                </c:pt>
                <c:pt idx="18">
                  <c:v>27.989317292062054</c:v>
                </c:pt>
                <c:pt idx="19">
                  <c:v>39.307791365339973</c:v>
                </c:pt>
                <c:pt idx="20">
                  <c:v>50.775480897657232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6C-4069-BCE3-E7487E43E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572111"/>
        <c:axId val="808297023"/>
      </c:scatterChart>
      <c:valAx>
        <c:axId val="110957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Дебит, 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808297023"/>
        <c:crosses val="autoZero"/>
        <c:crossBetween val="midCat"/>
      </c:valAx>
      <c:valAx>
        <c:axId val="8082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Буферное давление, атм.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10957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60324</xdr:colOff>
      <xdr:row>0</xdr:row>
      <xdr:rowOff>171450</xdr:rowOff>
    </xdr:from>
    <xdr:to>
      <xdr:col>28</xdr:col>
      <xdr:colOff>50799</xdr:colOff>
      <xdr:row>18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574042-FDE3-4C4F-8477-0CD8DB2BE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695324</xdr:colOff>
      <xdr:row>34</xdr:row>
      <xdr:rowOff>41274</xdr:rowOff>
    </xdr:from>
    <xdr:to>
      <xdr:col>29</xdr:col>
      <xdr:colOff>685799</xdr:colOff>
      <xdr:row>57</xdr:row>
      <xdr:rowOff>12699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E584C07-0263-43E3-B315-C8751E701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44450</xdr:colOff>
      <xdr:row>34</xdr:row>
      <xdr:rowOff>44450</xdr:rowOff>
    </xdr:from>
    <xdr:to>
      <xdr:col>20</xdr:col>
      <xdr:colOff>625475</xdr:colOff>
      <xdr:row>55</xdr:row>
      <xdr:rowOff>152399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F9AA201-617A-4C4D-9943-DB1F6CC9E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58</xdr:row>
      <xdr:rowOff>114300</xdr:rowOff>
    </xdr:from>
    <xdr:to>
      <xdr:col>15</xdr:col>
      <xdr:colOff>149225</xdr:colOff>
      <xdr:row>80</xdr:row>
      <xdr:rowOff>25399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C11946F-12A6-45C4-B6AB-D5607461E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veva\Downloads\unifloc_vba-master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solve"/>
      <definedName name="GLV_p_atma"/>
      <definedName name="GLV_q_gas_sm3day"/>
      <definedName name="IPR_pi_sm3dayatm"/>
      <definedName name="IPR_qliq_sm3day"/>
      <definedName name="MF_p_choke_atma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B6B-C41D-4F3F-BD5E-5D633B0C5B65}">
  <dimension ref="A1:U217"/>
  <sheetViews>
    <sheetView workbookViewId="0">
      <selection activeCell="K160" sqref="K160"/>
    </sheetView>
  </sheetViews>
  <sheetFormatPr defaultRowHeight="15.5" x14ac:dyDescent="0.35"/>
  <cols>
    <col min="1" max="1" width="21.765625" bestFit="1" customWidth="1"/>
    <col min="2" max="5" width="10.3828125" bestFit="1" customWidth="1"/>
    <col min="6" max="6" width="14.15234375" customWidth="1"/>
    <col min="8" max="8" width="10.765625" bestFit="1" customWidth="1"/>
    <col min="9" max="10" width="10.4609375" bestFit="1" customWidth="1"/>
    <col min="11" max="11" width="12.15234375" bestFit="1" customWidth="1"/>
    <col min="12" max="12" width="10.4609375" bestFit="1" customWidth="1"/>
  </cols>
  <sheetData>
    <row r="1" spans="1:18" x14ac:dyDescent="0.35">
      <c r="A1" s="13" t="s">
        <v>45</v>
      </c>
      <c r="B1" s="13"/>
      <c r="C1" s="13"/>
      <c r="H1" s="12" t="s">
        <v>44</v>
      </c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5">
      <c r="A2" t="s">
        <v>46</v>
      </c>
      <c r="B2" t="s">
        <v>47</v>
      </c>
      <c r="C2" t="s">
        <v>48</v>
      </c>
      <c r="H2" s="12" t="s">
        <v>3</v>
      </c>
      <c r="I2" s="12"/>
      <c r="J2" s="12"/>
      <c r="K2" s="12"/>
      <c r="L2" s="12"/>
      <c r="M2" s="4"/>
      <c r="N2" s="12" t="s">
        <v>4</v>
      </c>
      <c r="O2" s="12"/>
      <c r="P2" s="12"/>
      <c r="Q2" s="12"/>
      <c r="R2" s="12"/>
    </row>
    <row r="3" spans="1:18" x14ac:dyDescent="0.35">
      <c r="A3" t="s">
        <v>5</v>
      </c>
      <c r="B3">
        <v>9.5</v>
      </c>
      <c r="C3" t="s">
        <v>15</v>
      </c>
      <c r="H3" s="1" t="s">
        <v>2</v>
      </c>
      <c r="I3" s="1" t="s">
        <v>1</v>
      </c>
      <c r="J3" s="4" t="s">
        <v>0</v>
      </c>
      <c r="K3" s="1" t="s">
        <v>1</v>
      </c>
      <c r="L3" s="2" t="s">
        <v>50</v>
      </c>
      <c r="M3" s="4"/>
      <c r="N3" s="1" t="s">
        <v>2</v>
      </c>
      <c r="O3" s="1" t="s">
        <v>1</v>
      </c>
      <c r="P3" s="2" t="s">
        <v>0</v>
      </c>
      <c r="Q3" s="1" t="s">
        <v>1</v>
      </c>
      <c r="R3" s="2" t="s">
        <v>50</v>
      </c>
    </row>
    <row r="4" spans="1:18" x14ac:dyDescent="0.35">
      <c r="A4" t="s">
        <v>6</v>
      </c>
      <c r="B4">
        <f>824.4/1000</f>
        <v>0.82440000000000002</v>
      </c>
      <c r="C4" t="s">
        <v>7</v>
      </c>
      <c r="H4" s="1">
        <v>0</v>
      </c>
      <c r="I4" s="1">
        <v>0</v>
      </c>
      <c r="J4" s="1">
        <v>71</v>
      </c>
      <c r="K4" s="1">
        <v>0</v>
      </c>
      <c r="L4" s="1">
        <f>(I4-$I$6)/100*Геотермический_град+Тпласт</f>
        <v>57.06</v>
      </c>
      <c r="M4" s="4"/>
      <c r="N4" s="2">
        <v>0</v>
      </c>
      <c r="O4" s="2">
        <v>0</v>
      </c>
      <c r="P4" s="2">
        <v>64</v>
      </c>
      <c r="Q4" s="1">
        <v>0</v>
      </c>
      <c r="R4" s="1">
        <f>(Q4-$Q$6)/100*Геотермический_град+Тпласт</f>
        <v>51.36</v>
      </c>
    </row>
    <row r="5" spans="1:18" x14ac:dyDescent="0.35">
      <c r="A5" t="s">
        <v>8</v>
      </c>
      <c r="B5">
        <v>0.9</v>
      </c>
      <c r="C5" t="s">
        <v>9</v>
      </c>
      <c r="H5" s="1">
        <v>810</v>
      </c>
      <c r="I5" s="1">
        <v>710</v>
      </c>
      <c r="J5" s="1">
        <v>71</v>
      </c>
      <c r="K5" s="1">
        <v>710</v>
      </c>
      <c r="L5" s="1">
        <f>(I5-$I$6)/100*Геотермический_град+Тпласт</f>
        <v>71.260000000000005</v>
      </c>
      <c r="M5" s="4"/>
      <c r="N5" s="2">
        <v>900</v>
      </c>
      <c r="O5" s="2">
        <v>900</v>
      </c>
      <c r="P5" s="2">
        <v>64</v>
      </c>
      <c r="Q5" s="1">
        <v>900</v>
      </c>
      <c r="R5" s="1">
        <f>(Q5-$Q$6)/100*Геотермический_град+Тпласт</f>
        <v>69.36</v>
      </c>
    </row>
    <row r="6" spans="1:18" x14ac:dyDescent="0.35">
      <c r="A6" t="s">
        <v>10</v>
      </c>
      <c r="B6">
        <f>1036.6/1000</f>
        <v>1.0366</v>
      </c>
      <c r="C6" t="s">
        <v>7</v>
      </c>
      <c r="H6" s="1">
        <v>1947</v>
      </c>
      <c r="I6" s="1">
        <v>1647</v>
      </c>
      <c r="J6" s="1">
        <v>94</v>
      </c>
      <c r="K6" s="1">
        <v>1647</v>
      </c>
      <c r="L6" s="1">
        <f>(I6-$I$6)/100*Геотермический_град+Тпласт</f>
        <v>90</v>
      </c>
      <c r="M6" s="4"/>
      <c r="N6" s="2">
        <v>1932</v>
      </c>
      <c r="O6" s="2">
        <v>1932</v>
      </c>
      <c r="P6" s="2">
        <v>99</v>
      </c>
      <c r="Q6" s="1">
        <v>1932</v>
      </c>
      <c r="R6" s="1">
        <f>(Q6-$Q$6)/100*Геотермический_град+Тпласт</f>
        <v>90</v>
      </c>
    </row>
    <row r="7" spans="1:18" x14ac:dyDescent="0.35">
      <c r="A7" t="s">
        <v>11</v>
      </c>
      <c r="B7">
        <v>133.30000000000001</v>
      </c>
      <c r="C7" t="s">
        <v>13</v>
      </c>
    </row>
    <row r="8" spans="1:18" x14ac:dyDescent="0.35">
      <c r="A8" t="s">
        <v>12</v>
      </c>
      <c r="B8">
        <v>133.30000000000001</v>
      </c>
      <c r="C8" t="s">
        <v>13</v>
      </c>
    </row>
    <row r="9" spans="1:18" x14ac:dyDescent="0.35">
      <c r="A9" t="s">
        <v>14</v>
      </c>
      <c r="B9">
        <v>163.5</v>
      </c>
      <c r="C9" t="s">
        <v>15</v>
      </c>
    </row>
    <row r="10" spans="1:18" x14ac:dyDescent="0.35">
      <c r="A10" t="s">
        <v>16</v>
      </c>
      <c r="B10">
        <v>100</v>
      </c>
      <c r="C10" t="s">
        <v>17</v>
      </c>
    </row>
    <row r="11" spans="1:18" x14ac:dyDescent="0.35">
      <c r="A11" t="s">
        <v>18</v>
      </c>
      <c r="B11">
        <v>90</v>
      </c>
      <c r="C11" t="s">
        <v>17</v>
      </c>
    </row>
    <row r="12" spans="1:18" x14ac:dyDescent="0.35">
      <c r="A12" t="s">
        <v>19</v>
      </c>
      <c r="B12">
        <v>2</v>
      </c>
      <c r="C12" t="s">
        <v>20</v>
      </c>
      <c r="E12" t="s">
        <v>43</v>
      </c>
      <c r="F12" t="str" cm="1">
        <f t="array" ref="F12">[1]!PVT_encode_string(Плотность_газа,Плотность_нефти,Плотность_воды,Газодержание,,Давление_насыщения,Температура_пластовая)</f>
        <v>{"gamma_gas":0.9,"gamma_oil":0.8244,"gamma_wat":1.0366,"rsb_m3m3":133.3,"pb_atma":163.5,"t_res_C":100}</v>
      </c>
    </row>
    <row r="14" spans="1:18" x14ac:dyDescent="0.35">
      <c r="A14" s="12" t="s">
        <v>49</v>
      </c>
      <c r="B14" s="12"/>
      <c r="C14" s="12"/>
      <c r="D14" s="12"/>
      <c r="E14" s="12"/>
      <c r="F14" s="12"/>
    </row>
    <row r="15" spans="1:18" x14ac:dyDescent="0.35">
      <c r="A15" s="4"/>
      <c r="B15" s="4" t="s">
        <v>24</v>
      </c>
      <c r="C15" s="4" t="s">
        <v>25</v>
      </c>
      <c r="D15" s="4" t="s">
        <v>26</v>
      </c>
      <c r="E15" s="4" t="s">
        <v>27</v>
      </c>
      <c r="F15" s="4"/>
    </row>
    <row r="16" spans="1:18" x14ac:dyDescent="0.35">
      <c r="A16" s="4" t="s">
        <v>28</v>
      </c>
      <c r="B16" s="1">
        <v>0.41</v>
      </c>
      <c r="C16" s="1">
        <v>0.34</v>
      </c>
      <c r="D16" s="1">
        <v>0.34</v>
      </c>
      <c r="E16" s="1">
        <v>0.31</v>
      </c>
      <c r="F16" s="4"/>
    </row>
    <row r="17" spans="1:21" x14ac:dyDescent="0.35">
      <c r="A17" s="4" t="s">
        <v>29</v>
      </c>
      <c r="B17" s="1">
        <v>53</v>
      </c>
      <c r="C17" s="1">
        <v>55</v>
      </c>
      <c r="D17" s="1">
        <v>70</v>
      </c>
      <c r="E17" s="1">
        <v>61</v>
      </c>
      <c r="F17" s="1" t="s">
        <v>31</v>
      </c>
    </row>
    <row r="18" spans="1:21" x14ac:dyDescent="0.35">
      <c r="A18" s="4" t="s">
        <v>30</v>
      </c>
      <c r="B18" s="1">
        <v>223</v>
      </c>
      <c r="C18" s="1">
        <v>238</v>
      </c>
      <c r="D18" s="1">
        <v>235</v>
      </c>
      <c r="E18" s="1">
        <v>235.8</v>
      </c>
      <c r="F18" s="1" t="s">
        <v>32</v>
      </c>
    </row>
    <row r="22" spans="1:21" x14ac:dyDescent="0.35">
      <c r="A22" s="4" t="s">
        <v>21</v>
      </c>
      <c r="B22" s="4">
        <v>0</v>
      </c>
      <c r="C22" s="4" t="s">
        <v>23</v>
      </c>
    </row>
    <row r="23" spans="1:21" x14ac:dyDescent="0.35">
      <c r="A23" s="4" t="s">
        <v>22</v>
      </c>
      <c r="B23" s="4">
        <v>-70</v>
      </c>
      <c r="C23" s="4" t="s">
        <v>23</v>
      </c>
    </row>
    <row r="24" spans="1:21" x14ac:dyDescent="0.35">
      <c r="H24" s="12" t="s">
        <v>56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35">
      <c r="A25" s="4"/>
      <c r="B25" s="1" t="s">
        <v>37</v>
      </c>
      <c r="C25" s="1" t="s">
        <v>38</v>
      </c>
      <c r="D25" s="1" t="s">
        <v>39</v>
      </c>
      <c r="E25" s="1" t="s">
        <v>40</v>
      </c>
      <c r="F25" s="1" t="s">
        <v>41</v>
      </c>
      <c r="H25" s="14" t="s">
        <v>51</v>
      </c>
      <c r="I25" s="14"/>
      <c r="K25" s="14" t="s">
        <v>52</v>
      </c>
      <c r="L25" s="14"/>
      <c r="N25" s="14" t="s">
        <v>53</v>
      </c>
      <c r="O25" s="14"/>
      <c r="Q25" s="14" t="s">
        <v>54</v>
      </c>
      <c r="R25" s="14"/>
      <c r="T25" s="14" t="s">
        <v>55</v>
      </c>
      <c r="U25" s="14"/>
    </row>
    <row r="26" spans="1:21" x14ac:dyDescent="0.35">
      <c r="A26" s="4" t="s">
        <v>33</v>
      </c>
      <c r="B26" s="4">
        <v>1</v>
      </c>
      <c r="C26" s="4">
        <v>500</v>
      </c>
      <c r="D26" s="4">
        <v>1</v>
      </c>
      <c r="E26" s="4">
        <v>500</v>
      </c>
      <c r="F26" s="4">
        <v>104</v>
      </c>
      <c r="H26" s="1">
        <v>0</v>
      </c>
      <c r="I26" s="1">
        <f>B22</f>
        <v>0</v>
      </c>
      <c r="K26" s="1">
        <v>0</v>
      </c>
      <c r="L26" s="1">
        <f>E22</f>
        <v>0</v>
      </c>
      <c r="N26" s="2">
        <v>0</v>
      </c>
      <c r="O26" s="2">
        <f>H22</f>
        <v>0</v>
      </c>
      <c r="Q26" s="1">
        <v>0</v>
      </c>
      <c r="R26" s="1">
        <f>K22</f>
        <v>0</v>
      </c>
      <c r="T26" s="1">
        <v>0</v>
      </c>
      <c r="U26" s="1">
        <f>N22</f>
        <v>0</v>
      </c>
    </row>
    <row r="27" spans="1:21" x14ac:dyDescent="0.35">
      <c r="A27" s="4" t="s">
        <v>34</v>
      </c>
      <c r="B27" s="4">
        <v>1000</v>
      </c>
      <c r="C27" s="4">
        <v>500</v>
      </c>
      <c r="D27" s="4">
        <v>1000</v>
      </c>
      <c r="E27" s="4">
        <v>600</v>
      </c>
      <c r="F27" s="4">
        <v>104</v>
      </c>
      <c r="H27" s="3">
        <f>SQRT((C26-B26)^2+(E26-D26)^2)</f>
        <v>705.69256762417444</v>
      </c>
      <c r="I27" s="1">
        <f>$B$23</f>
        <v>-70</v>
      </c>
      <c r="K27" s="3">
        <f>SQRT((C27-B27)^2+(E27-D27)^2)</f>
        <v>640.31242374328485</v>
      </c>
      <c r="L27" s="1">
        <f>$B$23</f>
        <v>-70</v>
      </c>
      <c r="N27" s="3">
        <f>SQRT((C28-B28)^2+(E28-D28)^2)</f>
        <v>639.53186003513542</v>
      </c>
      <c r="O27" s="1">
        <f>$B$23</f>
        <v>-70</v>
      </c>
      <c r="Q27" s="3">
        <f>SQRT((C29-B29)^2+(E29-D29)^2)</f>
        <v>780.25700894000306</v>
      </c>
      <c r="R27" s="1">
        <f>$B$23</f>
        <v>-70</v>
      </c>
      <c r="T27" s="1">
        <f>SQRT((C30-B30)^2+(E30-D30)^2)</f>
        <v>1900</v>
      </c>
      <c r="U27" s="1">
        <v>0</v>
      </c>
    </row>
    <row r="28" spans="1:21" x14ac:dyDescent="0.35">
      <c r="A28" s="4" t="s">
        <v>35</v>
      </c>
      <c r="B28" s="4">
        <v>1</v>
      </c>
      <c r="C28" s="4">
        <v>500</v>
      </c>
      <c r="D28" s="4">
        <v>1000</v>
      </c>
      <c r="E28" s="4">
        <v>600</v>
      </c>
      <c r="F28" s="4">
        <v>112</v>
      </c>
    </row>
    <row r="29" spans="1:21" x14ac:dyDescent="0.35">
      <c r="A29" s="4" t="s">
        <v>36</v>
      </c>
      <c r="B29" s="4">
        <v>500</v>
      </c>
      <c r="C29" s="4">
        <v>1000</v>
      </c>
      <c r="D29" s="4">
        <v>600</v>
      </c>
      <c r="E29" s="4">
        <v>1</v>
      </c>
      <c r="F29" s="4">
        <v>114</v>
      </c>
    </row>
    <row r="30" spans="1:21" x14ac:dyDescent="0.35">
      <c r="A30" s="4" t="s">
        <v>42</v>
      </c>
      <c r="B30" s="4">
        <v>500</v>
      </c>
      <c r="C30" s="4">
        <v>500</v>
      </c>
      <c r="D30" s="4">
        <v>600</v>
      </c>
      <c r="E30" s="4">
        <v>2500</v>
      </c>
      <c r="F30" s="4">
        <v>119</v>
      </c>
    </row>
    <row r="33" spans="1:12" x14ac:dyDescent="0.35">
      <c r="A33" t="s">
        <v>66</v>
      </c>
    </row>
    <row r="35" spans="1:12" x14ac:dyDescent="0.35">
      <c r="C35" s="1" t="s">
        <v>57</v>
      </c>
      <c r="D35" s="1" t="s">
        <v>58</v>
      </c>
      <c r="E35" s="1" t="s">
        <v>59</v>
      </c>
      <c r="F35" s="1" t="s">
        <v>60</v>
      </c>
      <c r="G35" s="1" t="s">
        <v>61</v>
      </c>
      <c r="I35" s="1" t="s">
        <v>65</v>
      </c>
      <c r="J35" s="1" t="s">
        <v>64</v>
      </c>
      <c r="K35" s="1" t="s">
        <v>62</v>
      </c>
      <c r="L35" s="1" t="s">
        <v>63</v>
      </c>
    </row>
    <row r="36" spans="1:12" x14ac:dyDescent="0.35">
      <c r="C36" s="4">
        <v>1</v>
      </c>
      <c r="D36" s="3" cm="1">
        <f t="array" ref="D36">[1]!IPR_qliq_sm3day(B$16,B$18,$C36,B$17,Давление_насыщения)</f>
        <v>64.959622287705599</v>
      </c>
      <c r="E36" s="3" cm="1">
        <f t="array" ref="E36">[1]!IPR_qliq_sm3day(C$16,C$18,$C36,C$17,Давление_насыщения)</f>
        <v>59.182280523209194</v>
      </c>
      <c r="F36" s="3" cm="1">
        <f t="array" ref="F36">[1]!IPR_qliq_sm3day(D$16,D$18,$C36,D$17,Давление_насыщения)</f>
        <v>60.315849525291291</v>
      </c>
      <c r="G36" s="3" cm="1">
        <f t="array" ref="G36">[1]!IPR_qliq_sm3day(E$16,E$18,$C36,E$17,Давление_насыщения)</f>
        <v>53.927269757145645</v>
      </c>
      <c r="I36" s="3">
        <f>[1]!MF_p_pipeline_atma($C36,Температура_пластовая,$K$4:$L$6,$H$4:$I$6,$I$4:$J$6,D36,B$17,,$F$12,0,0,1)</f>
        <v>0.88677051162621068</v>
      </c>
      <c r="J36" s="3">
        <f>[1]!MF_p_pipeline_atma($C36,Температура_пластовая,$Q$4:$R$6,$N$4:$O$6,$O$4:$P$6,E36,C$17,,$F$12,0,0,1)</f>
        <v>0.8460624197547455</v>
      </c>
      <c r="K36" s="3">
        <f>[1]!MF_p_pipeline_atma($C36,Температура_пластовая,$K$4:$L$6,$H$4:$I$6,$I$4:$J$6,F36,D$17,,$F$12,0,0,1)</f>
        <v>0.86652752651360077</v>
      </c>
      <c r="L36" s="3">
        <f>[1]!MF_p_pipeline_atma($C36,Температура_пластовая,$Q$4:$R$6,$N$4:$O$6,$O$4:$P$6,G36,E$17,,$F$12,0,0,1)</f>
        <v>0.87441537697892346</v>
      </c>
    </row>
    <row r="37" spans="1:12" x14ac:dyDescent="0.35">
      <c r="C37" s="4">
        <f>C36+(MIN($B$18:$E$18)-1)/20</f>
        <v>12.1</v>
      </c>
      <c r="D37" s="3" cm="1">
        <f t="array" ref="D37">[1]!IPR_qliq_sm3day(B$16,B$18,$C37,B$17,Давление_насыщения)</f>
        <v>63.976377022194704</v>
      </c>
      <c r="E37" s="3" cm="1">
        <f t="array" ref="E37">[1]!IPR_qliq_sm3day(C$16,C$18,$C37,C$17,Давление_насыщения)</f>
        <v>58.336549629942589</v>
      </c>
      <c r="F37" s="3" cm="1">
        <f t="array" ref="F37">[1]!IPR_qliq_sm3day(D$16,D$18,$C37,D$17,Давление_насыщения)</f>
        <v>59.175610292723107</v>
      </c>
      <c r="G37" s="3" cm="1">
        <f t="array" ref="G37">[1]!IPR_qliq_sm3day(E$16,E$18,$C37,E$17,Давление_насыщения)</f>
        <v>53.067501462693038</v>
      </c>
      <c r="I37" s="3">
        <f>[1]!MF_p_pipeline_atma($C37,Температура_пластовая,$K$4:$L$6,$H$4:$I$6,$I$4:$J$6,D37,B$17,,$F$12,0,0,1)</f>
        <v>0.82002520860490324</v>
      </c>
      <c r="J37" s="3">
        <f>[1]!MF_p_pipeline_atma($C37,Температура_пластовая,$Q$4:$R$6,$N$4:$O$6,$O$4:$P$6,E37,C$17,,$F$12,0,0,1)</f>
        <v>0.86896489382983044</v>
      </c>
      <c r="K37" s="3">
        <f>[1]!MF_p_pipeline_atma($C37,Температура_пластовая,$K$4:$L$6,$H$4:$I$6,$I$4:$J$6,F37,D$17,,$F$12,0,0,1)</f>
        <v>0.89189642216479581</v>
      </c>
      <c r="L37" s="3">
        <f>[1]!MF_p_pipeline_atma($C37,Температура_пластовая,$Q$4:$R$6,$N$4:$O$6,$O$4:$P$6,G37,E$17,,$F$12,0,0,1)</f>
        <v>0.85142867324754568</v>
      </c>
    </row>
    <row r="38" spans="1:12" x14ac:dyDescent="0.35">
      <c r="C38" s="4">
        <f t="shared" ref="C38:C56" si="0">C37+(MIN($B$18:$E$18)-1)/20</f>
        <v>23.2</v>
      </c>
      <c r="D38" s="3" cm="1">
        <f t="array" ref="D38">[1]!IPR_qliq_sm3day(B$16,B$18,$C38,B$17,Давление_насыщения)</f>
        <v>62.993131756683802</v>
      </c>
      <c r="E38" s="3" cm="1">
        <f t="array" ref="E38">[1]!IPR_qliq_sm3day(C$16,C$18,$C38,C$17,Давление_насыщения)</f>
        <v>57.490818736675983</v>
      </c>
      <c r="F38" s="3" cm="1">
        <f t="array" ref="F38">[1]!IPR_qliq_sm3day(D$16,D$18,$C38,D$17,Давление_насыщения)</f>
        <v>58.03537106015493</v>
      </c>
      <c r="G38" s="3" cm="1">
        <f t="array" ref="G38">[1]!IPR_qliq_sm3day(E$16,E$18,$C38,E$17,Давление_насыщения)</f>
        <v>52.207733168240431</v>
      </c>
      <c r="I38" s="3">
        <f>[1]!MF_p_pipeline_atma($C38,Температура_пластовая,$K$4:$L$6,$H$4:$I$6,$I$4:$J$6,D38,B$17,,$F$12,0,0,1)</f>
        <v>0.86515663224367534</v>
      </c>
      <c r="J38" s="3">
        <f>[1]!MF_p_pipeline_atma($C38,Температура_пластовая,$Q$4:$R$6,$N$4:$O$6,$O$4:$P$6,E38,C$17,,$F$12,0,0,1)</f>
        <v>0.88705533777275392</v>
      </c>
      <c r="K38" s="3">
        <f>[1]!MF_p_pipeline_atma($C38,Температура_пластовая,$K$4:$L$6,$H$4:$I$6,$I$4:$J$6,F38,D$17,,$F$12,0,0,1)</f>
        <v>0.86575887018701003</v>
      </c>
      <c r="L38" s="3">
        <f>[1]!MF_p_pipeline_atma($C38,Температура_пластовая,$Q$4:$R$6,$N$4:$O$6,$O$4:$P$6,G38,E$17,,$F$12,0,0,1)</f>
        <v>0.85078809785983167</v>
      </c>
    </row>
    <row r="39" spans="1:12" x14ac:dyDescent="0.35">
      <c r="C39" s="4">
        <f t="shared" si="0"/>
        <v>34.299999999999997</v>
      </c>
      <c r="D39" s="3" cm="1">
        <f t="array" ref="D39">[1]!IPR_qliq_sm3day(B$16,B$18,$C39,B$17,Давление_насыщения)</f>
        <v>62.009886491172907</v>
      </c>
      <c r="E39" s="3" cm="1">
        <f t="array" ref="E39">[1]!IPR_qliq_sm3day(C$16,C$18,$C39,C$17,Давление_насыщения)</f>
        <v>56.645087843409385</v>
      </c>
      <c r="F39" s="3" cm="1">
        <f t="array" ref="F39">[1]!IPR_qliq_sm3day(D$16,D$18,$C39,D$17,Давление_насыщения)</f>
        <v>56.895131827586745</v>
      </c>
      <c r="G39" s="3" cm="1">
        <f t="array" ref="G39">[1]!IPR_qliq_sm3day(E$16,E$18,$C39,E$17,Давление_насыщения)</f>
        <v>51.347964873787824</v>
      </c>
      <c r="I39" s="3">
        <f>[1]!MF_p_pipeline_atma($C39,Температура_пластовая,$K$4:$L$6,$H$4:$I$6,$I$4:$J$6,D39,B$17,,$F$12,0,0,1)</f>
        <v>0.80993988320005328</v>
      </c>
      <c r="J39" s="3">
        <f>[1]!MF_p_pipeline_atma($C39,Температура_пластовая,$Q$4:$R$6,$N$4:$O$6,$O$4:$P$6,E39,C$17,,$F$12,0,0,1)</f>
        <v>0.86574623704993792</v>
      </c>
      <c r="K39" s="3">
        <f>[1]!MF_p_pipeline_atma($C39,Температура_пластовая,$K$4:$L$6,$H$4:$I$6,$I$4:$J$6,F39,D$17,,$F$12,0,0,1)</f>
        <v>0.88556251194546687</v>
      </c>
      <c r="L39" s="3">
        <f>[1]!MF_p_pipeline_atma($C39,Температура_пластовая,$Q$4:$R$6,$N$4:$O$6,$O$4:$P$6,G39,E$17,,$F$12,0,0,1)</f>
        <v>0.8997048835560979</v>
      </c>
    </row>
    <row r="40" spans="1:12" x14ac:dyDescent="0.35">
      <c r="C40" s="4">
        <f t="shared" si="0"/>
        <v>45.4</v>
      </c>
      <c r="D40" s="3" cm="1">
        <f t="array" ref="D40">[1]!IPR_qliq_sm3day(B$16,B$18,$C40,B$17,Давление_насыщения)</f>
        <v>60.886516681077538</v>
      </c>
      <c r="E40" s="3" cm="1">
        <f t="array" ref="E40">[1]!IPR_qliq_sm3day(C$16,C$18,$C40,C$17,Давление_насыщения)</f>
        <v>55.725093250652598</v>
      </c>
      <c r="F40" s="3" cm="1">
        <f t="array" ref="F40">[1]!IPR_qliq_sm3day(D$16,D$18,$C40,D$17,Давление_насыщения)</f>
        <v>55.754892595018568</v>
      </c>
      <c r="G40" s="3" cm="1">
        <f t="array" ref="G40">[1]!IPR_qliq_sm3day(E$16,E$18,$C40,E$17,Давление_насыщения)</f>
        <v>50.486691789442126</v>
      </c>
      <c r="I40" s="3">
        <f>[1]!MF_p_pipeline_atma($C40,Температура_пластовая,$K$4:$L$6,$H$4:$I$6,$I$4:$J$6,D40,B$17,,$F$12,0,0,1)</f>
        <v>0.83586932770592681</v>
      </c>
      <c r="J40" s="3">
        <f>[1]!MF_p_pipeline_atma($C40,Температура_пластовая,$Q$4:$R$6,$N$4:$O$6,$O$4:$P$6,E40,C$17,,$F$12,0,0,1)</f>
        <v>0.80848544029370928</v>
      </c>
      <c r="K40" s="3">
        <f>[1]!MF_p_pipeline_atma($C40,Температура_пластовая,$K$4:$L$6,$H$4:$I$6,$I$4:$J$6,F40,D$17,,$F$12,0,0,1)</f>
        <v>0.89130661763868058</v>
      </c>
      <c r="L40" s="3">
        <f>[1]!MF_p_pipeline_atma($C40,Температура_пластовая,$Q$4:$R$6,$N$4:$O$6,$O$4:$P$6,G40,E$17,,$F$12,0,0,1)</f>
        <v>0.88229043661055051</v>
      </c>
    </row>
    <row r="41" spans="1:12" x14ac:dyDescent="0.35">
      <c r="C41" s="4">
        <f t="shared" si="0"/>
        <v>56.5</v>
      </c>
      <c r="D41" s="3" cm="1">
        <f t="array" ref="D41">[1]!IPR_qliq_sm3day(B$16,B$18,$C41,B$17,Давление_насыщения)</f>
        <v>59.114991816805649</v>
      </c>
      <c r="E41" s="3" cm="1">
        <f t="array" ref="E41">[1]!IPR_qliq_sm3day(C$16,C$18,$C41,C$17,Давление_насыщения)</f>
        <v>54.27074316522905</v>
      </c>
      <c r="F41" s="3" cm="1">
        <f t="array" ref="F41">[1]!IPR_qliq_sm3day(D$16,D$18,$C41,D$17,Давление_насыщения)</f>
        <v>54.487503096930155</v>
      </c>
      <c r="G41" s="3" cm="1">
        <f t="array" ref="G41">[1]!IPR_qliq_sm3day(E$16,E$18,$C41,E$17,Давление_насыщения)</f>
        <v>49.226898804073628</v>
      </c>
      <c r="I41" s="3">
        <f>[1]!MF_p_pipeline_atma($C41,Температура_пластовая,$K$4:$L$6,$H$4:$I$6,$I$4:$J$6,D41,B$17,,$F$12,0,0,1)</f>
        <v>0.86692869880465051</v>
      </c>
      <c r="J41" s="3">
        <f>[1]!MF_p_pipeline_atma($C41,Температура_пластовая,$Q$4:$R$6,$N$4:$O$6,$O$4:$P$6,E41,C$17,,$F$12,0,0,1)</f>
        <v>0.89760705711731581</v>
      </c>
      <c r="K41" s="3">
        <f>[1]!MF_p_pipeline_atma($C41,Температура_пластовая,$K$4:$L$6,$H$4:$I$6,$I$4:$J$6,F41,D$17,,$F$12,0,0,1)</f>
        <v>0.87453255093788074</v>
      </c>
      <c r="L41" s="3">
        <f>[1]!MF_p_pipeline_atma($C41,Температура_пластовая,$Q$4:$R$6,$N$4:$O$6,$O$4:$P$6,G41,E$17,,$F$12,0,0,1)</f>
        <v>0.87367684060309936</v>
      </c>
    </row>
    <row r="42" spans="1:12" x14ac:dyDescent="0.35">
      <c r="C42" s="4">
        <f t="shared" si="0"/>
        <v>67.599999999999994</v>
      </c>
      <c r="D42" s="3" cm="1">
        <f t="array" ref="D42">[1]!IPR_qliq_sm3day(B$16,B$18,$C42,B$17,Давление_насыщения)</f>
        <v>56.794893026350671</v>
      </c>
      <c r="E42" s="3" cm="1">
        <f t="array" ref="E42">[1]!IPR_qliq_sm3day(C$16,C$18,$C42,C$17,Давление_насыщения)</f>
        <v>52.33700504665557</v>
      </c>
      <c r="F42" s="3" cm="1">
        <f t="array" ref="F42">[1]!IPR_qliq_sm3day(D$16,D$18,$C42,D$17,Давление_насыщения)</f>
        <v>52.499412484500304</v>
      </c>
      <c r="G42" s="3" cm="1">
        <f t="array" ref="G42">[1]!IPR_qliq_sm3day(E$16,E$18,$C42,E$17,Давление_насыщения)</f>
        <v>47.438575893929368</v>
      </c>
      <c r="I42" s="3">
        <f>[1]!MF_p_pipeline_atma($C42,Температура_пластовая,$K$4:$L$6,$H$4:$I$6,$I$4:$J$6,D42,B$17,,$F$12,0,0,1)</f>
        <v>0.81913564290341212</v>
      </c>
      <c r="J42" s="3">
        <f>[1]!MF_p_pipeline_atma($C42,Температура_пластовая,$Q$4:$R$6,$N$4:$O$6,$O$4:$P$6,E42,C$17,,$F$12,0,0,1)</f>
        <v>0.89793532993826364</v>
      </c>
      <c r="K42" s="3">
        <f>[1]!MF_p_pipeline_atma($C42,Температура_пластовая,$K$4:$L$6,$H$4:$I$6,$I$4:$J$6,F42,D$17,,$F$12,0,0,1)</f>
        <v>0.87738067797156727</v>
      </c>
      <c r="L42" s="3">
        <f>[1]!MF_p_pipeline_atma($C42,Температура_пластовая,$Q$4:$R$6,$N$4:$O$6,$O$4:$P$6,G42,E$17,,$F$12,0,0,1)</f>
        <v>0.84442613678655309</v>
      </c>
    </row>
    <row r="43" spans="1:12" x14ac:dyDescent="0.35">
      <c r="C43" s="4">
        <f t="shared" si="0"/>
        <v>78.699999999999989</v>
      </c>
      <c r="D43" s="3" cm="1">
        <f t="array" ref="D43">[1]!IPR_qliq_sm3day(B$16,B$18,$C43,B$17,Давление_насыщения)</f>
        <v>54.040594192536709</v>
      </c>
      <c r="E43" s="3" cm="1">
        <f t="array" ref="E43">[1]!IPR_qliq_sm3day(C$16,C$18,$C43,C$17,Давление_насыщения)</f>
        <v>50.032482529832301</v>
      </c>
      <c r="F43" s="3" cm="1">
        <f t="array" ref="F43">[1]!IPR_qliq_sm3day(D$16,D$18,$C43,D$17,Давление_насыщения)</f>
        <v>50.008829880757965</v>
      </c>
      <c r="G43" s="3" cm="1">
        <f t="array" ref="G43">[1]!IPR_qliq_sm3day(E$16,E$18,$C43,E$17,Давление_насыщения)</f>
        <v>45.276552340445086</v>
      </c>
      <c r="I43" s="3">
        <f>[1]!MF_p_pipeline_atma($C43,Температура_пластовая,$K$4:$L$6,$H$4:$I$6,$I$4:$J$6,D43,B$17,,$F$12,0,0,1)</f>
        <v>0.8942048040446966</v>
      </c>
      <c r="J43" s="3">
        <f>[1]!MF_p_pipeline_atma($C43,Температура_пластовая,$Q$4:$R$6,$N$4:$O$6,$O$4:$P$6,E43,C$17,,$F$12,0,0,1)</f>
        <v>0.85670821395351338</v>
      </c>
      <c r="K43" s="3">
        <f>[1]!MF_p_pipeline_atma($C43,Температура_пластовая,$K$4:$L$6,$H$4:$I$6,$I$4:$J$6,F43,D$17,,$F$12,0,0,1)</f>
        <v>0.88666255298609775</v>
      </c>
      <c r="L43" s="3">
        <f>[1]!MF_p_pipeline_atma($C43,Температура_пластовая,$Q$4:$R$6,$N$4:$O$6,$O$4:$P$6,G43,E$17,,$F$12,0,0,1)</f>
        <v>0.88442931330613106</v>
      </c>
    </row>
    <row r="44" spans="1:12" x14ac:dyDescent="0.35">
      <c r="C44" s="4">
        <f t="shared" si="0"/>
        <v>89.799999999999983</v>
      </c>
      <c r="D44" s="3" cm="1">
        <f t="array" ref="D44">[1]!IPR_qliq_sm3day(B$16,B$18,$C44,B$17,Давление_насыщения)</f>
        <v>50.931510921188945</v>
      </c>
      <c r="E44" s="3" cm="1">
        <f t="array" ref="E44">[1]!IPR_qliq_sm3day(C$16,C$18,$C44,C$17,Давление_насыщения)</f>
        <v>47.430077242255614</v>
      </c>
      <c r="F44" s="3" cm="1">
        <f t="array" ref="F44">[1]!IPR_qliq_sm3day(D$16,D$18,$C44,D$17,Давление_насыщения)</f>
        <v>47.188707941739601</v>
      </c>
      <c r="G44" s="3" cm="1">
        <f t="array" ref="G44">[1]!IPR_qliq_sm3day(E$16,E$18,$C44,E$17,Давление_насыщения)</f>
        <v>42.832205627068198</v>
      </c>
      <c r="I44" s="3">
        <f>[1]!MF_p_pipeline_atma($C44,Температура_пластовая,$K$4:$L$6,$H$4:$I$6,$I$4:$J$6,D44,B$17,,$F$12,0,0,1)</f>
        <v>0.88361667763071305</v>
      </c>
      <c r="J44" s="3">
        <f>[1]!MF_p_pipeline_atma($C44,Температура_пластовая,$Q$4:$R$6,$N$4:$O$6,$O$4:$P$6,E44,C$17,,$F$12,0,0,1)</f>
        <v>0.88782930428751228</v>
      </c>
      <c r="K44" s="3">
        <f>[1]!MF_p_pipeline_atma($C44,Температура_пластовая,$K$4:$L$6,$H$4:$I$6,$I$4:$J$6,F44,D$17,,$F$12,0,0,1)</f>
        <v>0.88618877809852925</v>
      </c>
      <c r="L44" s="3">
        <f>[1]!MF_p_pipeline_atma($C44,Температура_пластовая,$Q$4:$R$6,$N$4:$O$6,$O$4:$P$6,G44,E$17,,$F$12,0,0,1)</f>
        <v>0.89177194856569741</v>
      </c>
    </row>
    <row r="45" spans="1:12" x14ac:dyDescent="0.35">
      <c r="C45" s="4">
        <f t="shared" si="0"/>
        <v>100.89999999999998</v>
      </c>
      <c r="D45" s="3" cm="1">
        <f t="array" ref="D45">[1]!IPR_qliq_sm3day(B$16,B$18,$C45,B$17,Давление_насыщения)</f>
        <v>47.525449437865255</v>
      </c>
      <c r="E45" s="3" cm="1">
        <f t="array" ref="E45">[1]!IPR_qliq_sm3day(C$16,C$18,$C45,C$17,Давление_насыщения)</f>
        <v>44.581534697759714</v>
      </c>
      <c r="F45" s="3" cm="1">
        <f t="array" ref="F45">[1]!IPR_qliq_sm3day(D$16,D$18,$C45,D$17,Давление_насыщения)</f>
        <v>44.130955369034602</v>
      </c>
      <c r="G45" s="3" cm="1">
        <f t="array" ref="G45">[1]!IPR_qliq_sm3day(E$16,E$18,$C45,E$17,Давление_насыщения)</f>
        <v>40.164815255734496</v>
      </c>
      <c r="I45" s="3">
        <f>[1]!MF_p_pipeline_atma($C45,Температура_пластовая,$K$4:$L$6,$H$4:$I$6,$I$4:$J$6,D45,B$17,,$F$12,0,0,1)</f>
        <v>1.1371469268559513</v>
      </c>
      <c r="J45" s="3">
        <f>[1]!MF_p_pipeline_atma($C45,Температура_пластовая,$Q$4:$R$6,$N$4:$O$6,$O$4:$P$6,E45,C$17,,$F$12,0,0,1)</f>
        <v>0.87593951984344998</v>
      </c>
      <c r="K45" s="3">
        <f>[1]!MF_p_pipeline_atma($C45,Температура_пластовая,$K$4:$L$6,$H$4:$I$6,$I$4:$J$6,F45,D$17,,$F$12,0,0,1)</f>
        <v>0.85420015386251602</v>
      </c>
      <c r="L45" s="3">
        <f>[1]!MF_p_pipeline_atma($C45,Температура_пластовая,$Q$4:$R$6,$N$4:$O$6,$O$4:$P$6,G45,E$17,,$F$12,0,0,1)</f>
        <v>0.88671644843462283</v>
      </c>
    </row>
    <row r="46" spans="1:12" x14ac:dyDescent="0.35">
      <c r="C46" s="4">
        <f t="shared" si="0"/>
        <v>111.99999999999997</v>
      </c>
      <c r="D46" s="3" cm="1">
        <f t="array" ref="D46">[1]!IPR_qliq_sm3day(B$16,B$18,$C46,B$17,Давление_насыщения)</f>
        <v>43.866039449182161</v>
      </c>
      <c r="E46" s="3" cm="1">
        <f t="array" ref="E46">[1]!IPR_qliq_sm3day(C$16,C$18,$C46,C$17,Давление_насыщения)</f>
        <v>41.525155975364946</v>
      </c>
      <c r="F46" s="3" cm="1">
        <f t="array" ref="F46">[1]!IPR_qliq_sm3day(D$16,D$18,$C46,D$17,Давление_насыщения)</f>
        <v>40.891346848128286</v>
      </c>
      <c r="G46" s="3" cm="1">
        <f t="array" ref="G46">[1]!IPR_qliq_sm3day(E$16,E$18,$C46,E$17,Давление_насыщения)</f>
        <v>37.315428966096135</v>
      </c>
      <c r="I46" s="3">
        <f>[1]!MF_p_pipeline_atma($C46,Температура_пластовая,$K$4:$L$6,$H$4:$I$6,$I$4:$J$6,D46,B$17,,$F$12,0,0,1)</f>
        <v>2.251639043935977</v>
      </c>
      <c r="J46" s="3">
        <f>[1]!MF_p_pipeline_atma($C46,Температура_пластовая,$Q$4:$R$6,$N$4:$O$6,$O$4:$P$6,E46,C$17,,$F$12,0,0,1)</f>
        <v>1.8424263188865357</v>
      </c>
      <c r="K46" s="3">
        <f>[1]!MF_p_pipeline_atma($C46,Температура_пластовая,$K$4:$L$6,$H$4:$I$6,$I$4:$J$6,F46,D$17,,$F$12,0,0,1)</f>
        <v>0.88242081897044955</v>
      </c>
      <c r="L46" s="3">
        <f>[1]!MF_p_pipeline_atma($C46,Температура_пластовая,$Q$4:$R$6,$N$4:$O$6,$O$4:$P$6,G46,E$17,,$F$12,0,0,1)</f>
        <v>0.85908726089865428</v>
      </c>
    </row>
    <row r="47" spans="1:12" x14ac:dyDescent="0.35">
      <c r="C47" s="4">
        <f t="shared" si="0"/>
        <v>123.09999999999997</v>
      </c>
      <c r="D47" s="3" cm="1">
        <f t="array" ref="D47">[1]!IPR_qliq_sm3day(B$16,B$18,$C47,B$17,Давление_насыщения)</f>
        <v>39.987171072136469</v>
      </c>
      <c r="E47" s="3" cm="1">
        <f t="array" ref="E47">[1]!IPR_qliq_sm3day(C$16,C$18,$C47,C$17,Давление_насыщения)</f>
        <v>38.290232556026581</v>
      </c>
      <c r="F47" s="3" cm="1">
        <f t="array" ref="F47">[1]!IPR_qliq_sm3day(D$16,D$18,$C47,D$17,Давление_насыщения)</f>
        <v>37.506747905148643</v>
      </c>
      <c r="G47" s="3" cm="1">
        <f t="array" ref="G47">[1]!IPR_qliq_sm3day(E$16,E$18,$C47,E$17,Давление_насыщения)</f>
        <v>34.313863361787604</v>
      </c>
      <c r="I47" s="3">
        <f>[1]!MF_p_pipeline_atma($C47,Температура_пластовая,$K$4:$L$6,$H$4:$I$6,$I$4:$J$6,D47,B$17,,$F$12,0,0,1)</f>
        <v>3.6088467112436309</v>
      </c>
      <c r="J47" s="3">
        <f>[1]!MF_p_pipeline_atma($C47,Температура_пластовая,$Q$4:$R$6,$N$4:$O$6,$O$4:$P$6,E47,C$17,,$F$12,0,0,1)</f>
        <v>3.0151880592320111</v>
      </c>
      <c r="K47" s="3">
        <f>[1]!MF_p_pipeline_atma($C47,Температура_пластовая,$K$4:$L$6,$H$4:$I$6,$I$4:$J$6,F47,D$17,,$F$12,0,0,1)</f>
        <v>0.88755908176499132</v>
      </c>
      <c r="L47" s="3">
        <f>[1]!MF_p_pipeline_atma($C47,Температура_пластовая,$Q$4:$R$6,$N$4:$O$6,$O$4:$P$6,G47,E$17,,$F$12,0,0,1)</f>
        <v>0.89743116615911667</v>
      </c>
    </row>
    <row r="48" spans="1:12" x14ac:dyDescent="0.35">
      <c r="C48" s="4">
        <f t="shared" si="0"/>
        <v>134.19999999999996</v>
      </c>
      <c r="D48" s="3" cm="1">
        <f t="array" ref="D48">[1]!IPR_qliq_sm3day(B$16,B$18,$C48,B$17,Давление_насыщения)</f>
        <v>35.915791529815301</v>
      </c>
      <c r="E48" s="3" cm="1">
        <f t="array" ref="E48">[1]!IPR_qliq_sm3day(C$16,C$18,$C48,C$17,Давление_насыщения)</f>
        <v>34.899760717941625</v>
      </c>
      <c r="F48" s="3" cm="1">
        <f t="array" ref="F48">[1]!IPR_qliq_sm3day(D$16,D$18,$C48,D$17,Давление_насыщения)</f>
        <v>34.003032067137632</v>
      </c>
      <c r="G48" s="3" cm="1">
        <f t="array" ref="G48">[1]!IPR_qliq_sm3day(E$16,E$18,$C48,E$17,Давление_насыщения)</f>
        <v>31.182586348656891</v>
      </c>
      <c r="I48" s="3">
        <f>[1]!MF_p_pipeline_atma($C48,Температура_пластовая,$K$4:$L$6,$H$4:$I$6,$I$4:$J$6,D48,B$17,,$F$12,0,0,1)</f>
        <v>5.9741979785209995</v>
      </c>
      <c r="J48" s="3">
        <f>[1]!MF_p_pipeline_atma($C48,Температура_пластовая,$Q$4:$R$6,$N$4:$O$6,$O$4:$P$6,E48,C$17,,$F$12,0,0,1)</f>
        <v>4.3084588481217523</v>
      </c>
      <c r="K48" s="3">
        <f>[1]!MF_p_pipeline_atma($C48,Температура_пластовая,$K$4:$L$6,$H$4:$I$6,$I$4:$J$6,F48,D$17,,$F$12,0,0,1)</f>
        <v>1.1372973557833794</v>
      </c>
      <c r="L48" s="3">
        <f>[1]!MF_p_pipeline_atma($C48,Температура_пластовая,$Q$4:$R$6,$N$4:$O$6,$O$4:$P$6,G48,E$17,,$F$12,0,0,1)</f>
        <v>1.6685893165129773</v>
      </c>
    </row>
    <row r="49" spans="1:12" x14ac:dyDescent="0.35">
      <c r="C49" s="4">
        <f t="shared" si="0"/>
        <v>145.29999999999995</v>
      </c>
      <c r="D49" s="3" cm="1">
        <f t="array" ref="D49">[1]!IPR_qliq_sm3day(B$16,B$18,$C49,B$17,Давление_насыщения)</f>
        <v>31.673746943397092</v>
      </c>
      <c r="E49" s="3" cm="1">
        <f t="array" ref="E49">[1]!IPR_qliq_sm3day(C$16,C$18,$C49,C$17,Давление_насыщения)</f>
        <v>31.372187070910453</v>
      </c>
      <c r="F49" s="3" cm="1">
        <f t="array" ref="F49">[1]!IPR_qliq_sm3day(D$16,D$18,$C49,D$17,Давление_насыщения)</f>
        <v>30.39918609678654</v>
      </c>
      <c r="G49" s="3" cm="1">
        <f t="array" ref="G49">[1]!IPR_qliq_sm3day(E$16,E$18,$C49,E$17,Давление_насыщения)</f>
        <v>27.939027556454676</v>
      </c>
      <c r="I49" s="3">
        <f>[1]!MF_p_pipeline_atma($C49,Температура_пластовая,$K$4:$L$6,$H$4:$I$6,$I$4:$J$6,D49,B$17,,$F$12,0,0,1)</f>
        <v>11.111710992647044</v>
      </c>
      <c r="J49" s="3">
        <f>[1]!MF_p_pipeline_atma($C49,Температура_пластовая,$Q$4:$R$6,$N$4:$O$6,$O$4:$P$6,E49,C$17,,$F$12,0,0,1)</f>
        <v>5.8615171276880167</v>
      </c>
      <c r="K49" s="3">
        <f>[1]!MF_p_pipeline_atma($C49,Температура_пластовая,$K$4:$L$6,$H$4:$I$6,$I$4:$J$6,F49,D$17,,$F$12,0,0,1)</f>
        <v>3.9447803910676376</v>
      </c>
      <c r="L49" s="3">
        <f>[1]!MF_p_pipeline_atma($C49,Температура_пластовая,$Q$4:$R$6,$N$4:$O$6,$O$4:$P$6,G49,E$17,,$F$12,0,0,1)</f>
        <v>2.8163470775395076</v>
      </c>
    </row>
    <row r="50" spans="1:12" x14ac:dyDescent="0.35">
      <c r="C50" s="4">
        <f t="shared" si="0"/>
        <v>156.39999999999995</v>
      </c>
      <c r="D50" s="3" cm="1">
        <f t="array" ref="D50">[1]!IPR_qliq_sm3day(B$16,B$18,$C50,B$17,Давление_насыщения)</f>
        <v>27.279039840448849</v>
      </c>
      <c r="E50" s="3" cm="1">
        <f t="array" ref="E50">[1]!IPR_qliq_sm3day(C$16,C$18,$C50,C$17,Давление_насыщения)</f>
        <v>27.722577097516147</v>
      </c>
      <c r="F50" s="3" cm="1">
        <f t="array" ref="F50">[1]!IPR_qliq_sm3day(D$16,D$18,$C50,D$17,Давление_насыщения)</f>
        <v>26.709631995419759</v>
      </c>
      <c r="G50" s="3" cm="1">
        <f t="array" ref="G50">[1]!IPR_qliq_sm3day(E$16,E$18,$C50,E$17,Давление_насыщения)</f>
        <v>24.597031084008549</v>
      </c>
      <c r="I50" s="3">
        <f>[1]!MF_p_pipeline_atma($C50,Температура_пластовая,$K$4:$L$6,$H$4:$I$6,$I$4:$J$6,D50,B$17,,$F$12,0,0,1)</f>
        <v>19.463667119239531</v>
      </c>
      <c r="J50" s="3">
        <f>[1]!MF_p_pipeline_atma($C50,Температура_пластовая,$Q$4:$R$6,$N$4:$O$6,$O$4:$P$6,E50,C$17,,$F$12,0,0,1)</f>
        <v>8.4983332018668829</v>
      </c>
      <c r="K50" s="3">
        <f>[1]!MF_p_pipeline_atma($C50,Температура_пластовая,$K$4:$L$6,$H$4:$I$6,$I$4:$J$6,F50,D$17,,$F$12,0,0,1)</f>
        <v>11.182240138404872</v>
      </c>
      <c r="L50" s="3">
        <f>[1]!MF_p_pipeline_atma($C50,Температура_пластовая,$Q$4:$R$6,$N$4:$O$6,$O$4:$P$6,G50,E$17,,$F$12,0,0,1)</f>
        <v>4.9762953227978262</v>
      </c>
    </row>
    <row r="51" spans="1:12" x14ac:dyDescent="0.35">
      <c r="C51" s="4">
        <f t="shared" si="0"/>
        <v>167.49999999999994</v>
      </c>
      <c r="D51" s="3" cm="1">
        <f t="array" ref="D51">[1]!IPR_qliq_sm3day(B$16,B$18,$C51,B$17,Давление_насыщения)</f>
        <v>22.75500000000002</v>
      </c>
      <c r="E51" s="3" cm="1">
        <f t="array" ref="E51">[1]!IPR_qliq_sm3day(C$16,C$18,$C51,C$17,Давление_насыщения)</f>
        <v>23.97000000000002</v>
      </c>
      <c r="F51" s="3" cm="1">
        <f t="array" ref="F51">[1]!IPR_qliq_sm3day(D$16,D$18,$C51,D$17,Давление_насыщения)</f>
        <v>22.950000000000021</v>
      </c>
      <c r="G51" s="3" cm="1">
        <f t="array" ref="G51">[1]!IPR_qliq_sm3day(E$16,E$18,$C51,E$17,Давление_насыщения)</f>
        <v>21.17300000000002</v>
      </c>
      <c r="I51" s="3">
        <f>[1]!MF_p_pipeline_atma($C51,Температура_пластовая,$K$4:$L$6,$H$4:$I$6,$I$4:$J$6,D51,B$17,,$F$12,0,0,1)</f>
        <v>29.898427963422979</v>
      </c>
      <c r="J51" s="3">
        <f>[1]!MF_p_pipeline_atma($C51,Температура_пластовая,$Q$4:$R$6,$N$4:$O$6,$O$4:$P$6,E51,C$17,,$F$12,0,0,1)</f>
        <v>12.702908135433642</v>
      </c>
      <c r="K51" s="3">
        <f>[1]!MF_p_pipeline_atma($C51,Температура_пластовая,$K$4:$L$6,$H$4:$I$6,$I$4:$J$6,F51,D$17,,$F$12,0,0,1)</f>
        <v>21.503946855365562</v>
      </c>
      <c r="L51" s="3">
        <f>[1]!MF_p_pipeline_atma($C51,Температура_пластовая,$Q$4:$R$6,$N$4:$O$6,$O$4:$P$6,G51,E$17,,$F$12,0,0,1)</f>
        <v>8.861855602418629</v>
      </c>
    </row>
    <row r="52" spans="1:12" x14ac:dyDescent="0.35">
      <c r="C52" s="4">
        <f t="shared" si="0"/>
        <v>178.59999999999994</v>
      </c>
      <c r="D52" s="3" cm="1">
        <f t="array" ref="D52">[1]!IPR_qliq_sm3day(B$16,B$18,$C52,B$17,Давление_насыщения)</f>
        <v>18.204000000000025</v>
      </c>
      <c r="E52" s="3" cm="1">
        <f t="array" ref="E52">[1]!IPR_qliq_sm3day(C$16,C$18,$C52,C$17,Давление_насыщения)</f>
        <v>20.196000000000023</v>
      </c>
      <c r="F52" s="3" cm="1">
        <f t="array" ref="F52">[1]!IPR_qliq_sm3day(D$16,D$18,$C52,D$17,Давление_насыщения)</f>
        <v>19.176000000000023</v>
      </c>
      <c r="G52" s="3" cm="1">
        <f t="array" ref="G52">[1]!IPR_qliq_sm3day(E$16,E$18,$C52,E$17,Давление_насыщения)</f>
        <v>17.732000000000024</v>
      </c>
      <c r="I52" s="3">
        <f>[1]!MF_p_pipeline_atma($C52,Температура_пластовая,$K$4:$L$6,$H$4:$I$6,$I$4:$J$6,D52,B$17,,$F$12,0,0,1)</f>
        <v>40.954522957694067</v>
      </c>
      <c r="J52" s="3">
        <f>[1]!MF_p_pipeline_atma($C52,Температура_пластовая,$Q$4:$R$6,$N$4:$O$6,$O$4:$P$6,E52,C$17,,$F$12,0,0,1)</f>
        <v>18.861757752626552</v>
      </c>
      <c r="K52" s="3">
        <f>[1]!MF_p_pipeline_atma($C52,Температура_пластовая,$K$4:$L$6,$H$4:$I$6,$I$4:$J$6,F52,D$17,,$F$12,0,0,1)</f>
        <v>32.447320653121778</v>
      </c>
      <c r="L52" s="3">
        <f>[1]!MF_p_pipeline_atma($C52,Температура_пластовая,$Q$4:$R$6,$N$4:$O$6,$O$4:$P$6,G52,E$17,,$F$12,0,0,1)</f>
        <v>14.879569963279009</v>
      </c>
    </row>
    <row r="53" spans="1:12" x14ac:dyDescent="0.35">
      <c r="C53" s="4">
        <f t="shared" si="0"/>
        <v>189.69999999999993</v>
      </c>
      <c r="D53" s="3" cm="1">
        <f t="array" ref="D53">[1]!IPR_qliq_sm3day(B$16,B$18,$C53,B$17,Давление_насыщения)</f>
        <v>13.653000000000027</v>
      </c>
      <c r="E53" s="3" cm="1">
        <f t="array" ref="E53">[1]!IPR_qliq_sm3day(C$16,C$18,$C53,C$17,Давление_насыщения)</f>
        <v>16.422000000000025</v>
      </c>
      <c r="F53" s="3" cm="1">
        <f t="array" ref="F53">[1]!IPR_qliq_sm3day(D$16,D$18,$C53,D$17,Давление_насыщения)</f>
        <v>15.402000000000024</v>
      </c>
      <c r="G53" s="3" cm="1">
        <f t="array" ref="G53">[1]!IPR_qliq_sm3day(E$16,E$18,$C53,E$17,Давление_насыщения)</f>
        <v>14.291000000000025</v>
      </c>
      <c r="I53" s="3">
        <f>[1]!MF_p_pipeline_atma($C53,Температура_пластовая,$K$4:$L$6,$H$4:$I$6,$I$4:$J$6,D53,B$17,,$F$12,0,0,1)</f>
        <v>52.297578145570156</v>
      </c>
      <c r="J53" s="3">
        <f>[1]!MF_p_pipeline_atma($C53,Температура_пластовая,$Q$4:$R$6,$N$4:$O$6,$O$4:$P$6,E53,C$17,,$F$12,0,0,1)</f>
        <v>27.265656496518446</v>
      </c>
      <c r="K53" s="3">
        <f>[1]!MF_p_pipeline_atma($C53,Температура_пластовая,$K$4:$L$6,$H$4:$I$6,$I$4:$J$6,F53,D$17,,$F$12,0,0,1)</f>
        <v>43.624342705543242</v>
      </c>
      <c r="L53" s="3">
        <f>[1]!MF_p_pipeline_atma($C53,Температура_пластовая,$Q$4:$R$6,$N$4:$O$6,$O$4:$P$6,G53,E$17,,$F$12,0,0,1)</f>
        <v>23.338669385878383</v>
      </c>
    </row>
    <row r="54" spans="1:12" x14ac:dyDescent="0.35">
      <c r="C54" s="4">
        <f t="shared" si="0"/>
        <v>200.79999999999993</v>
      </c>
      <c r="D54" s="3" cm="1">
        <f t="array" ref="D54">[1]!IPR_qliq_sm3day(B$16,B$18,$C54,B$17,Давление_насыщения)</f>
        <v>9.1020000000000305</v>
      </c>
      <c r="E54" s="3" cm="1">
        <f t="array" ref="E54">[1]!IPR_qliq_sm3day(C$16,C$18,$C54,C$17,Давление_насыщения)</f>
        <v>12.648000000000026</v>
      </c>
      <c r="F54" s="3" cm="1">
        <f t="array" ref="F54">[1]!IPR_qliq_sm3day(D$16,D$18,$C54,D$17,Давление_насыщения)</f>
        <v>11.628000000000027</v>
      </c>
      <c r="G54" s="3" cm="1">
        <f t="array" ref="G54">[1]!IPR_qliq_sm3day(E$16,E$18,$C54,E$17,Давление_насыщения)</f>
        <v>10.850000000000026</v>
      </c>
      <c r="I54" s="3">
        <f>[1]!MF_p_pipeline_atma($C54,Температура_пластовая,$K$4:$L$6,$H$4:$I$6,$I$4:$J$6,D54,B$17,,$F$12,0,0,1)</f>
        <v>63.746958602605382</v>
      </c>
      <c r="J54" s="3">
        <f>[1]!MF_p_pipeline_atma($C54,Температура_пластовая,$Q$4:$R$6,$N$4:$O$6,$O$4:$P$6,E54,C$17,,$F$12,0,0,1)</f>
        <v>37.92362977288554</v>
      </c>
      <c r="K54" s="3">
        <f>[1]!MF_p_pipeline_atma($C54,Температура_пластовая,$K$4:$L$6,$H$4:$I$6,$I$4:$J$6,F54,D$17,,$F$12,0,0,1)</f>
        <v>54.896168714608343</v>
      </c>
      <c r="L54" s="3">
        <f>[1]!MF_p_pipeline_atma($C54,Температура_пластовая,$Q$4:$R$6,$N$4:$O$6,$O$4:$P$6,G54,E$17,,$F$12,0,0,1)</f>
        <v>34.133960549056816</v>
      </c>
    </row>
    <row r="55" spans="1:12" x14ac:dyDescent="0.35">
      <c r="C55" s="4">
        <f t="shared" si="0"/>
        <v>211.89999999999992</v>
      </c>
      <c r="D55" s="3" cm="1">
        <f t="array" ref="D55">[1]!IPR_qliq_sm3day(B$16,B$18,$C55,B$17,Давление_насыщения)</f>
        <v>4.5510000000000321</v>
      </c>
      <c r="E55" s="3" cm="1">
        <f t="array" ref="E55">[1]!IPR_qliq_sm3day(C$16,C$18,$C55,C$17,Давление_насыщения)</f>
        <v>8.8740000000000272</v>
      </c>
      <c r="F55" s="3" cm="1">
        <f t="array" ref="F55">[1]!IPR_qliq_sm3day(D$16,D$18,$C55,D$17,Давление_насыщения)</f>
        <v>7.8540000000000276</v>
      </c>
      <c r="G55" s="3" cm="1">
        <f t="array" ref="G55">[1]!IPR_qliq_sm3day(E$16,E$18,$C55,E$17,Давление_насыщения)</f>
        <v>7.4090000000000282</v>
      </c>
      <c r="I55" s="3">
        <f>[1]!MF_p_pipeline_atma($C55,Температура_пластовая,$K$4:$L$6,$H$4:$I$6,$I$4:$J$6,D55,B$17,,$F$12,0,0,1)</f>
        <v>75.210428471644775</v>
      </c>
      <c r="J55" s="3">
        <f>[1]!MF_p_pipeline_atma($C55,Температура_пластовая,$Q$4:$R$6,$N$4:$O$6,$O$4:$P$6,E55,C$17,,$F$12,0,0,1)</f>
        <v>49.162993278308427</v>
      </c>
      <c r="K55" s="3">
        <f>[1]!MF_p_pipeline_atma($C55,Температура_пластовая,$K$4:$L$6,$H$4:$I$6,$I$4:$J$6,F55,D$17,,$F$12,0,0,1)</f>
        <v>66.194985615774428</v>
      </c>
      <c r="L55" s="3">
        <f>[1]!MF_p_pipeline_atma($C55,Температура_пластовая,$Q$4:$R$6,$N$4:$O$6,$O$4:$P$6,G55,E$17,,$F$12,0,0,1)</f>
        <v>45.422209412411235</v>
      </c>
    </row>
    <row r="56" spans="1:12" x14ac:dyDescent="0.35">
      <c r="C56" s="4">
        <f t="shared" si="0"/>
        <v>222.99999999999991</v>
      </c>
      <c r="D56" s="3" cm="1">
        <f t="array" ref="D56">[1]!IPR_qliq_sm3day(B$16,B$18,$C56,B$17,Давление_насыщения)</f>
        <v>3.4958702599396929E-14</v>
      </c>
      <c r="E56" s="3" cm="1">
        <f t="array" ref="E56">[1]!IPR_qliq_sm3day(C$16,C$18,$C56,C$17,Давление_насыщения)</f>
        <v>5.100000000000029</v>
      </c>
      <c r="F56" s="3" cm="1">
        <f t="array" ref="F56">[1]!IPR_qliq_sm3day(D$16,D$18,$C56,D$17,Давление_насыщения)</f>
        <v>4.0800000000000294</v>
      </c>
      <c r="G56" s="3" cm="1">
        <f t="array" ref="G56">[1]!IPR_qliq_sm3day(E$16,E$18,$C56,E$17,Давление_насыщения)</f>
        <v>3.9680000000000297</v>
      </c>
      <c r="I56" s="3">
        <f>[1]!MF_p_pipeline_atma($C56,Температура_пластовая,$K$4:$L$6,$H$4:$I$6,$I$4:$J$6,D56,B$17,,$F$12,0,0,1)</f>
        <v>86.600949967194097</v>
      </c>
      <c r="J56" s="3">
        <f>[1]!MF_p_pipeline_atma($C56,Температура_пластовая,$Q$4:$R$6,$N$4:$O$6,$O$4:$P$6,E56,C$17,,$F$12,0,0,1)</f>
        <v>60.585826180939883</v>
      </c>
      <c r="K56" s="3">
        <f>[1]!MF_p_pipeline_atma($C56,Температура_пластовая,$K$4:$L$6,$H$4:$I$6,$I$4:$J$6,F56,D$17,,$F$12,0,0,1)</f>
        <v>77.485689548104503</v>
      </c>
      <c r="L56" s="3">
        <f>[1]!MF_p_pipeline_atma($C56,Температура_пластовая,$Q$4:$R$6,$N$4:$O$6,$O$4:$P$6,G56,E$17,,$F$12,0,0,1)</f>
        <v>56.857535661655746</v>
      </c>
    </row>
    <row r="59" spans="1:12" x14ac:dyDescent="0.35">
      <c r="A59" t="s">
        <v>67</v>
      </c>
    </row>
    <row r="61" spans="1:12" x14ac:dyDescent="0.35">
      <c r="C61" s="1" t="s">
        <v>68</v>
      </c>
      <c r="D61" s="1" t="s">
        <v>69</v>
      </c>
      <c r="E61" s="1" t="s">
        <v>70</v>
      </c>
      <c r="F61" s="1" t="s">
        <v>71</v>
      </c>
    </row>
    <row r="62" spans="1:12" x14ac:dyDescent="0.35">
      <c r="C62" s="3">
        <f>[1]!MF_p_pipeline_atma(I36,$L$4,$L$4-1.4,$H$26:$I$27,$F$26,D36,$B$17,,$F$12,11,,1)</f>
        <v>0.88677051162621068</v>
      </c>
      <c r="D62" s="3">
        <f>[1]!MF_p_pipeline_atma(J36,$L$4,$L$4-1.4,$H$26:$I$27,$F$26,E36,$B$17,,$F$12,11,,1)</f>
        <v>0.8460624197547455</v>
      </c>
      <c r="E62" s="3">
        <f>[1]!MF_p_pipeline_atma(K36,$L$4,$L$4-1.4,$H$26:$I$27,$F$26,F36,$B$17,,$F$12,11,,1)</f>
        <v>0.86652752651360077</v>
      </c>
      <c r="F62" s="3">
        <f>[1]!MF_p_pipeline_atma(L36,$L$4,$L$4-1.4,$H$26:$I$27,$F$26,G36,$B$17,,$F$12,11,,1)</f>
        <v>0.87441537697892346</v>
      </c>
    </row>
    <row r="63" spans="1:12" x14ac:dyDescent="0.35">
      <c r="C63" s="3">
        <f>[1]!MF_p_pipeline_atma(I37,$L$4,$L$4-1.4,$H$26:$I$27,$F$26,D37,$B$17,,$F$12,11,,1)</f>
        <v>0.82002520860490324</v>
      </c>
      <c r="D63" s="3">
        <f>[1]!MF_p_pipeline_atma(J37,$L$4,$L$4-1.4,$H$26:$I$27,$F$26,E37,$B$17,,$F$12,11,,1)</f>
        <v>0.86896489382983044</v>
      </c>
      <c r="E63" s="3">
        <f>[1]!MF_p_pipeline_atma(K37,$L$4,$L$4-1.4,$H$26:$I$27,$F$26,F37,$B$17,,$F$12,11,,1)</f>
        <v>0.89189642216479581</v>
      </c>
      <c r="F63" s="3">
        <f>[1]!MF_p_pipeline_atma(L37,$L$4,$L$4-1.4,$H$26:$I$27,$F$26,G37,$B$17,,$F$12,11,,1)</f>
        <v>0.85142867324754568</v>
      </c>
    </row>
    <row r="64" spans="1:12" x14ac:dyDescent="0.35">
      <c r="C64" s="3">
        <f>[1]!MF_p_pipeline_atma(I38,$L$4,$L$4-1.4,$H$26:$I$27,$F$26,D38,$B$17,,$F$12,11,,1)</f>
        <v>0.86515663224367534</v>
      </c>
      <c r="D64" s="3">
        <f>[1]!MF_p_pipeline_atma(J38,$L$4,$L$4-1.4,$H$26:$I$27,$F$26,E38,$B$17,,$F$12,11,,1)</f>
        <v>0.88705533777275392</v>
      </c>
      <c r="E64" s="3">
        <f>[1]!MF_p_pipeline_atma(K38,$L$4,$L$4-1.4,$H$26:$I$27,$F$26,F38,$B$17,,$F$12,11,,1)</f>
        <v>0.86575887018701003</v>
      </c>
      <c r="F64" s="3">
        <f>[1]!MF_p_pipeline_atma(L38,$L$4,$L$4-1.4,$H$26:$I$27,$F$26,G38,$B$17,,$F$12,11,,1)</f>
        <v>0.85078809785983167</v>
      </c>
    </row>
    <row r="65" spans="3:6" x14ac:dyDescent="0.35">
      <c r="C65" s="3">
        <f>[1]!MF_p_pipeline_atma(I39,$L$4,$L$4-1.4,$H$26:$I$27,$F$26,D39,$B$17,,$F$12,11,,1)</f>
        <v>0.80993988320005328</v>
      </c>
      <c r="D65" s="3">
        <f>[1]!MF_p_pipeline_atma(J39,$L$4,$L$4-1.4,$H$26:$I$27,$F$26,E39,$B$17,,$F$12,11,,1)</f>
        <v>0.86574623704993792</v>
      </c>
      <c r="E65" s="3">
        <f>[1]!MF_p_pipeline_atma(K39,$L$4,$L$4-1.4,$H$26:$I$27,$F$26,F39,$B$17,,$F$12,11,,1)</f>
        <v>0.88556251194546687</v>
      </c>
      <c r="F65" s="3">
        <f>[1]!MF_p_pipeline_atma(L39,$L$4,$L$4-1.4,$H$26:$I$27,$F$26,G39,$B$17,,$F$12,11,,1)</f>
        <v>0.8997048835560979</v>
      </c>
    </row>
    <row r="66" spans="3:6" x14ac:dyDescent="0.35">
      <c r="C66" s="3">
        <f>[1]!MF_p_pipeline_atma(I40,$L$4,$L$4-1.4,$H$26:$I$27,$F$26,D40,$B$17,,$F$12,11,,1)</f>
        <v>0.83586932770592681</v>
      </c>
      <c r="D66" s="3">
        <f>[1]!MF_p_pipeline_atma(J40,$L$4,$L$4-1.4,$H$26:$I$27,$F$26,E40,$B$17,,$F$12,11,,1)</f>
        <v>0.80848544029370928</v>
      </c>
      <c r="E66" s="3">
        <f>[1]!MF_p_pipeline_atma(K40,$L$4,$L$4-1.4,$H$26:$I$27,$F$26,F40,$B$17,,$F$12,11,,1)</f>
        <v>0.89130661763868058</v>
      </c>
      <c r="F66" s="3">
        <f>[1]!MF_p_pipeline_atma(L40,$L$4,$L$4-1.4,$H$26:$I$27,$F$26,G40,$B$17,,$F$12,11,,1)</f>
        <v>0.88229043661055051</v>
      </c>
    </row>
    <row r="67" spans="3:6" x14ac:dyDescent="0.35">
      <c r="C67" s="3">
        <f>[1]!MF_p_pipeline_atma(I41,$L$4,$L$4-1.4,$H$26:$I$27,$F$26,D41,$B$17,,$F$12,11,,1)</f>
        <v>0.86692869880465051</v>
      </c>
      <c r="D67" s="3">
        <f>[1]!MF_p_pipeline_atma(J41,$L$4,$L$4-1.4,$H$26:$I$27,$F$26,E41,$B$17,,$F$12,11,,1)</f>
        <v>0.89760705711731581</v>
      </c>
      <c r="E67" s="3">
        <f>[1]!MF_p_pipeline_atma(K41,$L$4,$L$4-1.4,$H$26:$I$27,$F$26,F41,$B$17,,$F$12,11,,1)</f>
        <v>0.87453255093788074</v>
      </c>
      <c r="F67" s="3">
        <f>[1]!MF_p_pipeline_atma(L41,$L$4,$L$4-1.4,$H$26:$I$27,$F$26,G41,$B$17,,$F$12,11,,1)</f>
        <v>0.87367684060309936</v>
      </c>
    </row>
    <row r="68" spans="3:6" x14ac:dyDescent="0.35">
      <c r="C68" s="3">
        <f>[1]!MF_p_pipeline_atma(I42,$L$4,$L$4-1.4,$H$26:$I$27,$F$26,D42,$B$17,,$F$12,11,,1)</f>
        <v>0.81913564290341212</v>
      </c>
      <c r="D68" s="3">
        <f>[1]!MF_p_pipeline_atma(J42,$L$4,$L$4-1.4,$H$26:$I$27,$F$26,E42,$B$17,,$F$12,11,,1)</f>
        <v>0.89793532993826364</v>
      </c>
      <c r="E68" s="3">
        <f>[1]!MF_p_pipeline_atma(K42,$L$4,$L$4-1.4,$H$26:$I$27,$F$26,F42,$B$17,,$F$12,11,,1)</f>
        <v>0.87738067797156727</v>
      </c>
      <c r="F68" s="3">
        <f>[1]!MF_p_pipeline_atma(L42,$L$4,$L$4-1.4,$H$26:$I$27,$F$26,G42,$B$17,,$F$12,11,,1)</f>
        <v>0.84442613678655309</v>
      </c>
    </row>
    <row r="69" spans="3:6" x14ac:dyDescent="0.35">
      <c r="C69" s="3">
        <f>[1]!MF_p_pipeline_atma(I43,$L$4,$L$4-1.4,$H$26:$I$27,$F$26,D43,$B$17,,$F$12,11,,1)</f>
        <v>0.8942048040446966</v>
      </c>
      <c r="D69" s="3">
        <f>[1]!MF_p_pipeline_atma(J43,$L$4,$L$4-1.4,$H$26:$I$27,$F$26,E43,$B$17,,$F$12,11,,1)</f>
        <v>0.85670821395351338</v>
      </c>
      <c r="E69" s="3">
        <f>[1]!MF_p_pipeline_atma(K43,$L$4,$L$4-1.4,$H$26:$I$27,$F$26,F43,$B$17,,$F$12,11,,1)</f>
        <v>0.88666255298609775</v>
      </c>
      <c r="F69" s="3">
        <f>[1]!MF_p_pipeline_atma(L43,$L$4,$L$4-1.4,$H$26:$I$27,$F$26,G43,$B$17,,$F$12,11,,1)</f>
        <v>0.88442931330613106</v>
      </c>
    </row>
    <row r="70" spans="3:6" x14ac:dyDescent="0.35">
      <c r="C70" s="3">
        <f>[1]!MF_p_pipeline_atma(I44,$L$4,$L$4-1.4,$H$26:$I$27,$F$26,D44,$B$17,,$F$12,11,,1)</f>
        <v>0.88361667763071305</v>
      </c>
      <c r="D70" s="3">
        <f>[1]!MF_p_pipeline_atma(J44,$L$4,$L$4-1.4,$H$26:$I$27,$F$26,E44,$B$17,,$F$12,11,,1)</f>
        <v>0.88782930428751228</v>
      </c>
      <c r="E70" s="3">
        <f>[1]!MF_p_pipeline_atma(K44,$L$4,$L$4-1.4,$H$26:$I$27,$F$26,F44,$B$17,,$F$12,11,,1)</f>
        <v>0.88618877809852925</v>
      </c>
      <c r="F70" s="3">
        <f>[1]!MF_p_pipeline_atma(L44,$L$4,$L$4-1.4,$H$26:$I$27,$F$26,G44,$B$17,,$F$12,11,,1)</f>
        <v>0.89177194856569741</v>
      </c>
    </row>
    <row r="71" spans="3:6" x14ac:dyDescent="0.35">
      <c r="C71" s="3">
        <f>[1]!MF_p_pipeline_atma(I45,$L$4,$L$4-1.4,$H$26:$I$27,$F$26,D45,$B$17,,$F$12,11,,1)</f>
        <v>0.88828812242707889</v>
      </c>
      <c r="D71" s="3">
        <f>[1]!MF_p_pipeline_atma(J45,$L$4,$L$4-1.4,$H$26:$I$27,$F$26,E45,$B$17,,$F$12,11,,1)</f>
        <v>0.87593951984344998</v>
      </c>
      <c r="E71" s="3">
        <f>[1]!MF_p_pipeline_atma(K45,$L$4,$L$4-1.4,$H$26:$I$27,$F$26,F45,$B$17,,$F$12,11,,1)</f>
        <v>0.85420015386251602</v>
      </c>
      <c r="F71" s="3">
        <f>[1]!MF_p_pipeline_atma(L45,$L$4,$L$4-1.4,$H$26:$I$27,$F$26,G45,$B$17,,$F$12,11,,1)</f>
        <v>0.88671644843462283</v>
      </c>
    </row>
    <row r="72" spans="3:6" x14ac:dyDescent="0.35">
      <c r="C72" s="3">
        <f>[1]!MF_p_pipeline_atma(I46,$L$4,$L$4-1.4,$H$26:$I$27,$F$26,D46,$B$17,,$F$12,11,,1)</f>
        <v>0.89918007556221402</v>
      </c>
      <c r="D72" s="3">
        <f>[1]!MF_p_pipeline_atma(J46,$L$4,$L$4-1.4,$H$26:$I$27,$F$26,E46,$B$17,,$F$12,11,,1)</f>
        <v>0.88731300718577244</v>
      </c>
      <c r="E72" s="3">
        <f>[1]!MF_p_pipeline_atma(K46,$L$4,$L$4-1.4,$H$26:$I$27,$F$26,F46,$B$17,,$F$12,11,,1)</f>
        <v>0.88242081897044955</v>
      </c>
      <c r="F72" s="3">
        <f>[1]!MF_p_pipeline_atma(L46,$L$4,$L$4-1.4,$H$26:$I$27,$F$26,G46,$B$17,,$F$12,11,,1)</f>
        <v>0.85908726089865428</v>
      </c>
    </row>
    <row r="73" spans="3:6" x14ac:dyDescent="0.35">
      <c r="C73" s="3">
        <f>[1]!MF_p_pipeline_atma(I47,$L$4,$L$4-1.4,$H$26:$I$27,$F$26,D47,$B$17,,$F$12,11,,1)</f>
        <v>1.8201462732295561</v>
      </c>
      <c r="D73" s="3">
        <f>[1]!MF_p_pipeline_atma(J47,$L$4,$L$4-1.4,$H$26:$I$27,$F$26,E47,$B$17,,$F$12,11,,1)</f>
        <v>1.4075993502687816</v>
      </c>
      <c r="E73" s="3">
        <f>[1]!MF_p_pipeline_atma(K47,$L$4,$L$4-1.4,$H$26:$I$27,$F$26,F47,$B$17,,$F$12,11,,1)</f>
        <v>0.88755908176499132</v>
      </c>
      <c r="F73" s="3">
        <f>[1]!MF_p_pipeline_atma(L47,$L$4,$L$4-1.4,$H$26:$I$27,$F$26,G47,$B$17,,$F$12,11,,1)</f>
        <v>0.89743116615911667</v>
      </c>
    </row>
    <row r="74" spans="3:6" x14ac:dyDescent="0.35">
      <c r="C74" s="3">
        <f>[1]!MF_p_pipeline_atma(I48,$L$4,$L$4-1.4,$H$26:$I$27,$F$26,D48,$B$17,,$F$12,11,,1)</f>
        <v>3.5226554393945935</v>
      </c>
      <c r="D74" s="3">
        <f>[1]!MF_p_pipeline_atma(J48,$L$4,$L$4-1.4,$H$26:$I$27,$F$26,E48,$B$17,,$F$12,11,,1)</f>
        <v>2.2967236165384159</v>
      </c>
      <c r="E74" s="3">
        <f>[1]!MF_p_pipeline_atma(K48,$L$4,$L$4-1.4,$H$26:$I$27,$F$26,F48,$B$17,,$F$12,11,,1)</f>
        <v>0.8731109631646089</v>
      </c>
      <c r="F74" s="3">
        <f>[1]!MF_p_pipeline_atma(L48,$L$4,$L$4-1.4,$H$26:$I$27,$F$26,G48,$B$17,,$F$12,11,,1)</f>
        <v>0.88339363008062621</v>
      </c>
    </row>
    <row r="75" spans="3:6" x14ac:dyDescent="0.35">
      <c r="C75" s="3">
        <f>[1]!MF_p_pipeline_atma(I49,$L$4,$L$4-1.4,$H$26:$I$27,$F$26,D49,$B$17,,$F$12,11,,1)</f>
        <v>7.5219592686775663</v>
      </c>
      <c r="D75" s="3">
        <f>[1]!MF_p_pipeline_atma(J49,$L$4,$L$4-1.4,$H$26:$I$27,$F$26,E49,$B$17,,$F$12,11,,1)</f>
        <v>3.4064417430662117</v>
      </c>
      <c r="E75" s="3">
        <f>[1]!MF_p_pipeline_atma(K49,$L$4,$L$4-1.4,$H$26:$I$27,$F$26,F49,$B$17,,$F$12,11,,1)</f>
        <v>2.0193099070917881</v>
      </c>
      <c r="F75" s="3">
        <f>[1]!MF_p_pipeline_atma(L49,$L$4,$L$4-1.4,$H$26:$I$27,$F$26,G49,$B$17,,$F$12,11,,1)</f>
        <v>1.2507652685839721</v>
      </c>
    </row>
    <row r="76" spans="3:6" x14ac:dyDescent="0.35">
      <c r="C76" s="3">
        <f>[1]!MF_p_pipeline_atma(I50,$L$4,$L$4-1.4,$H$26:$I$27,$F$26,D50,$B$17,,$F$12,11,,1)</f>
        <v>14.480008245309451</v>
      </c>
      <c r="D76" s="3">
        <f>[1]!MF_p_pipeline_atma(J50,$L$4,$L$4-1.4,$H$26:$I$27,$F$26,E50,$B$17,,$F$12,11,,1)</f>
        <v>5.3840247978599685</v>
      </c>
      <c r="E76" s="3">
        <f>[1]!MF_p_pipeline_atma(K50,$L$4,$L$4-1.4,$H$26:$I$27,$F$26,F50,$B$17,,$F$12,11,,1)</f>
        <v>7.5077970111206414</v>
      </c>
      <c r="F76" s="3">
        <f>[1]!MF_p_pipeline_atma(L50,$L$4,$L$4-1.4,$H$26:$I$27,$F$26,G50,$B$17,,$F$12,11,,1)</f>
        <v>2.704459040142964</v>
      </c>
    </row>
    <row r="77" spans="3:6" x14ac:dyDescent="0.35">
      <c r="C77" s="3">
        <f>[1]!MF_p_pipeline_atma(I51,$L$4,$L$4-1.4,$H$26:$I$27,$F$26,D51,$B$17,,$F$12,11,,1)</f>
        <v>23.755902629278921</v>
      </c>
      <c r="D77" s="3">
        <f>[1]!MF_p_pipeline_atma(J51,$L$4,$L$4-1.4,$H$26:$I$27,$F$26,E51,$B$17,,$F$12,11,,1)</f>
        <v>8.6990853606209626</v>
      </c>
      <c r="E77" s="3">
        <f>[1]!MF_p_pipeline_atma(K51,$L$4,$L$4-1.4,$H$26:$I$27,$F$26,F51,$B$17,,$F$12,11,,1)</f>
        <v>16.13844257578037</v>
      </c>
      <c r="F77" s="3">
        <f>[1]!MF_p_pipeline_atma(L51,$L$4,$L$4-1.4,$H$26:$I$27,$F$26,G51,$B$17,,$F$12,11,,1)</f>
        <v>5.5704143011383973</v>
      </c>
    </row>
    <row r="78" spans="3:6" x14ac:dyDescent="0.35">
      <c r="C78" s="3">
        <f>[1]!MF_p_pipeline_atma(I52,$L$4,$L$4-1.4,$H$26:$I$27,$F$26,D52,$B$17,,$F$12,11,,1)</f>
        <v>34.826646956098756</v>
      </c>
      <c r="D78" s="3">
        <f>[1]!MF_p_pipeline_atma(J52,$L$4,$L$4-1.4,$H$26:$I$27,$F$26,E52,$B$17,,$F$12,11,,1)</f>
        <v>13.77453653656554</v>
      </c>
      <c r="E78" s="3">
        <f>[1]!MF_p_pipeline_atma(K52,$L$4,$L$4-1.4,$H$26:$I$27,$F$26,F52,$B$17,,$F$12,11,,1)</f>
        <v>26.296963723352494</v>
      </c>
      <c r="F78" s="3">
        <f>[1]!MF_p_pipeline_atma(L52,$L$4,$L$4-1.4,$H$26:$I$27,$F$26,G52,$B$17,,$F$12,11,,1)</f>
        <v>10.340583298255332</v>
      </c>
    </row>
    <row r="79" spans="3:6" x14ac:dyDescent="0.35">
      <c r="C79" s="3">
        <f>[1]!MF_p_pipeline_atma(I53,$L$4,$L$4-1.4,$H$26:$I$27,$F$26,D53,$B$17,,$F$12,11,,1)</f>
        <v>46.201721689613287</v>
      </c>
      <c r="D79" s="3">
        <f>[1]!MF_p_pipeline_atma(J53,$L$4,$L$4-1.4,$H$26:$I$27,$F$26,E53,$B$17,,$F$12,11,,1)</f>
        <v>21.131306921645912</v>
      </c>
      <c r="E79" s="3">
        <f>[1]!MF_p_pipeline_atma(K53,$L$4,$L$4-1.4,$H$26:$I$27,$F$26,F53,$B$17,,$F$12,11,,1)</f>
        <v>37.504129855739308</v>
      </c>
      <c r="F79" s="3">
        <f>[1]!MF_p_pipeline_atma(L53,$L$4,$L$4-1.4,$H$26:$I$27,$F$26,G53,$B$17,,$F$12,11,,1)</f>
        <v>17.414910966996018</v>
      </c>
    </row>
    <row r="80" spans="3:6" x14ac:dyDescent="0.35">
      <c r="C80" s="3">
        <f>[1]!MF_p_pipeline_atma(I54,$L$4,$L$4-1.4,$H$26:$I$27,$F$26,D54,$B$17,,$F$12,11,,1)</f>
        <v>57.68464793761747</v>
      </c>
      <c r="D80" s="3">
        <f>[1]!MF_p_pipeline_atma(J54,$L$4,$L$4-1.4,$H$26:$I$27,$F$26,E54,$B$17,,$F$12,11,,1)</f>
        <v>31.788546434636544</v>
      </c>
      <c r="E80" s="3">
        <f>[1]!MF_p_pipeline_atma(K54,$L$4,$L$4-1.4,$H$26:$I$27,$F$26,F54,$B$17,,$F$12,11,,1)</f>
        <v>48.8079316770296</v>
      </c>
      <c r="F80" s="3">
        <f>[1]!MF_p_pipeline_atma(L54,$L$4,$L$4-1.4,$H$26:$I$27,$F$26,G54,$B$17,,$F$12,11,,1)</f>
        <v>27.989317292062054</v>
      </c>
    </row>
    <row r="81" spans="1:7" x14ac:dyDescent="0.35">
      <c r="C81" s="3">
        <f>[1]!MF_p_pipeline_atma(I55,$L$4,$L$4-1.4,$H$26:$I$27,$F$26,D55,$B$17,,$F$12,11,,1)</f>
        <v>69.182550225134818</v>
      </c>
      <c r="D81" s="3">
        <f>[1]!MF_p_pipeline_atma(J55,$L$4,$L$4-1.4,$H$26:$I$27,$F$26,E55,$B$17,,$F$12,11,,1)</f>
        <v>43.058795604638966</v>
      </c>
      <c r="E81" s="3">
        <f>[1]!MF_p_pipeline_atma(K55,$L$4,$L$4-1.4,$H$26:$I$27,$F$26,F55,$B$17,,$F$12,11,,1)</f>
        <v>60.139987714694563</v>
      </c>
      <c r="F81" s="3">
        <f>[1]!MF_p_pipeline_atma(L55,$L$4,$L$4-1.4,$H$26:$I$27,$F$26,G55,$B$17,,$F$12,11,,1)</f>
        <v>39.307791365339973</v>
      </c>
    </row>
    <row r="82" spans="1:7" x14ac:dyDescent="0.35">
      <c r="C82" s="3">
        <f>[1]!MF_p_pipeline_atma(I56,$L$4,$L$4-1.4,$H$26:$I$27,$F$26,D56,$B$17,,$F$12,11,,1)</f>
        <v>80.607711856530329</v>
      </c>
      <c r="D82" s="3">
        <f>[1]!MF_p_pipeline_atma(J56,$L$4,$L$4-1.4,$H$26:$I$27,$F$26,E56,$B$17,,$F$12,11,,1)</f>
        <v>54.514537818805564</v>
      </c>
      <c r="E82" s="3">
        <f>[1]!MF_p_pipeline_atma(K56,$L$4,$L$4-1.4,$H$26:$I$27,$F$26,F56,$B$17,,$F$12,11,,1)</f>
        <v>71.464684794442903</v>
      </c>
      <c r="F82" s="3">
        <f>[1]!MF_p_pipeline_atma(L56,$L$4,$L$4-1.4,$H$26:$I$27,$F$26,G56,$B$17,,$F$12,11,,1)</f>
        <v>50.775480897657232</v>
      </c>
    </row>
    <row r="85" spans="1:7" x14ac:dyDescent="0.35">
      <c r="A85" t="s">
        <v>72</v>
      </c>
    </row>
    <row r="87" spans="1:7" x14ac:dyDescent="0.35">
      <c r="B87" s="1" t="s">
        <v>73</v>
      </c>
      <c r="C87" s="1" t="s">
        <v>74</v>
      </c>
      <c r="D87" s="1" t="s">
        <v>75</v>
      </c>
      <c r="E87" s="1" t="s">
        <v>76</v>
      </c>
      <c r="F87" s="1" t="s">
        <v>77</v>
      </c>
      <c r="G87" s="1" t="s">
        <v>78</v>
      </c>
    </row>
    <row r="88" spans="1:7" x14ac:dyDescent="0.35">
      <c r="B88" s="1">
        <v>1</v>
      </c>
      <c r="C88" s="3">
        <f>[1]!crv_solve(D$36:D$56,C$62:C$82,$B88)</f>
        <v>43.441412337276887</v>
      </c>
      <c r="D88" s="3">
        <f>[1]!crv_solve(E$36:E$56,D$62:D$82,$B88)</f>
        <v>40.82451526673232</v>
      </c>
      <c r="E88" s="3">
        <f>[1]!crv_solve(F$36:F$56,E$62:E$82,$B88)</f>
        <v>33.60407118298766</v>
      </c>
      <c r="F88" s="3">
        <f>[1]!crv_solve(G$36:G$56,F$62:F$82,$B88)</f>
        <v>30.153057727668028</v>
      </c>
      <c r="G88" s="3">
        <f t="shared" ref="G88:G119" si="1">SUM(C88:F88)</f>
        <v>148.02305651466489</v>
      </c>
    </row>
    <row r="89" spans="1:7" x14ac:dyDescent="0.35">
      <c r="B89" s="1">
        <v>2</v>
      </c>
      <c r="C89" s="3">
        <f>[1]!crv_solve(D$36:D$56,C$62:C$82,$B89)</f>
        <v>39.55706896265248</v>
      </c>
      <c r="D89" s="3">
        <f>[1]!crv_solve(E$36:E$56,D$62:D$82,$B89)</f>
        <v>36.031248299299719</v>
      </c>
      <c r="E89" s="3">
        <f>[1]!crv_solve(F$36:F$56,E$62:E$82,$B89)</f>
        <v>30.459899754942743</v>
      </c>
      <c r="F89" s="3">
        <f>[1]!crv_solve(G$36:G$56,F$62:F$82,$B89)</f>
        <v>26.216560363972192</v>
      </c>
      <c r="G89" s="3">
        <f t="shared" si="1"/>
        <v>132.26477738086714</v>
      </c>
    </row>
    <row r="90" spans="1:7" x14ac:dyDescent="0.35">
      <c r="B90" s="1">
        <v>3</v>
      </c>
      <c r="C90" s="3">
        <f>[1]!crv_solve(D$36:D$56,C$62:C$82,$B90)</f>
        <v>37.165669478153909</v>
      </c>
      <c r="D90" s="3">
        <f>[1]!crv_solve(E$36:E$56,D$62:D$82,$B90)</f>
        <v>32.66418469410857</v>
      </c>
      <c r="E90" s="3">
        <f>[1]!crv_solve(F$36:F$56,E$62:E$82,$B90)</f>
        <v>29.739931718325266</v>
      </c>
      <c r="F90" s="3">
        <f>[1]!crv_solve(G$36:G$56,F$62:F$82,$B90)</f>
        <v>24.243940633881728</v>
      </c>
      <c r="G90" s="3">
        <f t="shared" si="1"/>
        <v>123.81372652446947</v>
      </c>
    </row>
    <row r="91" spans="1:7" x14ac:dyDescent="0.35">
      <c r="B91" s="1">
        <v>4</v>
      </c>
      <c r="C91" s="3">
        <f>[1]!crv_solve(D$36:D$56,C$62:C$82,$B91)</f>
        <v>35.409474181694392</v>
      </c>
      <c r="D91" s="3">
        <f>[1]!crv_solve(E$36:E$56,D$62:D$82,$B91)</f>
        <v>30.276781176809074</v>
      </c>
      <c r="E91" s="3">
        <f>[1]!crv_solve(F$36:F$56,E$62:E$82,$B91)</f>
        <v>29.067696541046914</v>
      </c>
      <c r="F91" s="3">
        <f>[1]!crv_solve(G$36:G$56,F$62:F$82,$B91)</f>
        <v>23.04921469708561</v>
      </c>
      <c r="G91" s="3">
        <f t="shared" si="1"/>
        <v>117.803166596636</v>
      </c>
    </row>
    <row r="92" spans="1:7" x14ac:dyDescent="0.35">
      <c r="B92" s="1">
        <v>5</v>
      </c>
      <c r="C92" s="3">
        <f>[1]!crv_solve(D$36:D$56,C$62:C$82,$B92)</f>
        <v>34.348778428759125</v>
      </c>
      <c r="D92" s="3">
        <f>[1]!crv_solve(E$36:E$56,D$62:D$82,$B92)</f>
        <v>28.431291064751591</v>
      </c>
      <c r="E92" s="3">
        <f>[1]!crv_solve(F$36:F$56,E$62:E$82,$B92)</f>
        <v>28.395461363768561</v>
      </c>
      <c r="F92" s="3">
        <f>[1]!crv_solve(G$36:G$56,F$62:F$82,$B92)</f>
        <v>21.854488760289495</v>
      </c>
      <c r="G92" s="3">
        <f t="shared" si="1"/>
        <v>113.03001961756878</v>
      </c>
    </row>
    <row r="93" spans="1:7" x14ac:dyDescent="0.35">
      <c r="B93" s="1">
        <v>6</v>
      </c>
      <c r="C93" s="3">
        <f>[1]!crv_solve(D$36:D$56,C$62:C$82,$B93)</f>
        <v>33.288082675823858</v>
      </c>
      <c r="D93" s="3">
        <f>[1]!crv_solve(E$36:E$56,D$62:D$82,$B93)</f>
        <v>27.025306446670665</v>
      </c>
      <c r="E93" s="3">
        <f>[1]!crv_solve(F$36:F$56,E$62:E$82,$B93)</f>
        <v>27.723226186490212</v>
      </c>
      <c r="F93" s="3">
        <f>[1]!crv_solve(G$36:G$56,F$62:F$82,$B93)</f>
        <v>20.863114880484087</v>
      </c>
      <c r="G93" s="3">
        <f t="shared" si="1"/>
        <v>108.89973018946883</v>
      </c>
    </row>
    <row r="94" spans="1:7" x14ac:dyDescent="0.35">
      <c r="B94" s="1">
        <v>7</v>
      </c>
      <c r="C94" s="3">
        <f>[1]!crv_solve(D$36:D$56,C$62:C$82,$B94)</f>
        <v>32.227386922888584</v>
      </c>
      <c r="D94" s="3">
        <f>[1]!crv_solve(E$36:E$56,D$62:D$82,$B94)</f>
        <v>25.893328002695952</v>
      </c>
      <c r="E94" s="3">
        <f>[1]!crv_solve(F$36:F$56,E$62:E$82,$B94)</f>
        <v>27.05099100921186</v>
      </c>
      <c r="F94" s="3">
        <f>[1]!crv_solve(G$36:G$56,F$62:F$82,$B94)</f>
        <v>20.141756789800148</v>
      </c>
      <c r="G94" s="3">
        <f t="shared" si="1"/>
        <v>105.31346272459655</v>
      </c>
    </row>
    <row r="95" spans="1:7" x14ac:dyDescent="0.35">
      <c r="B95" s="1">
        <v>8</v>
      </c>
      <c r="C95" s="3">
        <f>[1]!crv_solve(D$36:D$56,C$62:C$82,$B95)</f>
        <v>31.37181618601139</v>
      </c>
      <c r="D95" s="3">
        <f>[1]!crv_solve(E$36:E$56,D$62:D$82,$B95)</f>
        <v>24.761349558721239</v>
      </c>
      <c r="E95" s="3">
        <f>[1]!crv_solve(F$36:F$56,E$62:E$82,$B95)</f>
        <v>26.495221370934217</v>
      </c>
      <c r="F95" s="3">
        <f>[1]!crv_solve(G$36:G$56,F$62:F$82,$B95)</f>
        <v>19.420398699116209</v>
      </c>
      <c r="G95" s="3">
        <f t="shared" si="1"/>
        <v>102.04878581478305</v>
      </c>
    </row>
    <row r="96" spans="1:7" x14ac:dyDescent="0.35">
      <c r="B96" s="1">
        <v>9</v>
      </c>
      <c r="C96" s="3">
        <f>[1]!crv_solve(D$36:D$56,C$62:C$82,$B96)</f>
        <v>30.740215701779739</v>
      </c>
      <c r="D96" s="3">
        <f>[1]!crv_solve(E$36:E$56,D$62:D$82,$B96)</f>
        <v>23.746246128738491</v>
      </c>
      <c r="E96" s="3">
        <f>[1]!crv_solve(F$36:F$56,E$62:E$82,$B96)</f>
        <v>26.059607144020013</v>
      </c>
      <c r="F96" s="3">
        <f>[1]!crv_solve(G$36:G$56,F$62:F$82,$B96)</f>
        <v>18.69904060843227</v>
      </c>
      <c r="G96" s="3">
        <f t="shared" si="1"/>
        <v>99.245109582970514</v>
      </c>
    </row>
    <row r="97" spans="2:7" x14ac:dyDescent="0.35">
      <c r="B97" s="1">
        <v>10</v>
      </c>
      <c r="C97" s="3">
        <f>[1]!crv_solve(D$36:D$56,C$62:C$82,$B97)</f>
        <v>30.108615217548088</v>
      </c>
      <c r="D97" s="3">
        <f>[1]!crv_solve(E$36:E$56,D$62:D$82,$B97)</f>
        <v>23.002666913970923</v>
      </c>
      <c r="E97" s="3">
        <f>[1]!crv_solve(F$36:F$56,E$62:E$82,$B97)</f>
        <v>25.623992917105813</v>
      </c>
      <c r="F97" s="3">
        <f>[1]!crv_solve(G$36:G$56,F$62:F$82,$B97)</f>
        <v>17.977682517748331</v>
      </c>
      <c r="G97" s="3">
        <f t="shared" si="1"/>
        <v>96.712957566373163</v>
      </c>
    </row>
    <row r="98" spans="2:7" x14ac:dyDescent="0.35">
      <c r="B98" s="1">
        <v>11</v>
      </c>
      <c r="C98" s="3">
        <f>[1]!crv_solve(D$36:D$56,C$62:C$82,$B98)</f>
        <v>29.477014733316437</v>
      </c>
      <c r="D98" s="3">
        <f>[1]!crv_solve(E$36:E$56,D$62:D$82,$B98)</f>
        <v>22.259087699203356</v>
      </c>
      <c r="E98" s="3">
        <f>[1]!crv_solve(F$36:F$56,E$62:E$82,$B98)</f>
        <v>25.188378690191609</v>
      </c>
      <c r="F98" s="3">
        <f>[1]!crv_solve(G$36:G$56,F$62:F$82,$B98)</f>
        <v>17.41125533323407</v>
      </c>
      <c r="G98" s="3">
        <f t="shared" si="1"/>
        <v>94.335736455945465</v>
      </c>
    </row>
    <row r="99" spans="2:7" x14ac:dyDescent="0.35">
      <c r="B99" s="1">
        <v>12</v>
      </c>
      <c r="C99" s="3">
        <f>[1]!crv_solve(D$36:D$56,C$62:C$82,$B99)</f>
        <v>28.845414249084786</v>
      </c>
      <c r="D99" s="3">
        <f>[1]!crv_solve(E$36:E$56,D$62:D$82,$B99)</f>
        <v>21.515508484435788</v>
      </c>
      <c r="E99" s="3">
        <f>[1]!crv_solve(F$36:F$56,E$62:E$82,$B99)</f>
        <v>24.752764463277408</v>
      </c>
      <c r="F99" s="3">
        <f>[1]!crv_solve(G$36:G$56,F$62:F$82,$B99)</f>
        <v>16.924848686394011</v>
      </c>
      <c r="G99" s="3">
        <f t="shared" si="1"/>
        <v>92.038535883191997</v>
      </c>
    </row>
    <row r="100" spans="2:7" x14ac:dyDescent="0.35">
      <c r="B100" s="1">
        <v>13</v>
      </c>
      <c r="C100" s="3">
        <f>[1]!crv_solve(D$36:D$56,C$62:C$82,$B100)</f>
        <v>28.213813764853136</v>
      </c>
      <c r="D100" s="3">
        <f>[1]!crv_solve(E$36:E$56,D$62:D$82,$B100)</f>
        <v>20.77192926966822</v>
      </c>
      <c r="E100" s="3">
        <f>[1]!crv_solve(F$36:F$56,E$62:E$82,$B100)</f>
        <v>24.317150236363204</v>
      </c>
      <c r="F100" s="3">
        <f>[1]!crv_solve(G$36:G$56,F$62:F$82,$B100)</f>
        <v>16.438442039553955</v>
      </c>
      <c r="G100" s="3">
        <f t="shared" si="1"/>
        <v>89.741335310438529</v>
      </c>
    </row>
    <row r="101" spans="2:7" x14ac:dyDescent="0.35">
      <c r="B101" s="1">
        <v>14</v>
      </c>
      <c r="C101" s="3">
        <f>[1]!crv_solve(D$36:D$56,C$62:C$82,$B101)</f>
        <v>27.582213280621485</v>
      </c>
      <c r="D101" s="3">
        <f>[1]!crv_solve(E$36:E$56,D$62:D$82,$B101)</f>
        <v>20.080337954501459</v>
      </c>
      <c r="E101" s="3">
        <f>[1]!crv_solve(F$36:F$56,E$62:E$82,$B101)</f>
        <v>23.881536009449004</v>
      </c>
      <c r="F101" s="3">
        <f>[1]!crv_solve(G$36:G$56,F$62:F$82,$B101)</f>
        <v>15.952035392713897</v>
      </c>
      <c r="G101" s="3">
        <f t="shared" si="1"/>
        <v>87.49612263728585</v>
      </c>
    </row>
    <row r="102" spans="2:7" x14ac:dyDescent="0.35">
      <c r="B102" s="1">
        <v>15</v>
      </c>
      <c r="C102" s="3">
        <f>[1]!crv_solve(D$36:D$56,C$62:C$82,$B102)</f>
        <v>27.025429426450341</v>
      </c>
      <c r="D102" s="3">
        <f>[1]!crv_solve(E$36:E$56,D$62:D$82,$B102)</f>
        <v>19.567341109084929</v>
      </c>
      <c r="E102" s="3">
        <f>[1]!crv_solve(F$36:F$56,E$62:E$82,$B102)</f>
        <v>23.4459217825348</v>
      </c>
      <c r="F102" s="3">
        <f>[1]!crv_solve(G$36:G$56,F$62:F$82,$B102)</f>
        <v>15.46562874587384</v>
      </c>
      <c r="G102" s="3">
        <f t="shared" si="1"/>
        <v>85.504321063943905</v>
      </c>
    </row>
    <row r="103" spans="2:7" x14ac:dyDescent="0.35">
      <c r="B103" s="1">
        <v>16</v>
      </c>
      <c r="C103" s="3">
        <f>[1]!crv_solve(D$36:D$56,C$62:C$82,$B103)</f>
        <v>26.537709358370734</v>
      </c>
      <c r="D103" s="3">
        <f>[1]!crv_solve(E$36:E$56,D$62:D$82,$B103)</f>
        <v>19.054344263668394</v>
      </c>
      <c r="E103" s="3">
        <f>[1]!crv_solve(F$36:F$56,E$62:E$82,$B103)</f>
        <v>23.010307555620596</v>
      </c>
      <c r="F103" s="3">
        <f>[1]!crv_solve(G$36:G$56,F$62:F$82,$B103)</f>
        <v>14.979222099033782</v>
      </c>
      <c r="G103" s="3">
        <f t="shared" si="1"/>
        <v>83.581583276693507</v>
      </c>
    </row>
    <row r="104" spans="2:7" x14ac:dyDescent="0.35">
      <c r="B104" s="1">
        <v>17</v>
      </c>
      <c r="C104" s="3">
        <f>[1]!crv_solve(D$36:D$56,C$62:C$82,$B104)</f>
        <v>26.049989290291126</v>
      </c>
      <c r="D104" s="3">
        <f>[1]!crv_solve(E$36:E$56,D$62:D$82,$B104)</f>
        <v>18.541347418251863</v>
      </c>
      <c r="E104" s="3">
        <f>[1]!crv_solve(F$36:F$56,E$62:E$82,$B104)</f>
        <v>22.629922139082048</v>
      </c>
      <c r="F104" s="3">
        <f>[1]!crv_solve(G$36:G$56,F$62:F$82,$B104)</f>
        <v>14.492815452193724</v>
      </c>
      <c r="G104" s="3">
        <f t="shared" si="1"/>
        <v>81.714074299818762</v>
      </c>
    </row>
    <row r="105" spans="2:7" x14ac:dyDescent="0.35">
      <c r="B105" s="1">
        <v>18</v>
      </c>
      <c r="C105" s="3">
        <f>[1]!crv_solve(D$36:D$56,C$62:C$82,$B105)</f>
        <v>25.562269222211523</v>
      </c>
      <c r="D105" s="3">
        <f>[1]!crv_solve(E$36:E$56,D$62:D$82,$B105)</f>
        <v>18.028350572835329</v>
      </c>
      <c r="E105" s="3">
        <f>[1]!crv_solve(F$36:F$56,E$62:E$82,$B105)</f>
        <v>22.258411370420411</v>
      </c>
      <c r="F105" s="3">
        <f>[1]!crv_solve(G$36:G$56,F$62:F$82,$B105)</f>
        <v>14.100607149500767</v>
      </c>
      <c r="G105" s="3">
        <f t="shared" si="1"/>
        <v>79.949638314968041</v>
      </c>
    </row>
    <row r="106" spans="2:7" x14ac:dyDescent="0.35">
      <c r="B106" s="1">
        <v>19</v>
      </c>
      <c r="C106" s="3">
        <f>[1]!crv_solve(D$36:D$56,C$62:C$82,$B106)</f>
        <v>25.074549154131915</v>
      </c>
      <c r="D106" s="3">
        <f>[1]!crv_solve(E$36:E$56,D$62:D$82,$B106)</f>
        <v>17.515353727418798</v>
      </c>
      <c r="E106" s="3">
        <f>[1]!crv_solve(F$36:F$56,E$62:E$82,$B106)</f>
        <v>21.886900601758775</v>
      </c>
      <c r="F106" s="3">
        <f>[1]!crv_solve(G$36:G$56,F$62:F$82,$B106)</f>
        <v>13.775198810325897</v>
      </c>
      <c r="G106" s="3">
        <f t="shared" si="1"/>
        <v>78.252002293635371</v>
      </c>
    </row>
    <row r="107" spans="2:7" x14ac:dyDescent="0.35">
      <c r="B107" s="1">
        <v>20</v>
      </c>
      <c r="C107" s="3">
        <f>[1]!crv_solve(D$36:D$56,C$62:C$82,$B107)</f>
        <v>24.586829086052308</v>
      </c>
      <c r="D107" s="3">
        <f>[1]!crv_solve(E$36:E$56,D$62:D$82,$B107)</f>
        <v>17.002356882002267</v>
      </c>
      <c r="E107" s="3">
        <f>[1]!crv_solve(F$36:F$56,E$62:E$82,$B107)</f>
        <v>21.515389833097142</v>
      </c>
      <c r="F107" s="3">
        <f>[1]!crv_solve(G$36:G$56,F$62:F$82,$B107)</f>
        <v>13.449790471151024</v>
      </c>
      <c r="G107" s="3">
        <f t="shared" si="1"/>
        <v>76.554366272302744</v>
      </c>
    </row>
    <row r="108" spans="2:7" x14ac:dyDescent="0.35">
      <c r="B108" s="1">
        <v>21</v>
      </c>
      <c r="C108" s="3">
        <f>[1]!crv_solve(D$36:D$56,C$62:C$82,$B108)</f>
        <v>24.099109017972701</v>
      </c>
      <c r="D108" s="3">
        <f>[1]!crv_solve(E$36:E$56,D$62:D$82,$B108)</f>
        <v>16.489360036585733</v>
      </c>
      <c r="E108" s="3">
        <f>[1]!crv_solve(F$36:F$56,E$62:E$82,$B108)</f>
        <v>21.143879064435506</v>
      </c>
      <c r="F108" s="3">
        <f>[1]!crv_solve(G$36:G$56,F$62:F$82,$B108)</f>
        <v>13.124382131976152</v>
      </c>
      <c r="G108" s="3">
        <f t="shared" si="1"/>
        <v>74.856730250970088</v>
      </c>
    </row>
    <row r="109" spans="2:7" x14ac:dyDescent="0.35">
      <c r="B109" s="1">
        <v>22</v>
      </c>
      <c r="C109" s="3">
        <f>[1]!crv_solve(D$36:D$56,C$62:C$82,$B109)</f>
        <v>23.611388949893097</v>
      </c>
      <c r="D109" s="3">
        <f>[1]!crv_solve(E$36:E$56,D$62:D$82,$B109)</f>
        <v>16.114373651383943</v>
      </c>
      <c r="E109" s="3">
        <f>[1]!crv_solve(F$36:F$56,E$62:E$82,$B109)</f>
        <v>20.77236829577387</v>
      </c>
      <c r="F109" s="3">
        <f>[1]!crv_solve(G$36:G$56,F$62:F$82,$B109)</f>
        <v>12.798973792801281</v>
      </c>
      <c r="G109" s="3">
        <f t="shared" si="1"/>
        <v>73.297104689852191</v>
      </c>
    </row>
    <row r="110" spans="2:7" x14ac:dyDescent="0.35">
      <c r="B110" s="1">
        <v>23</v>
      </c>
      <c r="C110" s="3">
        <f>[1]!crv_solve(D$36:D$56,C$62:C$82,$B110)</f>
        <v>23.12366888181349</v>
      </c>
      <c r="D110" s="3">
        <f>[1]!crv_solve(E$36:E$56,D$62:D$82,$B110)</f>
        <v>15.760248176827453</v>
      </c>
      <c r="E110" s="3">
        <f>[1]!crv_solve(F$36:F$56,E$62:E$82,$B110)</f>
        <v>20.400857527112237</v>
      </c>
      <c r="F110" s="3">
        <f>[1]!crv_solve(G$36:G$56,F$62:F$82,$B110)</f>
        <v>12.473565453626408</v>
      </c>
      <c r="G110" s="3">
        <f t="shared" si="1"/>
        <v>71.75834003937959</v>
      </c>
    </row>
    <row r="111" spans="2:7" x14ac:dyDescent="0.35">
      <c r="B111" s="1">
        <v>24</v>
      </c>
      <c r="C111" s="3">
        <f>[1]!crv_solve(D$36:D$56,C$62:C$82,$B111)</f>
        <v>22.65465560567954</v>
      </c>
      <c r="D111" s="3">
        <f>[1]!crv_solve(E$36:E$56,D$62:D$82,$B111)</f>
        <v>15.406122702270961</v>
      </c>
      <c r="E111" s="3">
        <f>[1]!crv_solve(F$36:F$56,E$62:E$82,$B111)</f>
        <v>20.0293467584506</v>
      </c>
      <c r="F111" s="3">
        <f>[1]!crv_solve(G$36:G$56,F$62:F$82,$B111)</f>
        <v>12.148157114451537</v>
      </c>
      <c r="G111" s="3">
        <f t="shared" si="1"/>
        <v>70.238282180852636</v>
      </c>
    </row>
    <row r="112" spans="2:7" x14ac:dyDescent="0.35">
      <c r="B112" s="1">
        <v>25</v>
      </c>
      <c r="C112" s="3">
        <f>[1]!crv_solve(D$36:D$56,C$62:C$82,$B112)</f>
        <v>22.243572135079031</v>
      </c>
      <c r="D112" s="3">
        <f>[1]!crv_solve(E$36:E$56,D$62:D$82,$B112)</f>
        <v>15.05199722771447</v>
      </c>
      <c r="E112" s="3">
        <f>[1]!crv_solve(F$36:F$56,E$62:E$82,$B112)</f>
        <v>19.657835989788964</v>
      </c>
      <c r="F112" s="3">
        <f>[1]!crv_solve(G$36:G$56,F$62:F$82,$B112)</f>
        <v>11.822748775276665</v>
      </c>
      <c r="G112" s="3">
        <f t="shared" si="1"/>
        <v>68.77615412785913</v>
      </c>
    </row>
    <row r="113" spans="2:7" x14ac:dyDescent="0.35">
      <c r="B113" s="1">
        <v>26</v>
      </c>
      <c r="C113" s="3">
        <f>[1]!crv_solve(D$36:D$56,C$62:C$82,$B113)</f>
        <v>21.832488664478522</v>
      </c>
      <c r="D113" s="3">
        <f>[1]!crv_solve(E$36:E$56,D$62:D$82,$B113)</f>
        <v>14.69787175315798</v>
      </c>
      <c r="E113" s="3">
        <f>[1]!crv_solve(F$36:F$56,E$62:E$82,$B113)</f>
        <v>19.286325221127331</v>
      </c>
      <c r="F113" s="3">
        <f>[1]!crv_solve(G$36:G$56,F$62:F$82,$B113)</f>
        <v>11.497340436101792</v>
      </c>
      <c r="G113" s="3">
        <f t="shared" si="1"/>
        <v>67.314026074865623</v>
      </c>
    </row>
    <row r="114" spans="2:7" x14ac:dyDescent="0.35">
      <c r="B114" s="1">
        <v>27</v>
      </c>
      <c r="C114" s="3">
        <f>[1]!crv_solve(D$36:D$56,C$62:C$82,$B114)</f>
        <v>21.421405193878012</v>
      </c>
      <c r="D114" s="3">
        <f>[1]!crv_solve(E$36:E$56,D$62:D$82,$B114)</f>
        <v>14.343746278601488</v>
      </c>
      <c r="E114" s="3">
        <f>[1]!crv_solve(F$36:F$56,E$62:E$82,$B114)</f>
        <v>18.939253361579073</v>
      </c>
      <c r="F114" s="3">
        <f>[1]!crv_solve(G$36:G$56,F$62:F$82,$B114)</f>
        <v>11.171932096926922</v>
      </c>
      <c r="G114" s="3">
        <f t="shared" si="1"/>
        <v>65.876336930985502</v>
      </c>
    </row>
    <row r="115" spans="2:7" x14ac:dyDescent="0.35">
      <c r="B115" s="1">
        <v>28</v>
      </c>
      <c r="C115" s="3">
        <f>[1]!crv_solve(D$36:D$56,C$62:C$82,$B115)</f>
        <v>21.010321723277503</v>
      </c>
      <c r="D115" s="3">
        <f>[1]!crv_solve(E$36:E$56,D$62:D$82,$B115)</f>
        <v>13.989620804044996</v>
      </c>
      <c r="E115" s="3">
        <f>[1]!crv_solve(F$36:F$56,E$62:E$82,$B115)</f>
        <v>18.602504538958005</v>
      </c>
      <c r="F115" s="3">
        <f>[1]!crv_solve(G$36:G$56,F$62:F$82,$B115)</f>
        <v>10.846752283233924</v>
      </c>
      <c r="G115" s="3">
        <f t="shared" si="1"/>
        <v>64.44919934951443</v>
      </c>
    </row>
    <row r="116" spans="2:7" x14ac:dyDescent="0.35">
      <c r="B116" s="1">
        <v>29</v>
      </c>
      <c r="C116" s="3">
        <f>[1]!crv_solve(D$36:D$56,C$62:C$82,$B116)</f>
        <v>20.599238252676994</v>
      </c>
      <c r="D116" s="3">
        <f>[1]!crv_solve(E$36:E$56,D$62:D$82,$B116)</f>
        <v>13.635495329488505</v>
      </c>
      <c r="E116" s="3">
        <f>[1]!crv_solve(F$36:F$56,E$62:E$82,$B116)</f>
        <v>18.265755716336933</v>
      </c>
      <c r="F116" s="3">
        <f>[1]!crv_solve(G$36:G$56,F$62:F$82,$B116)</f>
        <v>10.542736037075448</v>
      </c>
      <c r="G116" s="3">
        <f t="shared" si="1"/>
        <v>63.04322533557788</v>
      </c>
    </row>
    <row r="117" spans="2:7" x14ac:dyDescent="0.35">
      <c r="B117" s="1">
        <v>30</v>
      </c>
      <c r="C117" s="3">
        <f>[1]!crv_solve(D$36:D$56,C$62:C$82,$B117)</f>
        <v>20.188154782076484</v>
      </c>
      <c r="D117" s="3">
        <f>[1]!crv_solve(E$36:E$56,D$62:D$82,$B117)</f>
        <v>13.281369854932013</v>
      </c>
      <c r="E117" s="3">
        <f>[1]!crv_solve(F$36:F$56,E$62:E$82,$B117)</f>
        <v>17.929006893715862</v>
      </c>
      <c r="F117" s="3">
        <f>[1]!crv_solve(G$36:G$56,F$62:F$82,$B117)</f>
        <v>10.238719790916971</v>
      </c>
      <c r="G117" s="3">
        <f t="shared" si="1"/>
        <v>61.63725132164133</v>
      </c>
    </row>
    <row r="118" spans="2:7" x14ac:dyDescent="0.35">
      <c r="B118" s="1">
        <v>31</v>
      </c>
      <c r="C118" s="3">
        <f>[1]!crv_solve(D$36:D$56,C$62:C$82,$B118)</f>
        <v>19.777071311475975</v>
      </c>
      <c r="D118" s="3">
        <f>[1]!crv_solve(E$36:E$56,D$62:D$82,$B118)</f>
        <v>12.927244380375521</v>
      </c>
      <c r="E118" s="3">
        <f>[1]!crv_solve(F$36:F$56,E$62:E$82,$B118)</f>
        <v>17.59225807109479</v>
      </c>
      <c r="F118" s="3">
        <f>[1]!crv_solve(G$36:G$56,F$62:F$82,$B118)</f>
        <v>9.9347035447584933</v>
      </c>
      <c r="G118" s="3">
        <f t="shared" si="1"/>
        <v>60.231277307704779</v>
      </c>
    </row>
    <row r="119" spans="2:7" x14ac:dyDescent="0.35">
      <c r="B119" s="1">
        <v>32</v>
      </c>
      <c r="C119" s="3">
        <f>[1]!crv_solve(D$36:D$56,C$62:C$82,$B119)</f>
        <v>19.365987840875466</v>
      </c>
      <c r="D119" s="3">
        <f>[1]!crv_solve(E$36:E$56,D$62:D$82,$B119)</f>
        <v>12.577191826760542</v>
      </c>
      <c r="E119" s="3">
        <f>[1]!crv_solve(F$36:F$56,E$62:E$82,$B119)</f>
        <v>17.255509248473722</v>
      </c>
      <c r="F119" s="3">
        <f>[1]!crv_solve(G$36:G$56,F$62:F$82,$B119)</f>
        <v>9.6306872986000176</v>
      </c>
      <c r="G119" s="3">
        <f t="shared" si="1"/>
        <v>58.829376214709747</v>
      </c>
    </row>
    <row r="120" spans="2:7" x14ac:dyDescent="0.35">
      <c r="B120" s="1">
        <v>33</v>
      </c>
      <c r="C120" s="3">
        <f>[1]!crv_solve(D$36:D$56,C$62:C$82,$B120)</f>
        <v>18.954904370274956</v>
      </c>
      <c r="D120" s="3">
        <f>[1]!crv_solve(E$36:E$56,D$62:D$82,$B120)</f>
        <v>12.242327890473748</v>
      </c>
      <c r="E120" s="3">
        <f>[1]!crv_solve(F$36:F$56,E$62:E$82,$B120)</f>
        <v>16.91876042585265</v>
      </c>
      <c r="F120" s="3">
        <f>[1]!crv_solve(G$36:G$56,F$62:F$82,$B120)</f>
        <v>9.3266710524415402</v>
      </c>
      <c r="G120" s="3">
        <f t="shared" ref="G120:G150" si="2">SUM(C120:F120)</f>
        <v>57.442663739042899</v>
      </c>
    </row>
    <row r="121" spans="2:7" x14ac:dyDescent="0.35">
      <c r="B121" s="1">
        <v>34</v>
      </c>
      <c r="C121" s="3">
        <f>[1]!crv_solve(D$36:D$56,C$62:C$82,$B121)</f>
        <v>18.543820899674447</v>
      </c>
      <c r="D121" s="3">
        <f>[1]!crv_solve(E$36:E$56,D$62:D$82,$B121)</f>
        <v>11.907463954186952</v>
      </c>
      <c r="E121" s="3">
        <f>[1]!crv_solve(F$36:F$56,E$62:E$82,$B121)</f>
        <v>16.582011603231578</v>
      </c>
      <c r="F121" s="3">
        <f>[1]!crv_solve(G$36:G$56,F$62:F$82,$B121)</f>
        <v>9.0226548062830627</v>
      </c>
      <c r="G121" s="3">
        <f t="shared" si="2"/>
        <v>56.055951263376038</v>
      </c>
    </row>
    <row r="122" spans="2:7" x14ac:dyDescent="0.35">
      <c r="B122" s="1">
        <v>35</v>
      </c>
      <c r="C122" s="3">
        <f>[1]!crv_solve(D$36:D$56,C$62:C$82,$B122)</f>
        <v>18.134643998278989</v>
      </c>
      <c r="D122" s="3">
        <f>[1]!crv_solve(E$36:E$56,D$62:D$82,$B122)</f>
        <v>11.572600017900157</v>
      </c>
      <c r="E122" s="3">
        <f>[1]!crv_solve(F$36:F$56,E$62:E$82,$B122)</f>
        <v>16.245262780610506</v>
      </c>
      <c r="F122" s="3">
        <f>[1]!crv_solve(G$36:G$56,F$62:F$82,$B122)</f>
        <v>8.718638560124587</v>
      </c>
      <c r="G122" s="3">
        <f t="shared" si="2"/>
        <v>54.671145356914238</v>
      </c>
    </row>
    <row r="123" spans="2:7" x14ac:dyDescent="0.35">
      <c r="B123" s="1">
        <v>36</v>
      </c>
      <c r="C123" s="3">
        <f>[1]!crv_solve(D$36:D$56,C$62:C$82,$B123)</f>
        <v>17.734558714743109</v>
      </c>
      <c r="D123" s="3">
        <f>[1]!crv_solve(E$36:E$56,D$62:D$82,$B123)</f>
        <v>11.237736081613361</v>
      </c>
      <c r="E123" s="3">
        <f>[1]!crv_solve(F$36:F$56,E$62:E$82,$B123)</f>
        <v>15.908513957989436</v>
      </c>
      <c r="F123" s="3">
        <f>[1]!crv_solve(G$36:G$56,F$62:F$82,$B123)</f>
        <v>8.4146223139661096</v>
      </c>
      <c r="G123" s="3">
        <f t="shared" si="2"/>
        <v>53.295431068312013</v>
      </c>
    </row>
    <row r="124" spans="2:7" x14ac:dyDescent="0.35">
      <c r="B124" s="1">
        <v>37</v>
      </c>
      <c r="C124" s="3">
        <f>[1]!crv_solve(D$36:D$56,C$62:C$82,$B124)</f>
        <v>17.334473431207226</v>
      </c>
      <c r="D124" s="3">
        <f>[1]!crv_solve(E$36:E$56,D$62:D$82,$B124)</f>
        <v>10.902872145326565</v>
      </c>
      <c r="E124" s="3">
        <f>[1]!crv_solve(F$36:F$56,E$62:E$82,$B124)</f>
        <v>15.571765135368366</v>
      </c>
      <c r="F124" s="3">
        <f>[1]!crv_solve(G$36:G$56,F$62:F$82,$B124)</f>
        <v>8.1106060678076322</v>
      </c>
      <c r="G124" s="3">
        <f t="shared" si="2"/>
        <v>51.919716779709788</v>
      </c>
    </row>
    <row r="125" spans="2:7" x14ac:dyDescent="0.35">
      <c r="B125" s="1">
        <v>38</v>
      </c>
      <c r="C125" s="3">
        <f>[1]!crv_solve(D$36:D$56,C$62:C$82,$B125)</f>
        <v>16.934388147671346</v>
      </c>
      <c r="D125" s="3">
        <f>[1]!crv_solve(E$36:E$56,D$62:D$82,$B125)</f>
        <v>10.568008209039771</v>
      </c>
      <c r="E125" s="3">
        <f>[1]!crv_solve(F$36:F$56,E$62:E$82,$B125)</f>
        <v>15.236443848713375</v>
      </c>
      <c r="F125" s="3">
        <f>[1]!crv_solve(G$36:G$56,F$62:F$82,$B125)</f>
        <v>7.8065898216491565</v>
      </c>
      <c r="G125" s="3">
        <f t="shared" si="2"/>
        <v>50.54543002707365</v>
      </c>
    </row>
    <row r="126" spans="2:7" x14ac:dyDescent="0.35">
      <c r="B126" s="1">
        <v>39</v>
      </c>
      <c r="C126" s="3">
        <f>[1]!crv_solve(D$36:D$56,C$62:C$82,$B126)</f>
        <v>16.534302864135462</v>
      </c>
      <c r="D126" s="3">
        <f>[1]!crv_solve(E$36:E$56,D$62:D$82,$B126)</f>
        <v>10.233144272752975</v>
      </c>
      <c r="E126" s="3">
        <f>[1]!crv_solve(F$36:F$56,E$62:E$82,$B126)</f>
        <v>14.902573876498202</v>
      </c>
      <c r="F126" s="3">
        <f>[1]!crv_solve(G$36:G$56,F$62:F$82,$B126)</f>
        <v>7.502573575490679</v>
      </c>
      <c r="G126" s="3">
        <f t="shared" si="2"/>
        <v>49.172594588877317</v>
      </c>
    </row>
    <row r="127" spans="2:7" x14ac:dyDescent="0.35">
      <c r="B127" s="1">
        <v>40</v>
      </c>
      <c r="C127" s="3">
        <f>[1]!crv_solve(D$36:D$56,C$62:C$82,$B127)</f>
        <v>16.134217580599582</v>
      </c>
      <c r="D127" s="3">
        <f>[1]!crv_solve(E$36:E$56,D$62:D$82,$B127)</f>
        <v>9.8982803364661791</v>
      </c>
      <c r="E127" s="3">
        <f>[1]!crv_solve(F$36:F$56,E$62:E$82,$B127)</f>
        <v>14.56870390428303</v>
      </c>
      <c r="F127" s="3">
        <f>[1]!crv_solve(G$36:G$56,F$62:F$82,$B127)</f>
        <v>7.2012955705111832</v>
      </c>
      <c r="G127" s="3">
        <f t="shared" si="2"/>
        <v>47.80249739185998</v>
      </c>
    </row>
    <row r="128" spans="2:7" x14ac:dyDescent="0.35">
      <c r="B128" s="1">
        <v>41</v>
      </c>
      <c r="C128" s="3">
        <f>[1]!crv_solve(D$36:D$56,C$62:C$82,$B128)</f>
        <v>15.734132297063702</v>
      </c>
      <c r="D128" s="3">
        <f>[1]!crv_solve(E$36:E$56,D$62:D$82,$B128)</f>
        <v>9.5634164001793849</v>
      </c>
      <c r="E128" s="3">
        <f>[1]!crv_solve(F$36:F$56,E$62:E$82,$B128)</f>
        <v>14.234833932067858</v>
      </c>
      <c r="F128" s="3">
        <f>[1]!crv_solve(G$36:G$56,F$62:F$82,$B128)</f>
        <v>6.901235127620498</v>
      </c>
      <c r="G128" s="3">
        <f t="shared" si="2"/>
        <v>46.43361775693144</v>
      </c>
    </row>
    <row r="129" spans="2:7" x14ac:dyDescent="0.35">
      <c r="B129" s="1">
        <v>42</v>
      </c>
      <c r="C129" s="3">
        <f>[1]!crv_solve(D$36:D$56,C$62:C$82,$B129)</f>
        <v>15.334047013527821</v>
      </c>
      <c r="D129" s="3">
        <f>[1]!crv_solve(E$36:E$56,D$62:D$82,$B129)</f>
        <v>9.2285524638925889</v>
      </c>
      <c r="E129" s="3">
        <f>[1]!crv_solve(F$36:F$56,E$62:E$82,$B129)</f>
        <v>13.900963959852687</v>
      </c>
      <c r="F129" s="3">
        <f>[1]!crv_solve(G$36:G$56,F$62:F$82,$B129)</f>
        <v>6.6011746847298127</v>
      </c>
      <c r="G129" s="3">
        <f t="shared" si="2"/>
        <v>45.064738122002908</v>
      </c>
    </row>
    <row r="130" spans="2:7" x14ac:dyDescent="0.35">
      <c r="B130" s="1">
        <v>43</v>
      </c>
      <c r="C130" s="3">
        <f>[1]!crv_solve(D$36:D$56,C$62:C$82,$B130)</f>
        <v>14.933961729991939</v>
      </c>
      <c r="D130" s="3">
        <f>[1]!crv_solve(E$36:E$56,D$62:D$82,$B130)</f>
        <v>8.8936885276057929</v>
      </c>
      <c r="E130" s="3">
        <f>[1]!crv_solve(F$36:F$56,E$62:E$82,$B130)</f>
        <v>13.567093987637515</v>
      </c>
      <c r="F130" s="3">
        <f>[1]!crv_solve(G$36:G$56,F$62:F$82,$B130)</f>
        <v>6.3011142418391266</v>
      </c>
      <c r="G130" s="3">
        <f t="shared" si="2"/>
        <v>43.695858487074375</v>
      </c>
    </row>
    <row r="131" spans="2:7" x14ac:dyDescent="0.35">
      <c r="B131" s="1">
        <v>44</v>
      </c>
      <c r="C131" s="3">
        <f>[1]!crv_solve(D$36:D$56,C$62:C$82,$B131)</f>
        <v>14.533876446456059</v>
      </c>
      <c r="D131" s="3">
        <f>[1]!crv_solve(E$36:E$56,D$62:D$82,$B131)</f>
        <v>8.5639279573784783</v>
      </c>
      <c r="E131" s="3">
        <f>[1]!crv_solve(F$36:F$56,E$62:E$82,$B131)</f>
        <v>13.233224015422344</v>
      </c>
      <c r="F131" s="3">
        <f>[1]!crv_solve(G$36:G$56,F$62:F$82,$B131)</f>
        <v>6.0010537989484405</v>
      </c>
      <c r="G131" s="3">
        <f t="shared" si="2"/>
        <v>42.332082218205322</v>
      </c>
    </row>
    <row r="132" spans="2:7" x14ac:dyDescent="0.35">
      <c r="B132" s="1">
        <v>45</v>
      </c>
      <c r="C132" s="3">
        <f>[1]!crv_solve(D$36:D$56,C$62:C$82,$B132)</f>
        <v>14.133791162920177</v>
      </c>
      <c r="D132" s="3">
        <f>[1]!crv_solve(E$36:E$56,D$62:D$82,$B132)</f>
        <v>8.234486186653843</v>
      </c>
      <c r="E132" s="3">
        <f>[1]!crv_solve(F$36:F$56,E$62:E$82,$B132)</f>
        <v>12.899354043207172</v>
      </c>
      <c r="F132" s="3">
        <f>[1]!crv_solve(G$36:G$56,F$62:F$82,$B132)</f>
        <v>5.7009933560577544</v>
      </c>
      <c r="G132" s="3">
        <f t="shared" si="2"/>
        <v>40.968624748838948</v>
      </c>
    </row>
    <row r="133" spans="2:7" x14ac:dyDescent="0.35">
      <c r="B133" s="1">
        <v>46</v>
      </c>
      <c r="C133" s="3">
        <f>[1]!crv_solve(D$36:D$56,C$62:C$82,$B133)</f>
        <v>13.733705879384296</v>
      </c>
      <c r="D133" s="3">
        <f>[1]!crv_solve(E$36:E$56,D$62:D$82,$B133)</f>
        <v>7.9050444159292077</v>
      </c>
      <c r="E133" s="3">
        <f>[1]!crv_solve(F$36:F$56,E$62:E$82,$B133)</f>
        <v>12.565484070991999</v>
      </c>
      <c r="F133" s="3">
        <f>[1]!crv_solve(G$36:G$56,F$62:F$82,$B133)</f>
        <v>5.4009329131670683</v>
      </c>
      <c r="G133" s="3">
        <f t="shared" si="2"/>
        <v>39.605167279472568</v>
      </c>
    </row>
    <row r="134" spans="2:7" x14ac:dyDescent="0.35">
      <c r="B134" s="1">
        <v>47</v>
      </c>
      <c r="C134" s="3">
        <f>[1]!crv_solve(D$36:D$56,C$62:C$82,$B134)</f>
        <v>13.336620314882623</v>
      </c>
      <c r="D134" s="3">
        <f>[1]!crv_solve(E$36:E$56,D$62:D$82,$B134)</f>
        <v>7.5756026452045724</v>
      </c>
      <c r="E134" s="3">
        <f>[1]!crv_solve(F$36:F$56,E$62:E$82,$B134)</f>
        <v>12.231614098776829</v>
      </c>
      <c r="F134" s="3">
        <f>[1]!crv_solve(G$36:G$56,F$62:F$82,$B134)</f>
        <v>5.100872470276383</v>
      </c>
      <c r="G134" s="3">
        <f t="shared" si="2"/>
        <v>38.244709529140408</v>
      </c>
    </row>
    <row r="135" spans="2:7" x14ac:dyDescent="0.35">
      <c r="B135" s="1">
        <v>48</v>
      </c>
      <c r="C135" s="3">
        <f>[1]!crv_solve(D$36:D$56,C$62:C$82,$B135)</f>
        <v>12.940292767208007</v>
      </c>
      <c r="D135" s="3">
        <f>[1]!crv_solve(E$36:E$56,D$62:D$82,$B135)</f>
        <v>7.2461608744799371</v>
      </c>
      <c r="E135" s="3">
        <f>[1]!crv_solve(F$36:F$56,E$62:E$82,$B135)</f>
        <v>11.897744126561657</v>
      </c>
      <c r="F135" s="3">
        <f>[1]!crv_solve(G$36:G$56,F$62:F$82,$B135)</f>
        <v>4.8008120273856969</v>
      </c>
      <c r="G135" s="3">
        <f t="shared" si="2"/>
        <v>36.885009795635298</v>
      </c>
    </row>
    <row r="136" spans="2:7" x14ac:dyDescent="0.35">
      <c r="B136" s="1">
        <v>49</v>
      </c>
      <c r="C136" s="3">
        <f>[1]!crv_solve(D$36:D$56,C$62:C$82,$B136)</f>
        <v>12.543965219533389</v>
      </c>
      <c r="D136" s="3">
        <f>[1]!crv_solve(E$36:E$56,D$62:D$82,$B136)</f>
        <v>6.9167191037553017</v>
      </c>
      <c r="E136" s="3">
        <f>[1]!crv_solve(F$36:F$56,E$62:E$82,$B136)</f>
        <v>11.564034039323428</v>
      </c>
      <c r="F136" s="3">
        <f>[1]!crv_solve(G$36:G$56,F$62:F$82,$B136)</f>
        <v>4.5007515844950117</v>
      </c>
      <c r="G136" s="3">
        <f t="shared" si="2"/>
        <v>35.525469947107126</v>
      </c>
    </row>
    <row r="137" spans="2:7" x14ac:dyDescent="0.35">
      <c r="B137" s="1">
        <v>50</v>
      </c>
      <c r="C137" s="3">
        <f>[1]!crv_solve(D$36:D$56,C$62:C$82,$B137)</f>
        <v>12.147637671858771</v>
      </c>
      <c r="D137" s="3">
        <f>[1]!crv_solve(E$36:E$56,D$62:D$82,$B137)</f>
        <v>6.5872773330306664</v>
      </c>
      <c r="E137" s="3">
        <f>[1]!crv_solve(F$36:F$56,E$62:E$82,$B137)</f>
        <v>11.230996505141091</v>
      </c>
      <c r="F137" s="3">
        <f>[1]!crv_solve(G$36:G$56,F$62:F$82,$B137)</f>
        <v>4.2006911416043256</v>
      </c>
      <c r="G137" s="3">
        <f t="shared" si="2"/>
        <v>34.166602651634854</v>
      </c>
    </row>
    <row r="138" spans="2:7" x14ac:dyDescent="0.35">
      <c r="B138" s="1">
        <v>51</v>
      </c>
      <c r="C138" s="3">
        <f>[1]!crv_solve(D$36:D$56,C$62:C$82,$B138)</f>
        <v>11.751310124184153</v>
      </c>
      <c r="D138" s="3">
        <f>[1]!crv_solve(E$36:E$56,D$62:D$82,$B138)</f>
        <v>6.2578355623060311</v>
      </c>
      <c r="E138" s="3">
        <f>[1]!crv_solve(F$36:F$56,E$62:E$82,$B138)</f>
        <v>10.897958970958754</v>
      </c>
      <c r="F138" s="3">
        <f>[1]!crv_solve(G$36:G$56,F$62:F$82,$B138)</f>
        <v>3.9006306987136394</v>
      </c>
      <c r="G138" s="3">
        <f t="shared" si="2"/>
        <v>32.807735356162581</v>
      </c>
    </row>
    <row r="139" spans="2:7" x14ac:dyDescent="0.35">
      <c r="B139" s="1">
        <v>52</v>
      </c>
      <c r="C139" s="3">
        <f>[1]!crv_solve(D$36:D$56,C$62:C$82,$B139)</f>
        <v>11.354982576509535</v>
      </c>
      <c r="D139" s="3">
        <f>[1]!crv_solve(E$36:E$56,D$62:D$82,$B139)</f>
        <v>5.9283937915813958</v>
      </c>
      <c r="E139" s="3">
        <f>[1]!crv_solve(F$36:F$56,E$62:E$82,$B139)</f>
        <v>10.564921436776418</v>
      </c>
      <c r="F139" s="3">
        <f>[1]!crv_solve(G$36:G$56,F$62:F$82,$B139)</f>
        <v>3.6005702558229538</v>
      </c>
      <c r="G139" s="3">
        <f t="shared" si="2"/>
        <v>31.448868060690305</v>
      </c>
    </row>
    <row r="140" spans="2:7" x14ac:dyDescent="0.35">
      <c r="B140" s="1">
        <v>53</v>
      </c>
      <c r="C140" s="3">
        <f>[1]!crv_solve(D$36:D$56,C$62:C$82,$B140)</f>
        <v>10.958655028834919</v>
      </c>
      <c r="D140" s="3">
        <f>[1]!crv_solve(E$36:E$56,D$62:D$82,$B140)</f>
        <v>5.5989520208567605</v>
      </c>
      <c r="E140" s="3">
        <f>[1]!crv_solve(F$36:F$56,E$62:E$82,$B140)</f>
        <v>10.231883902594081</v>
      </c>
      <c r="F140" s="3">
        <f>[1]!crv_solve(G$36:G$56,F$62:F$82,$B140)</f>
        <v>3.3005098129322681</v>
      </c>
      <c r="G140" s="3">
        <f t="shared" si="2"/>
        <v>30.090000765218029</v>
      </c>
    </row>
    <row r="141" spans="2:7" x14ac:dyDescent="0.35">
      <c r="B141" s="1">
        <v>54</v>
      </c>
      <c r="C141" s="3">
        <f>[1]!crv_solve(D$36:D$56,C$62:C$82,$B141)</f>
        <v>10.562327481160301</v>
      </c>
      <c r="D141" s="3">
        <f>[1]!crv_solve(E$36:E$56,D$62:D$82,$B141)</f>
        <v>5.269510250132126</v>
      </c>
      <c r="E141" s="3">
        <f>[1]!crv_solve(F$36:F$56,E$62:E$82,$B141)</f>
        <v>9.8988463684117445</v>
      </c>
      <c r="F141" s="3">
        <f>[1]!crv_solve(G$36:G$56,F$62:F$82,$B141)</f>
        <v>3.000449370041582</v>
      </c>
      <c r="G141" s="3">
        <f t="shared" si="2"/>
        <v>28.731133469745753</v>
      </c>
    </row>
    <row r="142" spans="2:7" x14ac:dyDescent="0.35">
      <c r="B142" s="1">
        <v>55</v>
      </c>
      <c r="C142" s="3">
        <f>[1]!crv_solve(D$36:D$56,C$62:C$82,$B142)</f>
        <v>10.165999933485683</v>
      </c>
      <c r="D142" s="3">
        <f>[1]!crv_solve(E$36:E$56,D$62:D$82,$B142)</f>
        <v>4.9400684794074907</v>
      </c>
      <c r="E142" s="3">
        <f>[1]!crv_solve(F$36:F$56,E$62:E$82,$B142)</f>
        <v>9.5658088342294079</v>
      </c>
      <c r="F142" s="3">
        <f>[1]!crv_solve(G$36:G$56,F$62:F$82,$B142)</f>
        <v>2.7003889271508963</v>
      </c>
      <c r="G142" s="3">
        <f t="shared" si="2"/>
        <v>27.372266174273477</v>
      </c>
    </row>
    <row r="143" spans="2:7" x14ac:dyDescent="0.35">
      <c r="B143" s="1">
        <v>56</v>
      </c>
      <c r="C143" s="3">
        <f>[1]!crv_solve(D$36:D$56,C$62:C$82,$B143)</f>
        <v>9.7696723858110648</v>
      </c>
      <c r="D143" s="3">
        <f>[1]!crv_solve(E$36:E$56,D$62:D$82,$B143)</f>
        <v>4.6106267086828554</v>
      </c>
      <c r="E143" s="3">
        <f>[1]!crv_solve(F$36:F$56,E$62:E$82,$B143)</f>
        <v>9.2327713000470713</v>
      </c>
      <c r="F143" s="3">
        <f>[1]!crv_solve(G$36:G$56,F$62:F$82,$B143)</f>
        <v>2.4003284842602106</v>
      </c>
      <c r="G143" s="3">
        <f t="shared" si="2"/>
        <v>26.013398878801201</v>
      </c>
    </row>
    <row r="144" spans="2:7" x14ac:dyDescent="0.35">
      <c r="B144" s="1">
        <v>57</v>
      </c>
      <c r="C144" s="3">
        <f>[1]!crv_solve(D$36:D$56,C$62:C$82,$B144)</f>
        <v>9.3733448381364468</v>
      </c>
      <c r="D144" s="3">
        <f>[1]!crv_solve(E$36:E$56,D$62:D$82,$B144)</f>
        <v>4.2811849379582201</v>
      </c>
      <c r="E144" s="3">
        <f>[1]!crv_solve(F$36:F$56,E$62:E$82,$B144)</f>
        <v>8.8997337658647346</v>
      </c>
      <c r="F144" s="3">
        <f>[1]!crv_solve(G$36:G$56,F$62:F$82,$B144)</f>
        <v>2.1002680413695245</v>
      </c>
      <c r="G144" s="3">
        <f t="shared" si="2"/>
        <v>24.654531583328925</v>
      </c>
    </row>
    <row r="145" spans="1:10" x14ac:dyDescent="0.35">
      <c r="B145" s="1">
        <v>58</v>
      </c>
      <c r="C145" s="3">
        <f>[1]!crv_solve(D$36:D$56,C$62:C$82,$B145)</f>
        <v>8.9771800806777922</v>
      </c>
      <c r="D145" s="3">
        <f>[1]!crv_solve(E$36:E$56,D$62:D$82,$B145)</f>
        <v>3.9517431672335848</v>
      </c>
      <c r="E145" s="3">
        <f>[1]!crv_solve(F$36:F$56,E$62:E$82,$B145)</f>
        <v>8.566696231682398</v>
      </c>
      <c r="F145" s="3">
        <f>[1]!crv_solve(G$36:G$56,F$62:F$82,$B145)</f>
        <v>1.8002075984788388</v>
      </c>
      <c r="G145" s="3">
        <f t="shared" si="2"/>
        <v>23.295827078072616</v>
      </c>
    </row>
    <row r="146" spans="1:10" x14ac:dyDescent="0.35">
      <c r="B146" s="1">
        <v>59</v>
      </c>
      <c r="C146" s="3">
        <f>[1]!crv_solve(D$36:D$56,C$62:C$82,$B146)</f>
        <v>8.5813687503848932</v>
      </c>
      <c r="D146" s="3">
        <f>[1]!crv_solve(E$36:E$56,D$62:D$82,$B146)</f>
        <v>3.6223013965089494</v>
      </c>
      <c r="E146" s="3">
        <f>[1]!crv_solve(F$36:F$56,E$62:E$82,$B146)</f>
        <v>8.2336586975000614</v>
      </c>
      <c r="F146" s="3">
        <f>[1]!crv_solve(G$36:G$56,F$62:F$82,$B146)</f>
        <v>1.5001471555881527</v>
      </c>
      <c r="G146" s="3">
        <f t="shared" si="2"/>
        <v>21.937475999982055</v>
      </c>
    </row>
    <row r="147" spans="1:10" x14ac:dyDescent="0.35">
      <c r="B147" s="1">
        <v>60</v>
      </c>
      <c r="C147" s="3">
        <f>[1]!crv_solve(D$36:D$56,C$62:C$82,$B147)</f>
        <v>8.1855574200919961</v>
      </c>
      <c r="D147" s="3">
        <f>[1]!crv_solve(E$36:E$56,D$62:D$82,$B147)</f>
        <v>3.2928596257843141</v>
      </c>
      <c r="E147" s="3">
        <f>[1]!crv_solve(F$36:F$56,E$62:E$82,$B147)</f>
        <v>7.9006211633177257</v>
      </c>
      <c r="F147" s="3">
        <f>[1]!crv_solve(G$36:G$56,F$62:F$82,$B147)</f>
        <v>1.200086712697467</v>
      </c>
      <c r="G147" s="3">
        <f t="shared" si="2"/>
        <v>20.579124921891502</v>
      </c>
    </row>
    <row r="148" spans="1:10" x14ac:dyDescent="0.35">
      <c r="B148" s="1">
        <v>61</v>
      </c>
      <c r="C148" s="3">
        <f>[1]!crv_solve(D$36:D$56,C$62:C$82,$B148)</f>
        <v>7.789746089799098</v>
      </c>
      <c r="D148" s="3">
        <f>[1]!crv_solve(E$36:E$56,D$62:D$82,$B148)</f>
        <v>2.9634178550596788</v>
      </c>
      <c r="E148" s="3">
        <f>[1]!crv_solve(F$36:F$56,E$62:E$82,$B148)</f>
        <v>7.5673975114842946</v>
      </c>
      <c r="F148" s="3">
        <f>[1]!crv_solve(G$36:G$56,F$62:F$82,$B148)</f>
        <v>0.90002626980678135</v>
      </c>
      <c r="G148" s="3">
        <f t="shared" si="2"/>
        <v>19.220587726149851</v>
      </c>
    </row>
    <row r="149" spans="1:10" x14ac:dyDescent="0.35">
      <c r="B149" s="1">
        <v>62</v>
      </c>
      <c r="C149" s="3">
        <f>[1]!crv_solve(D$36:D$56,C$62:C$82,$B149)</f>
        <v>7.3939347595061999</v>
      </c>
      <c r="D149" s="3">
        <f>[1]!crv_solve(E$36:E$56,D$62:D$82,$B149)</f>
        <v>2.6339760843350435</v>
      </c>
      <c r="E149" s="3">
        <f>[1]!crv_solve(F$36:F$56,E$62:E$82,$B149)</f>
        <v>7.2341435645201031</v>
      </c>
      <c r="F149" s="3">
        <f>[1]!crv_solve(G$36:G$56,F$62:F$82,$B149)</f>
        <v>0.59996582691609524</v>
      </c>
      <c r="G149" s="3">
        <f t="shared" si="2"/>
        <v>17.862020235277441</v>
      </c>
    </row>
    <row r="150" spans="1:10" x14ac:dyDescent="0.35">
      <c r="B150" s="1">
        <v>63</v>
      </c>
      <c r="C150" s="3">
        <f>[1]!crv_solve(D$36:D$56,C$62:C$82,$B150)</f>
        <v>6.998123429213301</v>
      </c>
      <c r="D150" s="3">
        <f>[1]!crv_solve(E$36:E$56,D$62:D$82,$B150)</f>
        <v>2.3045343136104082</v>
      </c>
      <c r="E150" s="3">
        <f>[1]!crv_solve(F$36:F$56,E$62:E$82,$B150)</f>
        <v>6.9008896175559098</v>
      </c>
      <c r="F150" s="3">
        <f>[1]!crv_solve(G$36:G$56,F$62:F$82,$B150)</f>
        <v>0.29990538402540956</v>
      </c>
      <c r="G150" s="3">
        <f t="shared" si="2"/>
        <v>16.503452744405024</v>
      </c>
    </row>
    <row r="153" spans="1:10" x14ac:dyDescent="0.35">
      <c r="A153" t="s">
        <v>79</v>
      </c>
    </row>
    <row r="154" spans="1:10" ht="31" x14ac:dyDescent="0.35">
      <c r="B154" s="5" t="s">
        <v>80</v>
      </c>
      <c r="C154" s="1" t="s">
        <v>81</v>
      </c>
      <c r="D154" s="5" t="s">
        <v>5</v>
      </c>
      <c r="F154" s="1" t="s">
        <v>29</v>
      </c>
      <c r="I154" s="11" t="s">
        <v>104</v>
      </c>
      <c r="J154" s="11"/>
    </row>
    <row r="155" spans="1:10" x14ac:dyDescent="0.35">
      <c r="B155" s="1">
        <f>B88</f>
        <v>1</v>
      </c>
      <c r="C155" s="3">
        <f>G88</f>
        <v>148.02305651466489</v>
      </c>
      <c r="D155" s="3">
        <f>[1]!MF_p_pipeline_atma(B155,$R$4-1.4,$R$4-1.4,$T$26:$U$27,$F$30,C155,F155,,$F$12,11)</f>
        <v>0.8889602671580904</v>
      </c>
      <c r="F155" s="3">
        <f t="shared" ref="F155:F186" si="3">(C88*$B$17+D88*$C$17+E88*$D$17+F88*$E$17)/G88</f>
        <v>59.040563703513413</v>
      </c>
      <c r="I155" s="7" t="s">
        <v>105</v>
      </c>
      <c r="J155" s="7" cm="1">
        <f t="array" ref="J155">[1]!crv_solve(C155:C217,D155:D217,Давление_УПН)</f>
        <v>97.647095471815007</v>
      </c>
    </row>
    <row r="156" spans="1:10" x14ac:dyDescent="0.35">
      <c r="B156" s="1">
        <f t="shared" ref="B156:B217" si="4">B89</f>
        <v>2</v>
      </c>
      <c r="C156" s="3">
        <f t="shared" ref="C156:C217" si="5">G89</f>
        <v>132.26477738086714</v>
      </c>
      <c r="D156" s="3">
        <f>[1]!MF_p_pipeline_atma(B156,$R$4-1.4,$R$4-1.4,$T$26:$U$27,$F$30,C156,F156,,$F$12,11)</f>
        <v>0.8987007413992516</v>
      </c>
      <c r="F156" s="3">
        <f t="shared" si="3"/>
        <v>59.045549625368899</v>
      </c>
    </row>
    <row r="157" spans="1:10" x14ac:dyDescent="0.35">
      <c r="B157" s="1">
        <f t="shared" si="4"/>
        <v>3</v>
      </c>
      <c r="C157" s="3">
        <f t="shared" si="5"/>
        <v>123.81372652446947</v>
      </c>
      <c r="D157" s="3">
        <f>[1]!MF_p_pipeline_atma(B157,$R$4-1.4,$R$4-1.4,$T$26:$U$27,$F$30,C157,F157,,$F$12,11)</f>
        <v>2.0205695551447933</v>
      </c>
      <c r="F157" s="3">
        <f t="shared" si="3"/>
        <v>59.177495461455479</v>
      </c>
    </row>
    <row r="158" spans="1:10" x14ac:dyDescent="0.35">
      <c r="B158" s="1">
        <f t="shared" si="4"/>
        <v>4</v>
      </c>
      <c r="C158" s="3">
        <f t="shared" si="5"/>
        <v>117.803166596636</v>
      </c>
      <c r="D158" s="3">
        <f>[1]!MF_p_pipeline_atma(B158,$R$4-1.4,$R$4-1.4,$T$26:$U$27,$F$30,C158,F158,,$F$12,11)</f>
        <v>3.3852635848302799</v>
      </c>
      <c r="F158" s="3">
        <f t="shared" si="3"/>
        <v>59.274008946285875</v>
      </c>
    </row>
    <row r="159" spans="1:10" x14ac:dyDescent="0.35">
      <c r="B159" s="1">
        <f t="shared" si="4"/>
        <v>5</v>
      </c>
      <c r="C159" s="3">
        <f t="shared" si="5"/>
        <v>113.03001961756878</v>
      </c>
      <c r="D159" s="3">
        <f>[1]!MF_p_pipeline_atma(B159,$R$4-1.4,$R$4-1.4,$T$26:$U$27,$F$30,C159,F159,,$F$12,11)</f>
        <v>4.5513117014602464</v>
      </c>
      <c r="F159" s="3">
        <f t="shared" si="3"/>
        <v>59.320633561005224</v>
      </c>
    </row>
    <row r="160" spans="1:10" x14ac:dyDescent="0.35">
      <c r="B160" s="1">
        <f t="shared" si="4"/>
        <v>6</v>
      </c>
      <c r="C160" s="3">
        <f t="shared" si="5"/>
        <v>108.89973018946883</v>
      </c>
      <c r="D160" s="3">
        <f>[1]!MF_p_pipeline_atma(B160,$R$4-1.4,$R$4-1.4,$T$26:$U$27,$F$30,C160,F160,,$F$12,11)</f>
        <v>5.6524256272672773</v>
      </c>
      <c r="F160" s="3">
        <f t="shared" si="3"/>
        <v>59.356768523697333</v>
      </c>
    </row>
    <row r="161" spans="2:6" x14ac:dyDescent="0.35">
      <c r="B161" s="1">
        <f t="shared" si="4"/>
        <v>7</v>
      </c>
      <c r="C161" s="3">
        <f t="shared" si="5"/>
        <v>105.31346272459655</v>
      </c>
      <c r="D161" s="3">
        <f>[1]!MF_p_pipeline_atma(B161,$R$4-1.4,$R$4-1.4,$T$26:$U$27,$F$30,C161,F161,,$F$12,11)</f>
        <v>6.7561699120401988</v>
      </c>
      <c r="F161" s="3">
        <f t="shared" si="3"/>
        <v>59.388428792240838</v>
      </c>
    </row>
    <row r="162" spans="2:6" x14ac:dyDescent="0.35">
      <c r="B162" s="1">
        <f t="shared" si="4"/>
        <v>8</v>
      </c>
      <c r="C162" s="3">
        <f t="shared" si="5"/>
        <v>102.04878581478305</v>
      </c>
      <c r="D162" s="3">
        <f>[1]!MF_p_pipeline_atma(B162,$R$4-1.4,$R$4-1.4,$T$26:$U$27,$F$30,C162,F162,,$F$12,11)</f>
        <v>7.821874120237637</v>
      </c>
      <c r="F162" s="3">
        <f t="shared" si="3"/>
        <v>59.421484065529427</v>
      </c>
    </row>
    <row r="163" spans="2:6" x14ac:dyDescent="0.35">
      <c r="B163" s="1">
        <f t="shared" si="4"/>
        <v>9</v>
      </c>
      <c r="C163" s="3">
        <f t="shared" si="5"/>
        <v>99.245109582970514</v>
      </c>
      <c r="D163" s="3">
        <f>[1]!MF_p_pipeline_atma(B163,$R$4-1.4,$R$4-1.4,$T$26:$U$27,$F$30,C163,F163,,$F$12,11)</f>
        <v>8.8574041827691943</v>
      </c>
      <c r="F163" s="3">
        <f t="shared" si="3"/>
        <v>59.449669321369868</v>
      </c>
    </row>
    <row r="164" spans="2:6" x14ac:dyDescent="0.35">
      <c r="B164" s="1">
        <f t="shared" si="4"/>
        <v>10</v>
      </c>
      <c r="C164" s="3">
        <f t="shared" si="5"/>
        <v>96.712957566373163</v>
      </c>
      <c r="D164" s="3">
        <f>[1]!MF_p_pipeline_atma(B164,$R$4-1.4,$R$4-1.4,$T$26:$U$27,$F$30,C164,F164,,$F$12,11)</f>
        <v>9.8756369274609401</v>
      </c>
      <c r="F164" s="3">
        <f t="shared" si="3"/>
        <v>59.466917042956709</v>
      </c>
    </row>
    <row r="165" spans="2:6" x14ac:dyDescent="0.35">
      <c r="B165" s="1">
        <f t="shared" si="4"/>
        <v>11</v>
      </c>
      <c r="C165" s="3">
        <f t="shared" si="5"/>
        <v>94.335736455945465</v>
      </c>
      <c r="D165" s="3">
        <f>[1]!MF_p_pipeline_atma(B165,$R$4-1.4,$R$4-1.4,$T$26:$U$27,$F$30,C165,F165,,$F$12,11)</f>
        <v>10.89029260096788</v>
      </c>
      <c r="F165" s="3">
        <f t="shared" si="3"/>
        <v>59.487580198023302</v>
      </c>
    </row>
    <row r="166" spans="2:6" x14ac:dyDescent="0.35">
      <c r="B166" s="1">
        <f t="shared" si="4"/>
        <v>12</v>
      </c>
      <c r="C166" s="3">
        <f t="shared" si="5"/>
        <v>92.038535883191997</v>
      </c>
      <c r="D166" s="3">
        <f>[1]!MF_p_pipeline_atma(B166,$R$4-1.4,$R$4-1.4,$T$26:$U$27,$F$30,C166,F166,,$F$12,11)</f>
        <v>11.902415975305026</v>
      </c>
      <c r="F166" s="3">
        <f t="shared" si="3"/>
        <v>59.510607720838046</v>
      </c>
    </row>
    <row r="167" spans="2:6" x14ac:dyDescent="0.35">
      <c r="B167" s="1">
        <f t="shared" si="4"/>
        <v>13</v>
      </c>
      <c r="C167" s="3">
        <f t="shared" si="5"/>
        <v>89.741335310438529</v>
      </c>
      <c r="D167" s="3">
        <f>[1]!MF_p_pipeline_atma(B167,$R$4-1.4,$R$4-1.4,$T$26:$U$27,$F$30,C167,F167,,$F$12,11)</f>
        <v>12.912731195246801</v>
      </c>
      <c r="F167" s="3">
        <f t="shared" si="3"/>
        <v>59.53481416167125</v>
      </c>
    </row>
    <row r="168" spans="2:6" x14ac:dyDescent="0.35">
      <c r="B168" s="1">
        <f t="shared" si="4"/>
        <v>14</v>
      </c>
      <c r="C168" s="3">
        <f t="shared" si="5"/>
        <v>87.49612263728585</v>
      </c>
      <c r="D168" s="3">
        <f>[1]!MF_p_pipeline_atma(B168,$R$4-1.4,$R$4-1.4,$T$26:$U$27,$F$30,C168,F168,,$F$12,11)</f>
        <v>13.921528761248538</v>
      </c>
      <c r="F168" s="3">
        <f t="shared" si="3"/>
        <v>59.557582826725657</v>
      </c>
    </row>
    <row r="169" spans="2:6" x14ac:dyDescent="0.35">
      <c r="B169" s="1">
        <f t="shared" si="4"/>
        <v>15</v>
      </c>
      <c r="C169" s="3">
        <f t="shared" si="5"/>
        <v>85.504321063943905</v>
      </c>
      <c r="D169" s="3">
        <f>[1]!MF_p_pipeline_atma(B169,$R$4-1.4,$R$4-1.4,$T$26:$U$27,$F$30,C169,F169,,$F$12,11)</f>
        <v>14.928783224466196</v>
      </c>
      <c r="F169" s="3">
        <f t="shared" si="3"/>
        <v>59.566222332417361</v>
      </c>
    </row>
    <row r="170" spans="2:6" x14ac:dyDescent="0.35">
      <c r="B170" s="1">
        <f t="shared" si="4"/>
        <v>16</v>
      </c>
      <c r="C170" s="3">
        <f t="shared" si="5"/>
        <v>83.581583276693507</v>
      </c>
      <c r="D170" s="3">
        <f>[1]!MF_p_pipeline_atma(B170,$R$4-1.4,$R$4-1.4,$T$26:$U$27,$F$30,C170,F170,,$F$12,11)</f>
        <v>15.935063007081284</v>
      </c>
      <c r="F170" s="3">
        <f t="shared" si="3"/>
        <v>59.569840773981561</v>
      </c>
    </row>
    <row r="171" spans="2:6" x14ac:dyDescent="0.35">
      <c r="B171" s="1">
        <f t="shared" si="4"/>
        <v>17</v>
      </c>
      <c r="C171" s="3">
        <f t="shared" si="5"/>
        <v>81.714074299818762</v>
      </c>
      <c r="D171" s="3">
        <f>[1]!MF_p_pipeline_atma(B171,$R$4-1.4,$R$4-1.4,$T$26:$U$27,$F$30,C171,F171,,$F$12,11)</f>
        <v>16.940568966174485</v>
      </c>
      <c r="F171" s="3">
        <f t="shared" si="3"/>
        <v>59.580676577763562</v>
      </c>
    </row>
    <row r="172" spans="2:6" x14ac:dyDescent="0.35">
      <c r="B172" s="1">
        <f t="shared" si="4"/>
        <v>18</v>
      </c>
      <c r="C172" s="3">
        <f t="shared" si="5"/>
        <v>79.949638314968041</v>
      </c>
      <c r="D172" s="3">
        <f>[1]!MF_p_pipeline_atma(B172,$R$4-1.4,$R$4-1.4,$T$26:$U$27,$F$30,C172,F172,,$F$12,11)</f>
        <v>17.945362890665859</v>
      </c>
      <c r="F172" s="3">
        <f t="shared" si="3"/>
        <v>59.594833482068566</v>
      </c>
    </row>
    <row r="173" spans="2:6" x14ac:dyDescent="0.35">
      <c r="B173" s="1">
        <f t="shared" si="4"/>
        <v>19</v>
      </c>
      <c r="C173" s="3">
        <f t="shared" si="5"/>
        <v>78.252002293635371</v>
      </c>
      <c r="D173" s="3">
        <f>[1]!MF_p_pipeline_atma(B173,$R$4-1.4,$R$4-1.4,$T$26:$U$27,$F$30,C173,F173,,$F$12,11)</f>
        <v>18.949597239740545</v>
      </c>
      <c r="F173" s="3">
        <f t="shared" si="3"/>
        <v>59.610816247566099</v>
      </c>
    </row>
    <row r="174" spans="2:6" x14ac:dyDescent="0.35">
      <c r="B174" s="1">
        <f t="shared" si="4"/>
        <v>20</v>
      </c>
      <c r="C174" s="3">
        <f t="shared" si="5"/>
        <v>76.554366272302744</v>
      </c>
      <c r="D174" s="3">
        <f>[1]!MF_p_pipeline_atma(B174,$R$4-1.4,$R$4-1.4,$T$26:$U$27,$F$30,C174,F174,,$F$12,11)</f>
        <v>19.953427532643172</v>
      </c>
      <c r="F174" s="3">
        <f t="shared" si="3"/>
        <v>59.627507866647022</v>
      </c>
    </row>
    <row r="175" spans="2:6" x14ac:dyDescent="0.35">
      <c r="B175" s="1">
        <f t="shared" si="4"/>
        <v>21</v>
      </c>
      <c r="C175" s="3">
        <f t="shared" si="5"/>
        <v>74.856730250970088</v>
      </c>
      <c r="D175" s="3">
        <f>[1]!MF_p_pipeline_atma(B175,$R$4-1.4,$R$4-1.4,$T$26:$U$27,$F$30,C175,F175,,$F$12,11)</f>
        <v>20.956908672925298</v>
      </c>
      <c r="F175" s="3">
        <f t="shared" si="3"/>
        <v>59.64495656645299</v>
      </c>
    </row>
    <row r="176" spans="2:6" x14ac:dyDescent="0.35">
      <c r="B176" s="1">
        <f t="shared" si="4"/>
        <v>22</v>
      </c>
      <c r="C176" s="3">
        <f t="shared" si="5"/>
        <v>73.297104689852191</v>
      </c>
      <c r="D176" s="3">
        <f>[1]!MF_p_pipeline_atma(B176,$R$4-1.4,$R$4-1.4,$T$26:$U$27,$F$30,C176,F176,,$F$12,11)</f>
        <v>21.959943162122421</v>
      </c>
      <c r="F176" s="3">
        <f t="shared" si="3"/>
        <v>59.654434724771079</v>
      </c>
    </row>
    <row r="177" spans="2:6" x14ac:dyDescent="0.35">
      <c r="B177" s="1">
        <f t="shared" si="4"/>
        <v>23</v>
      </c>
      <c r="C177" s="3">
        <f t="shared" si="5"/>
        <v>71.75834003937959</v>
      </c>
      <c r="D177" s="3">
        <f>[1]!MF_p_pipeline_atma(B177,$R$4-1.4,$R$4-1.4,$T$26:$U$27,$F$30,C177,F177,,$F$12,11)</f>
        <v>22.96270534836404</v>
      </c>
      <c r="F177" s="3">
        <f t="shared" si="3"/>
        <v>59.662969038598007</v>
      </c>
    </row>
    <row r="178" spans="2:6" x14ac:dyDescent="0.35">
      <c r="B178" s="1">
        <f t="shared" si="4"/>
        <v>24</v>
      </c>
      <c r="C178" s="3">
        <f t="shared" si="5"/>
        <v>70.238282180852636</v>
      </c>
      <c r="D178" s="3">
        <f>[1]!MF_p_pipeline_atma(B178,$R$4-1.4,$R$4-1.4,$T$26:$U$27,$F$30,C178,F178,,$F$12,11)</f>
        <v>23.965229630215525</v>
      </c>
      <c r="F178" s="3">
        <f t="shared" si="3"/>
        <v>59.670100444761871</v>
      </c>
    </row>
    <row r="179" spans="2:6" x14ac:dyDescent="0.35">
      <c r="B179" s="1">
        <f t="shared" si="4"/>
        <v>25</v>
      </c>
      <c r="C179" s="3">
        <f t="shared" si="5"/>
        <v>68.77615412785913</v>
      </c>
      <c r="D179" s="3">
        <f>[1]!MF_p_pipeline_atma(B179,$R$4-1.4,$R$4-1.4,$T$26:$U$27,$F$30,C179,F179,,$F$12,11)</f>
        <v>24.967507963619266</v>
      </c>
      <c r="F179" s="3">
        <f t="shared" si="3"/>
        <v>59.671922882326164</v>
      </c>
    </row>
    <row r="180" spans="2:6" x14ac:dyDescent="0.35">
      <c r="B180" s="1">
        <f t="shared" si="4"/>
        <v>26</v>
      </c>
      <c r="C180" s="3">
        <f t="shared" si="5"/>
        <v>67.314026074865623</v>
      </c>
      <c r="D180" s="3">
        <f>[1]!MF_p_pipeline_atma(B180,$R$4-1.4,$R$4-1.4,$T$26:$U$27,$F$30,C180,F180,,$F$12,11)</f>
        <v>25.969618411880411</v>
      </c>
      <c r="F180" s="3">
        <f t="shared" si="3"/>
        <v>59.673824490228156</v>
      </c>
    </row>
    <row r="181" spans="2:6" x14ac:dyDescent="0.35">
      <c r="B181" s="1">
        <f t="shared" si="4"/>
        <v>27</v>
      </c>
      <c r="C181" s="3">
        <f t="shared" si="5"/>
        <v>65.876336930985502</v>
      </c>
      <c r="D181" s="3">
        <f>[1]!MF_p_pipeline_atma(B181,$R$4-1.4,$R$4-1.4,$T$26:$U$27,$F$30,C181,F181,,$F$12,11)</f>
        <v>26.971560864682388</v>
      </c>
      <c r="F181" s="3">
        <f t="shared" si="3"/>
        <v>59.679640626351976</v>
      </c>
    </row>
    <row r="182" spans="2:6" x14ac:dyDescent="0.35">
      <c r="B182" s="1">
        <f t="shared" si="4"/>
        <v>28</v>
      </c>
      <c r="C182" s="3">
        <f t="shared" si="5"/>
        <v>64.44919934951443</v>
      </c>
      <c r="D182" s="3">
        <f>[1]!MF_p_pipeline_atma(B182,$R$4-1.4,$R$4-1.4,$T$26:$U$27,$F$30,C182,F182,,$F$12,11)</f>
        <v>27.973362009538093</v>
      </c>
      <c r="F182" s="3">
        <f t="shared" si="3"/>
        <v>59.687373022260743</v>
      </c>
    </row>
    <row r="183" spans="2:6" x14ac:dyDescent="0.35">
      <c r="B183" s="1">
        <f t="shared" si="4"/>
        <v>29</v>
      </c>
      <c r="C183" s="3">
        <f t="shared" si="5"/>
        <v>63.04322533557788</v>
      </c>
      <c r="D183" s="3">
        <f>[1]!MF_p_pipeline_atma(B183,$R$4-1.4,$R$4-1.4,$T$26:$U$27,$F$30,C183,F183,,$F$12,11)</f>
        <v>28.975027563994054</v>
      </c>
      <c r="F183" s="3">
        <f t="shared" si="3"/>
        <v>59.695893553769096</v>
      </c>
    </row>
    <row r="184" spans="2:6" x14ac:dyDescent="0.35">
      <c r="B184" s="1">
        <f t="shared" si="4"/>
        <v>30</v>
      </c>
      <c r="C184" s="3">
        <f t="shared" si="5"/>
        <v>61.63725132164133</v>
      </c>
      <c r="D184" s="3">
        <f>[1]!MF_p_pipeline_atma(B184,$R$4-1.4,$R$4-1.4,$T$26:$U$27,$F$30,C184,F184,,$F$12,11)</f>
        <v>29.976584843646211</v>
      </c>
      <c r="F184" s="3">
        <f t="shared" si="3"/>
        <v>59.70480279975218</v>
      </c>
    </row>
    <row r="185" spans="2:6" x14ac:dyDescent="0.35">
      <c r="B185" s="1">
        <f t="shared" si="4"/>
        <v>31</v>
      </c>
      <c r="C185" s="3">
        <f t="shared" si="5"/>
        <v>60.231277307704779</v>
      </c>
      <c r="D185" s="3">
        <f>[1]!MF_p_pipeline_atma(B185,$R$4-1.4,$R$4-1.4,$T$26:$U$27,$F$30,C185,F185,,$F$12,11)</f>
        <v>30.978043464266008</v>
      </c>
      <c r="F185" s="3">
        <f t="shared" si="3"/>
        <v>59.714127981405099</v>
      </c>
    </row>
    <row r="186" spans="2:6" x14ac:dyDescent="0.35">
      <c r="B186" s="1">
        <f t="shared" si="4"/>
        <v>32</v>
      </c>
      <c r="C186" s="3">
        <f t="shared" si="5"/>
        <v>58.829376214709747</v>
      </c>
      <c r="D186" s="3">
        <f>[1]!MF_p_pipeline_atma(B186,$R$4-1.4,$R$4-1.4,$T$26:$U$27,$F$30,C186,F186,,$F$12,11)</f>
        <v>31.979409229472498</v>
      </c>
      <c r="F186" s="3">
        <f t="shared" si="3"/>
        <v>59.72357187373121</v>
      </c>
    </row>
    <row r="187" spans="2:6" x14ac:dyDescent="0.35">
      <c r="B187" s="1">
        <f t="shared" si="4"/>
        <v>33</v>
      </c>
      <c r="C187" s="3">
        <f t="shared" si="5"/>
        <v>57.442663739042899</v>
      </c>
      <c r="D187" s="3">
        <f>[1]!MF_p_pipeline_atma(B187,$R$4-1.4,$R$4-1.4,$T$26:$U$27,$F$30,C187,F187,,$F$12,11)</f>
        <v>32.980682994135115</v>
      </c>
      <c r="F187" s="3">
        <f t="shared" ref="F187:F217" si="6">(C120*$B$17+D120*$C$17+E120*$D$17+F120*$E$17)/G120</f>
        <v>59.732225253285542</v>
      </c>
    </row>
    <row r="188" spans="2:6" x14ac:dyDescent="0.35">
      <c r="B188" s="1">
        <f t="shared" si="4"/>
        <v>34</v>
      </c>
      <c r="C188" s="3">
        <f t="shared" si="5"/>
        <v>56.055951263376038</v>
      </c>
      <c r="D188" s="3">
        <f>[1]!MF_p_pipeline_atma(B188,$R$4-1.4,$R$4-1.4,$T$26:$U$27,$F$30,C188,F188,,$F$12,11)</f>
        <v>33.981881589048108</v>
      </c>
      <c r="F188" s="3">
        <f t="shared" si="6"/>
        <v>59.741306767555805</v>
      </c>
    </row>
    <row r="189" spans="2:6" x14ac:dyDescent="0.35">
      <c r="B189" s="1">
        <f t="shared" si="4"/>
        <v>35</v>
      </c>
      <c r="C189" s="3">
        <f t="shared" si="5"/>
        <v>54.671145356914238</v>
      </c>
      <c r="D189" s="3">
        <f>[1]!MF_p_pipeline_atma(B189,$R$4-1.4,$R$4-1.4,$T$26:$U$27,$F$30,C189,F189,,$F$12,11)</f>
        <v>34.983009713659293</v>
      </c>
      <c r="F189" s="3">
        <f t="shared" si="6"/>
        <v>59.750613570975801</v>
      </c>
    </row>
    <row r="190" spans="2:6" x14ac:dyDescent="0.35">
      <c r="B190" s="1">
        <f t="shared" si="4"/>
        <v>36</v>
      </c>
      <c r="C190" s="3">
        <f t="shared" si="5"/>
        <v>53.295431068312013</v>
      </c>
      <c r="D190" s="3">
        <f>[1]!MF_p_pipeline_atma(B190,$R$4-1.4,$R$4-1.4,$T$26:$U$27,$F$30,C190,F190,,$F$12,11)</f>
        <v>35.984068670836855</v>
      </c>
      <c r="F190" s="3">
        <f t="shared" si="6"/>
        <v>59.759250853962286</v>
      </c>
    </row>
    <row r="191" spans="2:6" x14ac:dyDescent="0.35">
      <c r="B191" s="1">
        <f t="shared" si="4"/>
        <v>37</v>
      </c>
      <c r="C191" s="3">
        <f t="shared" si="5"/>
        <v>51.919716779709788</v>
      </c>
      <c r="D191" s="3">
        <f>[1]!MF_p_pipeline_atma(B191,$R$4-1.4,$R$4-1.4,$T$26:$U$27,$F$30,C191,F191,,$F$12,11)</f>
        <v>36.985068581633868</v>
      </c>
      <c r="F191" s="3">
        <f t="shared" si="6"/>
        <v>59.768345860309232</v>
      </c>
    </row>
    <row r="192" spans="2:6" x14ac:dyDescent="0.35">
      <c r="B192" s="1">
        <f t="shared" si="4"/>
        <v>38</v>
      </c>
      <c r="C192" s="3">
        <f t="shared" si="5"/>
        <v>50.54543002707365</v>
      </c>
      <c r="D192" s="3">
        <f>[1]!MF_p_pipeline_atma(B192,$R$4-1.4,$R$4-1.4,$T$26:$U$27,$F$30,C192,F192,,$F$12,11)</f>
        <v>37.986012927306312</v>
      </c>
      <c r="F192" s="3">
        <f t="shared" si="6"/>
        <v>59.778224663157253</v>
      </c>
    </row>
    <row r="193" spans="2:6" x14ac:dyDescent="0.35">
      <c r="B193" s="1">
        <f t="shared" si="4"/>
        <v>39</v>
      </c>
      <c r="C193" s="3">
        <f t="shared" si="5"/>
        <v>49.172594588877317</v>
      </c>
      <c r="D193" s="3">
        <f>[1]!MF_p_pipeline_atma(B193,$R$4-1.4,$R$4-1.4,$T$26:$U$27,$F$30,C193,F193,,$F$12,11)</f>
        <v>38.986905497740061</v>
      </c>
      <c r="F193" s="3">
        <f t="shared" si="6"/>
        <v>59.788957057096432</v>
      </c>
    </row>
    <row r="194" spans="2:6" x14ac:dyDescent="0.35">
      <c r="B194" s="1">
        <f t="shared" si="4"/>
        <v>40</v>
      </c>
      <c r="C194" s="3">
        <f t="shared" si="5"/>
        <v>47.80249739185998</v>
      </c>
      <c r="D194" s="3">
        <f>[1]!MF_p_pipeline_atma(B194,$R$4-1.4,$R$4-1.4,$T$26:$U$27,$F$30,C194,F194,,$F$12,11)</f>
        <v>39.987749107085826</v>
      </c>
      <c r="F194" s="3">
        <f t="shared" si="6"/>
        <v>59.800374652919047</v>
      </c>
    </row>
    <row r="195" spans="2:6" x14ac:dyDescent="0.35">
      <c r="B195" s="1">
        <f t="shared" si="4"/>
        <v>41</v>
      </c>
      <c r="C195" s="3">
        <f t="shared" si="5"/>
        <v>46.43361775693144</v>
      </c>
      <c r="D195" s="3">
        <f>[1]!MF_p_pipeline_atma(B195,$R$4-1.4,$R$4-1.4,$T$26:$U$27,$F$30,C195,F195,,$F$12,11)</f>
        <v>40.988547600452684</v>
      </c>
      <c r="F195" s="3">
        <f t="shared" si="6"/>
        <v>59.81249719378706</v>
      </c>
    </row>
    <row r="196" spans="2:6" x14ac:dyDescent="0.35">
      <c r="B196" s="1">
        <f t="shared" si="4"/>
        <v>42</v>
      </c>
      <c r="C196" s="3">
        <f t="shared" si="5"/>
        <v>45.064738122002908</v>
      </c>
      <c r="D196" s="3">
        <f>[1]!MF_p_pipeline_atma(B196,$R$4-1.4,$R$4-1.4,$T$26:$U$27,$F$30,C196,F196,,$F$12,11)</f>
        <v>41.989304301382504</v>
      </c>
      <c r="F196" s="3">
        <f t="shared" si="6"/>
        <v>59.825356199572411</v>
      </c>
    </row>
    <row r="197" spans="2:6" x14ac:dyDescent="0.35">
      <c r="B197" s="1">
        <f t="shared" si="4"/>
        <v>43</v>
      </c>
      <c r="C197" s="3">
        <f t="shared" si="5"/>
        <v>43.695858487074375</v>
      </c>
      <c r="D197" s="3">
        <f>[1]!MF_p_pipeline_atma(B197,$R$4-1.4,$R$4-1.4,$T$26:$U$27,$F$30,C197,F197,,$F$12,11)</f>
        <v>42.990021710515109</v>
      </c>
      <c r="F197" s="3">
        <f t="shared" si="6"/>
        <v>59.839020884969244</v>
      </c>
    </row>
    <row r="198" spans="2:6" x14ac:dyDescent="0.35">
      <c r="B198" s="1">
        <f t="shared" si="4"/>
        <v>44</v>
      </c>
      <c r="C198" s="3">
        <f t="shared" si="5"/>
        <v>42.332082218205322</v>
      </c>
      <c r="D198" s="3">
        <f>[1]!MF_p_pipeline_atma(B198,$R$4-1.4,$R$4-1.4,$T$26:$U$27,$F$30,C198,F198,,$F$12,11)</f>
        <v>43.990700063061453</v>
      </c>
      <c r="F198" s="3">
        <f t="shared" si="6"/>
        <v>59.852984293878258</v>
      </c>
    </row>
    <row r="199" spans="2:6" x14ac:dyDescent="0.35">
      <c r="B199" s="1">
        <f t="shared" si="4"/>
        <v>45</v>
      </c>
      <c r="C199" s="3">
        <f t="shared" si="5"/>
        <v>40.968624748838948</v>
      </c>
      <c r="D199" s="3">
        <f>[1]!MF_p_pipeline_atma(B199,$R$4-1.4,$R$4-1.4,$T$26:$U$27,$F$30,C199,F199,,$F$12,11)</f>
        <v>44.991343519194551</v>
      </c>
      <c r="F199" s="3">
        <f t="shared" si="6"/>
        <v>59.867839466939031</v>
      </c>
    </row>
    <row r="200" spans="2:6" x14ac:dyDescent="0.35">
      <c r="B200" s="1">
        <f t="shared" si="4"/>
        <v>46</v>
      </c>
      <c r="C200" s="3">
        <f t="shared" si="5"/>
        <v>39.605167279472568</v>
      </c>
      <c r="D200" s="3">
        <f>[1]!MF_p_pipeline_atma(B200,$R$4-1.4,$R$4-1.4,$T$26:$U$27,$F$30,C200,F200,,$F$12,11)</f>
        <v>45.991954102076903</v>
      </c>
      <c r="F200" s="3">
        <f t="shared" si="6"/>
        <v>59.883717455862488</v>
      </c>
    </row>
    <row r="201" spans="2:6" x14ac:dyDescent="0.35">
      <c r="B201" s="1">
        <f t="shared" si="4"/>
        <v>47</v>
      </c>
      <c r="C201" s="3">
        <f t="shared" si="5"/>
        <v>38.244709529140408</v>
      </c>
      <c r="D201" s="3">
        <f>[1]!MF_p_pipeline_atma(B201,$R$4-1.4,$R$4-1.4,$T$26:$U$27,$F$30,C201,F201,,$F$12,11)</f>
        <v>46.992532467726974</v>
      </c>
      <c r="F201" s="3">
        <f t="shared" si="6"/>
        <v>59.900186404364035</v>
      </c>
    </row>
    <row r="202" spans="2:6" x14ac:dyDescent="0.35">
      <c r="B202" s="1">
        <f t="shared" si="4"/>
        <v>48</v>
      </c>
      <c r="C202" s="3">
        <f t="shared" si="5"/>
        <v>36.885009795635298</v>
      </c>
      <c r="D202" s="3">
        <f>[1]!MF_p_pipeline_atma(B202,$R$4-1.4,$R$4-1.4,$T$26:$U$27,$F$30,C202,F202,,$F$12,11)</f>
        <v>47.993081102277337</v>
      </c>
      <c r="F202" s="3">
        <f t="shared" si="6"/>
        <v>59.917728083395744</v>
      </c>
    </row>
    <row r="203" spans="2:6" x14ac:dyDescent="0.35">
      <c r="B203" s="1">
        <f t="shared" si="4"/>
        <v>49</v>
      </c>
      <c r="C203" s="3">
        <f t="shared" si="5"/>
        <v>35.525469947107126</v>
      </c>
      <c r="D203" s="3">
        <f>[1]!MF_p_pipeline_atma(B203,$R$4-1.4,$R$4-1.4,$T$26:$U$27,$F$30,C203,F203,,$F$12,11)</f>
        <v>48.993601688819091</v>
      </c>
      <c r="F203" s="3">
        <f t="shared" si="6"/>
        <v>59.936657837851797</v>
      </c>
    </row>
    <row r="204" spans="2:6" x14ac:dyDescent="0.35">
      <c r="B204" s="1">
        <f t="shared" si="4"/>
        <v>50</v>
      </c>
      <c r="C204" s="3">
        <f t="shared" si="5"/>
        <v>34.166602651634854</v>
      </c>
      <c r="D204" s="3">
        <f>[1]!MF_p_pipeline_atma(B204,$R$4-1.4,$R$4-1.4,$T$26:$U$27,$F$30,C204,F204,,$F$12,11)</f>
        <v>49.994095414944198</v>
      </c>
      <c r="F204" s="3">
        <f t="shared" si="6"/>
        <v>59.957291797781963</v>
      </c>
    </row>
    <row r="205" spans="2:6" x14ac:dyDescent="0.35">
      <c r="B205" s="1">
        <f t="shared" si="4"/>
        <v>51</v>
      </c>
      <c r="C205" s="3">
        <f t="shared" si="5"/>
        <v>32.807735356162581</v>
      </c>
      <c r="D205" s="3">
        <f>[1]!MF_p_pipeline_atma(B205,$R$4-1.4,$R$4-1.4,$T$26:$U$27,$F$30,C205,F205,,$F$12,11)</f>
        <v>50.99456370983016</v>
      </c>
      <c r="F205" s="3">
        <f t="shared" si="6"/>
        <v>59.979635038344917</v>
      </c>
    </row>
    <row r="206" spans="2:6" x14ac:dyDescent="0.35">
      <c r="B206" s="1">
        <f t="shared" si="4"/>
        <v>52</v>
      </c>
      <c r="C206" s="3">
        <f t="shared" si="5"/>
        <v>31.448868060690305</v>
      </c>
      <c r="D206" s="3">
        <f>[1]!MF_p_pipeline_atma(B206,$R$4-1.4,$R$4-1.4,$T$26:$U$27,$F$30,C206,F206,,$F$12,11)</f>
        <v>51.995007693503005</v>
      </c>
      <c r="F206" s="3">
        <f t="shared" si="6"/>
        <v>60.003909127345253</v>
      </c>
    </row>
    <row r="207" spans="2:6" x14ac:dyDescent="0.35">
      <c r="B207" s="1">
        <f t="shared" si="4"/>
        <v>53</v>
      </c>
      <c r="C207" s="3">
        <f t="shared" si="5"/>
        <v>30.090000765218029</v>
      </c>
      <c r="D207" s="3">
        <f>[1]!MF_p_pipeline_atma(B207,$R$4-1.4,$R$4-1.4,$T$26:$U$27,$F$30,C207,F207,,$F$12,11)</f>
        <v>52.995428394624689</v>
      </c>
      <c r="F207" s="3">
        <f t="shared" si="6"/>
        <v>60.030375656679986</v>
      </c>
    </row>
    <row r="208" spans="2:6" x14ac:dyDescent="0.35">
      <c r="B208" s="1">
        <f t="shared" si="4"/>
        <v>54</v>
      </c>
      <c r="C208" s="3">
        <f t="shared" si="5"/>
        <v>28.731133469745753</v>
      </c>
      <c r="D208" s="3">
        <f>[1]!MF_p_pipeline_atma(B208,$R$4-1.4,$R$4-1.4,$T$26:$U$27,$F$30,C208,F208,,$F$12,11)</f>
        <v>53.995826757621252</v>
      </c>
      <c r="F208" s="3">
        <f t="shared" si="6"/>
        <v>60.059345707233298</v>
      </c>
    </row>
    <row r="209" spans="2:6" x14ac:dyDescent="0.35">
      <c r="B209" s="1">
        <f t="shared" si="4"/>
        <v>55</v>
      </c>
      <c r="C209" s="3">
        <f t="shared" si="5"/>
        <v>27.372266174273477</v>
      </c>
      <c r="D209" s="3">
        <f>[1]!MF_p_pipeline_atma(B209,$R$4-1.4,$R$4-1.4,$T$26:$U$27,$F$30,C209,F209,,$F$12,11)</f>
        <v>54.996203648940821</v>
      </c>
      <c r="F209" s="3">
        <f t="shared" si="6"/>
        <v>60.09119213301944</v>
      </c>
    </row>
    <row r="210" spans="2:6" x14ac:dyDescent="0.35">
      <c r="B210" s="1">
        <f t="shared" si="4"/>
        <v>56</v>
      </c>
      <c r="C210" s="3">
        <f t="shared" si="5"/>
        <v>26.013398878801201</v>
      </c>
      <c r="D210" s="3">
        <f>[1]!MF_p_pipeline_atma(B210,$R$4-1.4,$R$4-1.4,$T$26:$U$27,$F$30,C210,F210,,$F$12,11)</f>
        <v>55.996559862525267</v>
      </c>
      <c r="F210" s="3">
        <f t="shared" si="6"/>
        <v>60.12636569546158</v>
      </c>
    </row>
    <row r="211" spans="2:6" x14ac:dyDescent="0.35">
      <c r="B211" s="1">
        <f t="shared" si="4"/>
        <v>57</v>
      </c>
      <c r="C211" s="3">
        <f t="shared" si="5"/>
        <v>24.654531583328925</v>
      </c>
      <c r="D211" s="3">
        <f>[1]!MF_p_pipeline_atma(B211,$R$4-1.4,$R$4-1.4,$T$26:$U$27,$F$30,C211,F211,,$F$12,11)</f>
        <v>56.996896124562255</v>
      </c>
      <c r="F211" s="3">
        <f t="shared" si="6"/>
        <v>60.16541653324407</v>
      </c>
    </row>
    <row r="212" spans="2:6" x14ac:dyDescent="0.35">
      <c r="B212" s="1">
        <f t="shared" si="4"/>
        <v>58</v>
      </c>
      <c r="C212" s="3">
        <f t="shared" si="5"/>
        <v>23.295827078072616</v>
      </c>
      <c r="D212" s="3">
        <f>[1]!MF_p_pipeline_atma(B212,$R$4-1.4,$R$4-1.4,$T$26:$U$27,$F$30,C212,F212,,$F$12,11)</f>
        <v>57.997213062604011</v>
      </c>
      <c r="F212" s="3">
        <f t="shared" si="6"/>
        <v>60.208972770019081</v>
      </c>
    </row>
    <row r="213" spans="2:6" x14ac:dyDescent="0.35">
      <c r="B213" s="1">
        <f t="shared" si="4"/>
        <v>59</v>
      </c>
      <c r="C213" s="3">
        <f t="shared" si="5"/>
        <v>21.937475999982055</v>
      </c>
      <c r="D213" s="3">
        <f>[1]!MF_p_pipeline_atma(B213,$R$4-1.4,$R$4-1.4,$T$26:$U$27,$F$30,C213,F213,,$F$12,11)</f>
        <v>58.997511245823496</v>
      </c>
      <c r="F213" s="3">
        <f t="shared" si="6"/>
        <v>60.257807502346864</v>
      </c>
    </row>
    <row r="214" spans="2:6" x14ac:dyDescent="0.35">
      <c r="B214" s="1">
        <f t="shared" si="4"/>
        <v>60</v>
      </c>
      <c r="C214" s="3">
        <f t="shared" si="5"/>
        <v>20.579124921891502</v>
      </c>
      <c r="D214" s="3">
        <f>[1]!MF_p_pipeline_atma(B214,$R$4-1.4,$R$4-1.4,$T$26:$U$27,$F$30,C214,F214,,$F$12,11)</f>
        <v>59.997791298889339</v>
      </c>
      <c r="F214" s="3">
        <f t="shared" si="6"/>
        <v>60.313089030790373</v>
      </c>
    </row>
    <row r="215" spans="2:6" x14ac:dyDescent="0.35">
      <c r="B215" s="1">
        <f t="shared" si="4"/>
        <v>61</v>
      </c>
      <c r="C215" s="3">
        <f t="shared" si="5"/>
        <v>19.220587726149851</v>
      </c>
      <c r="D215" s="3">
        <f>[1]!MF_p_pipeline_atma(B215,$R$4-1.4,$R$4-1.4,$T$26:$U$27,$F$30,C215,F215,,$F$12,11)</f>
        <v>60.998053742328992</v>
      </c>
      <c r="F215" s="3">
        <f t="shared" si="6"/>
        <v>60.376090969940677</v>
      </c>
    </row>
    <row r="216" spans="2:6" x14ac:dyDescent="0.35">
      <c r="B216" s="1">
        <f t="shared" si="4"/>
        <v>62</v>
      </c>
      <c r="C216" s="3">
        <f t="shared" si="5"/>
        <v>17.862020235277441</v>
      </c>
      <c r="D216" s="3">
        <f>[1]!MF_p_pipeline_atma(B216,$R$4-1.4,$R$4-1.4,$T$26:$U$27,$F$30,C216,F216,,$F$12,11)</f>
        <v>61.998298981748711</v>
      </c>
      <c r="F216" s="3">
        <f t="shared" si="6"/>
        <v>60.44866020911067</v>
      </c>
    </row>
    <row r="217" spans="2:6" x14ac:dyDescent="0.35">
      <c r="B217" s="1">
        <f t="shared" si="4"/>
        <v>63</v>
      </c>
      <c r="C217" s="3">
        <f t="shared" si="5"/>
        <v>16.503452744405024</v>
      </c>
      <c r="D217" s="3">
        <f>[1]!MF_p_pipeline_atma(B217,$R$4-1.4,$R$4-1.4,$T$26:$U$27,$F$30,C217,F217,,$F$12,11)</f>
        <v>62.998527394571362</v>
      </c>
      <c r="F217" s="3">
        <f t="shared" si="6"/>
        <v>60.533177276495834</v>
      </c>
    </row>
  </sheetData>
  <mergeCells count="12">
    <mergeCell ref="I154:J154"/>
    <mergeCell ref="H24:U24"/>
    <mergeCell ref="A1:C1"/>
    <mergeCell ref="A14:F14"/>
    <mergeCell ref="H2:L2"/>
    <mergeCell ref="N2:R2"/>
    <mergeCell ref="H1:R1"/>
    <mergeCell ref="H25:I25"/>
    <mergeCell ref="K25:L25"/>
    <mergeCell ref="N25:O25"/>
    <mergeCell ref="Q25:R25"/>
    <mergeCell ref="T25:U2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438A-432B-48D6-B7CC-DBB66A5838FE}">
  <dimension ref="A1:AS105"/>
  <sheetViews>
    <sheetView tabSelected="1" topLeftCell="A61" workbookViewId="0">
      <selection activeCell="H85" sqref="H85"/>
    </sheetView>
  </sheetViews>
  <sheetFormatPr defaultRowHeight="15.5" x14ac:dyDescent="0.35"/>
  <cols>
    <col min="1" max="1" width="30" bestFit="1" customWidth="1"/>
    <col min="2" max="3" width="10.765625" bestFit="1" customWidth="1"/>
    <col min="23" max="23" width="11" bestFit="1" customWidth="1"/>
  </cols>
  <sheetData>
    <row r="1" spans="1:9" x14ac:dyDescent="0.35">
      <c r="B1" t="s">
        <v>82</v>
      </c>
      <c r="C1" t="s">
        <v>83</v>
      </c>
      <c r="F1" s="13" t="s">
        <v>44</v>
      </c>
      <c r="G1" s="13"/>
      <c r="H1" s="13"/>
    </row>
    <row r="2" spans="1:9" x14ac:dyDescent="0.35">
      <c r="A2" t="s">
        <v>95</v>
      </c>
      <c r="B2">
        <f>14*1000</f>
        <v>14000</v>
      </c>
      <c r="C2">
        <f>41.95*1000</f>
        <v>41950</v>
      </c>
      <c r="D2" t="s">
        <v>86</v>
      </c>
      <c r="F2" s="13" t="s">
        <v>82</v>
      </c>
      <c r="G2" s="13"/>
      <c r="H2" s="13" t="s">
        <v>83</v>
      </c>
      <c r="I2" s="13"/>
    </row>
    <row r="3" spans="1:9" x14ac:dyDescent="0.35">
      <c r="A3" t="s">
        <v>84</v>
      </c>
      <c r="B3">
        <v>5000</v>
      </c>
      <c r="C3">
        <v>10000</v>
      </c>
      <c r="D3" t="s">
        <v>86</v>
      </c>
      <c r="F3" t="s">
        <v>2</v>
      </c>
      <c r="G3" t="s">
        <v>1</v>
      </c>
      <c r="H3" t="s">
        <v>2</v>
      </c>
      <c r="I3" t="s">
        <v>1</v>
      </c>
    </row>
    <row r="4" spans="1:9" x14ac:dyDescent="0.35">
      <c r="A4" t="s">
        <v>96</v>
      </c>
      <c r="B4">
        <f>B2-B3</f>
        <v>9000</v>
      </c>
      <c r="C4">
        <f>C2-C3</f>
        <v>31950</v>
      </c>
      <c r="D4" t="s">
        <v>86</v>
      </c>
      <c r="F4">
        <v>0</v>
      </c>
      <c r="G4">
        <v>0</v>
      </c>
      <c r="H4">
        <v>0</v>
      </c>
      <c r="I4">
        <v>0</v>
      </c>
    </row>
    <row r="5" spans="1:9" x14ac:dyDescent="0.35">
      <c r="F5">
        <f>F6-100</f>
        <v>2323</v>
      </c>
      <c r="G5">
        <f>G6-100</f>
        <v>2323</v>
      </c>
      <c r="H5">
        <f>H6-100</f>
        <v>1880</v>
      </c>
      <c r="I5">
        <f>I6-100</f>
        <v>1880</v>
      </c>
    </row>
    <row r="6" spans="1:9" x14ac:dyDescent="0.35">
      <c r="A6" t="s">
        <v>111</v>
      </c>
      <c r="B6">
        <f>B96*(1-B22)</f>
        <v>2.6124085180797136</v>
      </c>
      <c r="C6">
        <f>C96*(1-C22)</f>
        <v>25.687181685910843</v>
      </c>
      <c r="D6" t="s">
        <v>86</v>
      </c>
      <c r="F6">
        <v>2423</v>
      </c>
      <c r="G6">
        <f>F6</f>
        <v>2423</v>
      </c>
      <c r="H6">
        <v>1980</v>
      </c>
      <c r="I6">
        <f>H6</f>
        <v>1980</v>
      </c>
    </row>
    <row r="7" spans="1:9" x14ac:dyDescent="0.35">
      <c r="A7" t="s">
        <v>97</v>
      </c>
      <c r="B7">
        <f>B96*0.836*(1-B22)</f>
        <v>2.1839735211146407</v>
      </c>
      <c r="C7">
        <f>C96*0.836*(1-C22)</f>
        <v>21.474483889421464</v>
      </c>
      <c r="D7" t="s">
        <v>100</v>
      </c>
    </row>
    <row r="8" spans="1:9" x14ac:dyDescent="0.35">
      <c r="A8" t="s">
        <v>101</v>
      </c>
      <c r="B8">
        <f>B2/B96</f>
        <v>5359.039332137414</v>
      </c>
      <c r="C8">
        <f>C2/C96</f>
        <v>1633.1102614892604</v>
      </c>
      <c r="D8" t="s">
        <v>13</v>
      </c>
    </row>
    <row r="9" spans="1:9" x14ac:dyDescent="0.35">
      <c r="A9" t="s">
        <v>102</v>
      </c>
      <c r="B9">
        <f>B4/B96</f>
        <v>3445.0967135169089</v>
      </c>
      <c r="C9">
        <f>C4/C96</f>
        <v>1243.8110334822854</v>
      </c>
      <c r="D9" t="s">
        <v>13</v>
      </c>
    </row>
    <row r="10" spans="1:9" x14ac:dyDescent="0.35">
      <c r="A10" t="s">
        <v>85</v>
      </c>
      <c r="B10">
        <v>6</v>
      </c>
      <c r="C10">
        <v>6</v>
      </c>
      <c r="D10" t="s">
        <v>99</v>
      </c>
    </row>
    <row r="11" spans="1:9" x14ac:dyDescent="0.35">
      <c r="A11" t="s">
        <v>89</v>
      </c>
      <c r="B11">
        <v>65</v>
      </c>
      <c r="C11">
        <v>18</v>
      </c>
      <c r="D11" t="s">
        <v>99</v>
      </c>
    </row>
    <row r="12" spans="1:9" x14ac:dyDescent="0.35">
      <c r="A12" t="s">
        <v>113</v>
      </c>
      <c r="B12">
        <f>139.7-7.72</f>
        <v>131.97999999999999</v>
      </c>
      <c r="C12">
        <f>177.8-9.14</f>
        <v>168.66000000000003</v>
      </c>
      <c r="D12" t="s">
        <v>99</v>
      </c>
    </row>
    <row r="13" spans="1:9" x14ac:dyDescent="0.35">
      <c r="A13" t="s">
        <v>128</v>
      </c>
      <c r="B13">
        <v>10</v>
      </c>
      <c r="C13">
        <v>15</v>
      </c>
      <c r="D13" t="s">
        <v>99</v>
      </c>
    </row>
    <row r="14" spans="1:9" x14ac:dyDescent="0.35">
      <c r="A14" t="s">
        <v>87</v>
      </c>
      <c r="B14">
        <v>77</v>
      </c>
      <c r="C14">
        <v>74</v>
      </c>
      <c r="D14" t="s">
        <v>32</v>
      </c>
    </row>
    <row r="15" spans="1:9" x14ac:dyDescent="0.35">
      <c r="A15" t="s">
        <v>88</v>
      </c>
      <c r="B15">
        <v>42</v>
      </c>
      <c r="C15">
        <v>45</v>
      </c>
      <c r="D15" t="s">
        <v>32</v>
      </c>
    </row>
    <row r="16" spans="1:9" x14ac:dyDescent="0.35">
      <c r="A16" t="s">
        <v>90</v>
      </c>
      <c r="B16">
        <v>25</v>
      </c>
      <c r="C16">
        <v>25</v>
      </c>
      <c r="D16" t="s">
        <v>32</v>
      </c>
    </row>
    <row r="17" spans="1:4" x14ac:dyDescent="0.35">
      <c r="A17" t="s">
        <v>91</v>
      </c>
      <c r="B17">
        <v>45</v>
      </c>
      <c r="C17">
        <v>42</v>
      </c>
      <c r="D17" t="s">
        <v>32</v>
      </c>
    </row>
    <row r="18" spans="1:4" x14ac:dyDescent="0.35">
      <c r="A18" t="s">
        <v>92</v>
      </c>
      <c r="B18">
        <v>24</v>
      </c>
      <c r="C18">
        <v>24</v>
      </c>
      <c r="D18" t="s">
        <v>32</v>
      </c>
    </row>
    <row r="19" spans="1:4" x14ac:dyDescent="0.35">
      <c r="A19" t="s">
        <v>30</v>
      </c>
      <c r="B19">
        <v>70</v>
      </c>
      <c r="C19">
        <v>150</v>
      </c>
      <c r="D19" t="s">
        <v>32</v>
      </c>
    </row>
    <row r="20" spans="1:4" x14ac:dyDescent="0.35">
      <c r="A20" t="s">
        <v>93</v>
      </c>
      <c r="B20">
        <v>77</v>
      </c>
      <c r="C20">
        <v>74</v>
      </c>
      <c r="D20" t="s">
        <v>32</v>
      </c>
    </row>
    <row r="21" spans="1:4" x14ac:dyDescent="0.35">
      <c r="A21" t="s">
        <v>94</v>
      </c>
      <c r="B21">
        <v>50</v>
      </c>
      <c r="C21">
        <v>55</v>
      </c>
      <c r="D21" t="s">
        <v>32</v>
      </c>
    </row>
    <row r="22" spans="1:4" x14ac:dyDescent="0.35">
      <c r="A22" t="s">
        <v>103</v>
      </c>
      <c r="B22">
        <v>0</v>
      </c>
      <c r="C22">
        <v>0</v>
      </c>
      <c r="D22" t="s">
        <v>31</v>
      </c>
    </row>
    <row r="23" spans="1:4" x14ac:dyDescent="0.35">
      <c r="A23" t="s">
        <v>109</v>
      </c>
      <c r="B23">
        <v>20</v>
      </c>
      <c r="C23">
        <v>20</v>
      </c>
      <c r="D23" t="s">
        <v>17</v>
      </c>
    </row>
    <row r="24" spans="1:4" x14ac:dyDescent="0.35">
      <c r="A24" t="s">
        <v>110</v>
      </c>
      <c r="B24">
        <f>B23+(B25-B23)/F6*F5</f>
        <v>36.298390425092862</v>
      </c>
      <c r="C24">
        <f>C23+(C25-C23)/H6*H5</f>
        <v>36.141414141414145</v>
      </c>
      <c r="D24" t="s">
        <v>17</v>
      </c>
    </row>
    <row r="25" spans="1:4" x14ac:dyDescent="0.35">
      <c r="A25" t="s">
        <v>112</v>
      </c>
      <c r="B25">
        <v>37</v>
      </c>
      <c r="C25">
        <v>37</v>
      </c>
      <c r="D25" t="s">
        <v>17</v>
      </c>
    </row>
    <row r="27" spans="1:4" x14ac:dyDescent="0.35">
      <c r="A27" t="s">
        <v>125</v>
      </c>
      <c r="B27" cm="1">
        <f t="array" ref="B27">[1]!IPR_pi_sm3dayatm(B96,B21,B19,B22,B30)</f>
        <v>0.14961976058092907</v>
      </c>
      <c r="C27" cm="1">
        <f t="array" ref="C27">[1]!IPR_pi_sm3dayatm(C96,C21,C19,C22,C30)</f>
        <v>0.37631790858360975</v>
      </c>
    </row>
    <row r="28" spans="1:4" x14ac:dyDescent="0.35">
      <c r="A28" s="13" t="s">
        <v>45</v>
      </c>
      <c r="B28" s="13"/>
      <c r="C28" s="13"/>
      <c r="D28" s="13"/>
    </row>
    <row r="29" spans="1:4" x14ac:dyDescent="0.35">
      <c r="A29" t="s">
        <v>121</v>
      </c>
      <c r="B29">
        <f>213.8/B34</f>
        <v>255.74162679425839</v>
      </c>
      <c r="C29">
        <f>213.8/C34</f>
        <v>255.74162679425839</v>
      </c>
      <c r="D29" s="6"/>
    </row>
    <row r="30" spans="1:4" x14ac:dyDescent="0.35">
      <c r="A30" t="s">
        <v>14</v>
      </c>
      <c r="B30">
        <v>206</v>
      </c>
      <c r="C30">
        <v>206</v>
      </c>
      <c r="D30" t="s">
        <v>32</v>
      </c>
    </row>
    <row r="31" spans="1:4" x14ac:dyDescent="0.35">
      <c r="A31" t="s">
        <v>114</v>
      </c>
      <c r="B31">
        <v>0.98</v>
      </c>
      <c r="C31">
        <v>0.98</v>
      </c>
      <c r="D31" t="s">
        <v>119</v>
      </c>
    </row>
    <row r="32" spans="1:4" x14ac:dyDescent="0.35">
      <c r="A32" t="s">
        <v>115</v>
      </c>
      <c r="B32">
        <v>1.66</v>
      </c>
      <c r="C32">
        <v>1.66</v>
      </c>
      <c r="D32" t="s">
        <v>119</v>
      </c>
    </row>
    <row r="33" spans="1:5" x14ac:dyDescent="0.35">
      <c r="A33" t="s">
        <v>116</v>
      </c>
      <c r="B33">
        <v>1.4490000000000001</v>
      </c>
      <c r="C33">
        <v>1.4490000000000001</v>
      </c>
      <c r="D33" t="s">
        <v>13</v>
      </c>
    </row>
    <row r="34" spans="1:5" x14ac:dyDescent="0.35">
      <c r="A34" t="s">
        <v>117</v>
      </c>
      <c r="B34">
        <v>0.83599999999999997</v>
      </c>
      <c r="C34">
        <v>0.83599999999999997</v>
      </c>
      <c r="D34" t="s">
        <v>7</v>
      </c>
    </row>
    <row r="35" spans="1:5" x14ac:dyDescent="0.35">
      <c r="A35" t="s">
        <v>118</v>
      </c>
      <c r="B35">
        <v>0.72</v>
      </c>
      <c r="C35">
        <v>0.72</v>
      </c>
      <c r="D35" t="s">
        <v>7</v>
      </c>
    </row>
    <row r="36" spans="1:5" x14ac:dyDescent="0.35">
      <c r="A36" t="s">
        <v>120</v>
      </c>
      <c r="B36">
        <v>1.17</v>
      </c>
      <c r="C36">
        <v>1.17</v>
      </c>
      <c r="D36" t="s">
        <v>7</v>
      </c>
    </row>
    <row r="38" spans="1:5" x14ac:dyDescent="0.35">
      <c r="A38" t="s">
        <v>107</v>
      </c>
    </row>
    <row r="40" spans="1:5" x14ac:dyDescent="0.35">
      <c r="A40" t="s">
        <v>106</v>
      </c>
      <c r="B40" cm="1">
        <f t="array" ref="B40:E41">[1]!GLV_p_atma(B10,B15,B3,0.7,B24,1)</f>
        <v>41.347770290248647</v>
      </c>
      <c r="C40">
        <v>18883.241003364103</v>
      </c>
      <c r="D40">
        <v>1</v>
      </c>
      <c r="E40" t="b">
        <v>0</v>
      </c>
    </row>
    <row r="41" spans="1:5" x14ac:dyDescent="0.35">
      <c r="B41" t="str">
        <v>p</v>
      </c>
      <c r="C41" t="str">
        <v>Qmax_m3day</v>
      </c>
      <c r="D41" t="str">
        <v>Pcrit</v>
      </c>
      <c r="E41" t="str">
        <v>critical flow</v>
      </c>
    </row>
    <row r="43" spans="1:5" x14ac:dyDescent="0.35">
      <c r="A43" t="s">
        <v>135</v>
      </c>
      <c r="B43" t="str" cm="1">
        <f t="array" ref="B43">[1]!PVT_encode_string(,B34,B36,,B9,B30,B25,B33,B31)</f>
        <v>{"gamma_gas":0.6,"gamma_oil":0.836,"gamma_wat":1.17,"rsb_m3m3":100,"rp_m3m3":3445.09671351691,"pb_atma":206,"t_res_C":37,"bob_m3m3":1.449,"muob_cP":0.98}</v>
      </c>
    </row>
    <row r="44" spans="1:5" x14ac:dyDescent="0.35">
      <c r="A44" t="s">
        <v>136</v>
      </c>
      <c r="B44" t="str" cm="1">
        <f t="array" ref="B44">[1]!PVT_encode_string(,B34,B36,,,B30,B25,B33,B31,,,,,1)</f>
        <v>{"gamma_gas":0.6,"gamma_oil":0.836,"gamma_wat":1.17,"rsb_m3m3":100,"pb_atma":206,"t_res_C":37,"bob_m3m3":1.449,"muob_cP":0.98,"gas_only":true}</v>
      </c>
    </row>
    <row r="45" spans="1:5" x14ac:dyDescent="0.35">
      <c r="A45" t="s">
        <v>137</v>
      </c>
      <c r="B45" t="str" cm="1">
        <f t="array" ref="B45">[1]!PVT_encode_string(,C34,C36,,C9,C30,C25,C33,C31)</f>
        <v>{"gamma_gas":0.6,"gamma_oil":0.836,"gamma_wat":1.17,"rsb_m3m3":100,"rp_m3m3":1243.81103348229,"pb_atma":206,"t_res_C":37,"bob_m3m3":1.449,"muob_cP":0.98}</v>
      </c>
    </row>
    <row r="46" spans="1:5" x14ac:dyDescent="0.35">
      <c r="A46" t="s">
        <v>138</v>
      </c>
      <c r="B46" t="str" cm="1">
        <f t="array" ref="B46">[1]!PVT_encode_string(,C34,C36,,,C30,C25,C33,C31,,,,,1)</f>
        <v>{"gamma_gas":0.6,"gamma_oil":0.836,"gamma_wat":1.17,"rsb_m3m3":100,"pb_atma":206,"t_res_C":37,"bob_m3m3":1.449,"muob_cP":0.98,"gas_only":true}</v>
      </c>
    </row>
    <row r="48" spans="1:5" x14ac:dyDescent="0.35">
      <c r="A48" t="s">
        <v>108</v>
      </c>
    </row>
    <row r="49" spans="2:45" x14ac:dyDescent="0.35">
      <c r="B49" s="13" t="s">
        <v>129</v>
      </c>
      <c r="C49" s="13"/>
      <c r="D49" s="13"/>
      <c r="E49" s="13"/>
      <c r="F49" s="13"/>
      <c r="G49" s="13"/>
      <c r="H49" s="13"/>
      <c r="I49" s="13"/>
      <c r="J49" s="13"/>
      <c r="M49" s="13" t="s">
        <v>130</v>
      </c>
      <c r="N49" s="13"/>
      <c r="O49" s="13"/>
      <c r="P49" s="13"/>
      <c r="Q49" s="13"/>
      <c r="R49" s="13"/>
      <c r="S49" s="13"/>
      <c r="T49" s="13"/>
      <c r="U49" s="13"/>
      <c r="Y49" s="13" t="s">
        <v>133</v>
      </c>
      <c r="Z49" s="13"/>
      <c r="AA49" s="13"/>
      <c r="AB49" s="13"/>
      <c r="AC49" s="13"/>
      <c r="AD49" s="13"/>
      <c r="AE49" s="13"/>
      <c r="AF49" s="13"/>
      <c r="AG49" s="13"/>
      <c r="AK49" s="13" t="s">
        <v>134</v>
      </c>
      <c r="AL49" s="13"/>
      <c r="AM49" s="13"/>
      <c r="AN49" s="13"/>
      <c r="AO49" s="13"/>
      <c r="AP49" s="13"/>
      <c r="AQ49" s="13"/>
      <c r="AR49" s="13"/>
      <c r="AS49" s="13"/>
    </row>
    <row r="50" spans="2:45" x14ac:dyDescent="0.35">
      <c r="B50" cm="1">
        <f t="array" ref="B50:J72">[1]!MF_p_pipeline_atma(B14,B24,B23,F4:G5,B10,0,0,B3,B44,1,,1)</f>
        <v>63.855968493014785</v>
      </c>
      <c r="C50">
        <v>20</v>
      </c>
      <c r="D50">
        <v>63.855968493014785</v>
      </c>
      <c r="E50">
        <v>20</v>
      </c>
      <c r="F50">
        <v>77</v>
      </c>
      <c r="G50">
        <v>36.298390425092862</v>
      </c>
      <c r="H50">
        <v>1</v>
      </c>
      <c r="I50">
        <v>1</v>
      </c>
      <c r="J50">
        <v>5000</v>
      </c>
      <c r="M50" cm="1">
        <f t="array" ref="M50:U72">[1]!MF_p_pipeline_atma(B21,B25,B24,F5:G6,B12,B96,B22,,B43,0,,1)</f>
        <v>47.098157782919571</v>
      </c>
      <c r="N50">
        <v>36.298390425092897</v>
      </c>
      <c r="O50">
        <v>47.098157782919571</v>
      </c>
      <c r="P50">
        <v>36.298390425092897</v>
      </c>
      <c r="Q50">
        <v>50</v>
      </c>
      <c r="R50">
        <v>37</v>
      </c>
      <c r="S50">
        <v>1</v>
      </c>
      <c r="T50">
        <v>1</v>
      </c>
      <c r="U50">
        <v>9000.0000000000018</v>
      </c>
      <c r="X50" cm="1">
        <f t="array" ref="X50:AF72">[1]!MF_p_pipeline_atma(C14,C24,C23,H4:I5,C10,0,0,C3,B44,1,,1)</f>
        <v>63.627265077482463</v>
      </c>
      <c r="Y50">
        <v>20</v>
      </c>
      <c r="Z50">
        <v>63.627265077482463</v>
      </c>
      <c r="AA50">
        <v>20</v>
      </c>
      <c r="AB50">
        <v>74</v>
      </c>
      <c r="AC50">
        <v>36.141414141414145</v>
      </c>
      <c r="AD50">
        <v>1</v>
      </c>
      <c r="AE50">
        <v>1</v>
      </c>
      <c r="AF50">
        <v>10000</v>
      </c>
      <c r="AK50" cm="1">
        <f t="array" ref="AK50:AS72">[1]!MF_p_pipeline_atma(C21,C25,C24,H5:I6,C12,C96,C22,,B45,1,,1)</f>
        <v>54.247297039849201</v>
      </c>
      <c r="AL50">
        <v>36.141414141414103</v>
      </c>
      <c r="AM50">
        <v>54.247297039849201</v>
      </c>
      <c r="AN50">
        <v>36.141414141414103</v>
      </c>
      <c r="AO50">
        <v>55</v>
      </c>
      <c r="AP50">
        <v>37</v>
      </c>
      <c r="AQ50">
        <v>1</v>
      </c>
      <c r="AR50">
        <v>1</v>
      </c>
      <c r="AS50">
        <v>31950.00000000012</v>
      </c>
    </row>
    <row r="51" spans="2:45" x14ac:dyDescent="0.35">
      <c r="B51" t="str">
        <v>p_result_atma</v>
      </c>
      <c r="C51" t="str">
        <v>t_result_C</v>
      </c>
      <c r="D51" t="str">
        <v>p_1, atma</v>
      </c>
      <c r="E51" t="str">
        <v>t_1, C</v>
      </c>
      <c r="F51" t="str">
        <v>p_2, atma</v>
      </c>
      <c r="G51" t="str">
        <v>t_2, C</v>
      </c>
      <c r="H51" t="str">
        <v>c_calibr_grav</v>
      </c>
      <c r="I51" t="str">
        <v>c_calibr_fric</v>
      </c>
      <c r="J51" t="str">
        <v>q_gas_sm3day</v>
      </c>
      <c r="M51" t="str">
        <v>p_result_atma</v>
      </c>
      <c r="N51" t="str">
        <v>t_result_C</v>
      </c>
      <c r="O51" t="str">
        <v>p_1, atma</v>
      </c>
      <c r="P51" t="str">
        <v>t_1, C</v>
      </c>
      <c r="Q51" t="str">
        <v>p_2, atma</v>
      </c>
      <c r="R51" t="str">
        <v>t_2, C</v>
      </c>
      <c r="S51" t="str">
        <v>c_calibr_grav</v>
      </c>
      <c r="T51" t="str">
        <v>c_calibr_fric</v>
      </c>
      <c r="U51" t="str">
        <v>q_gas_sm3day</v>
      </c>
      <c r="X51" t="str">
        <v>p_result_atma</v>
      </c>
      <c r="Y51" t="str">
        <v>t_result_C</v>
      </c>
      <c r="Z51" t="str">
        <v>p_1, atma</v>
      </c>
      <c r="AA51" t="str">
        <v>t_1, C</v>
      </c>
      <c r="AB51" t="str">
        <v>p_2, atma</v>
      </c>
      <c r="AC51" t="str">
        <v>t_2, C</v>
      </c>
      <c r="AD51" t="str">
        <v>c_calibr_grav</v>
      </c>
      <c r="AE51" t="str">
        <v>c_calibr_fric</v>
      </c>
      <c r="AF51" t="str">
        <v>q_gas_sm3day</v>
      </c>
      <c r="AK51" t="str">
        <v>p_result_atma</v>
      </c>
      <c r="AL51" t="str">
        <v>t_result_C</v>
      </c>
      <c r="AM51" t="str">
        <v>p_1, atma</v>
      </c>
      <c r="AN51" t="str">
        <v>t_1, C</v>
      </c>
      <c r="AO51" t="str">
        <v>p_2, atma</v>
      </c>
      <c r="AP51" t="str">
        <v>t_2, C</v>
      </c>
      <c r="AQ51" t="str">
        <v>c_calibr_grav</v>
      </c>
      <c r="AR51" t="str">
        <v>c_calibr_fric</v>
      </c>
      <c r="AS51" t="str">
        <v>q_gas_sm3day</v>
      </c>
    </row>
    <row r="52" spans="2:45" x14ac:dyDescent="0.35">
      <c r="B52" t="str">
        <v>num</v>
      </c>
      <c r="C52" t="str">
        <v>h,m</v>
      </c>
      <c r="D52" t="str">
        <v>hvert,m</v>
      </c>
      <c r="E52" t="str">
        <v>p,atma</v>
      </c>
      <c r="F52" t="str">
        <v>t,C</v>
      </c>
      <c r="G52" t="str">
        <v>Hl</v>
      </c>
      <c r="H52" t="str">
        <v>fpat</v>
      </c>
      <c r="I52" t="str">
        <v>t_amb, C</v>
      </c>
      <c r="J52" t="str">
        <v>diam, m</v>
      </c>
      <c r="M52" t="str">
        <v>num</v>
      </c>
      <c r="N52" t="str">
        <v>h,m</v>
      </c>
      <c r="O52" t="str">
        <v>hvert,m</v>
      </c>
      <c r="P52" t="str">
        <v>p,atma</v>
      </c>
      <c r="Q52" t="str">
        <v>t,C</v>
      </c>
      <c r="R52" t="str">
        <v>Hl</v>
      </c>
      <c r="S52" t="str">
        <v>fpat</v>
      </c>
      <c r="T52" t="str">
        <v>t_amb, C</v>
      </c>
      <c r="U52" t="str">
        <v>diam, m</v>
      </c>
      <c r="X52" t="str">
        <v>num</v>
      </c>
      <c r="Y52" t="str">
        <v>h,m</v>
      </c>
      <c r="Z52" t="str">
        <v>hvert,m</v>
      </c>
      <c r="AA52" t="str">
        <v>p,atma</v>
      </c>
      <c r="AB52" t="str">
        <v>t,C</v>
      </c>
      <c r="AC52" t="str">
        <v>Hl</v>
      </c>
      <c r="AD52" t="str">
        <v>fpat</v>
      </c>
      <c r="AE52" t="str">
        <v>t_amb, C</v>
      </c>
      <c r="AF52" t="str">
        <v>diam, m</v>
      </c>
      <c r="AK52" t="str">
        <v>num</v>
      </c>
      <c r="AL52" t="str">
        <v>h,m</v>
      </c>
      <c r="AM52" t="str">
        <v>hvert,m</v>
      </c>
      <c r="AN52" t="str">
        <v>p,atma</v>
      </c>
      <c r="AO52" t="str">
        <v>t,C</v>
      </c>
      <c r="AP52" t="str">
        <v>Hl</v>
      </c>
      <c r="AQ52" t="str">
        <v>fpat</v>
      </c>
      <c r="AR52" t="str">
        <v>t_amb, C</v>
      </c>
      <c r="AS52" t="str">
        <v>diam, m</v>
      </c>
    </row>
    <row r="53" spans="2:45" x14ac:dyDescent="0.35">
      <c r="B53">
        <v>1</v>
      </c>
      <c r="C53">
        <v>0</v>
      </c>
      <c r="D53">
        <v>0</v>
      </c>
      <c r="E53">
        <v>63.855968493014785</v>
      </c>
      <c r="F53">
        <v>20</v>
      </c>
      <c r="G53">
        <v>0</v>
      </c>
      <c r="H53">
        <v>101</v>
      </c>
      <c r="I53">
        <v>20</v>
      </c>
      <c r="J53">
        <v>6.0000000000000001E-3</v>
      </c>
      <c r="M53">
        <v>1</v>
      </c>
      <c r="N53">
        <v>2323</v>
      </c>
      <c r="O53">
        <v>2323</v>
      </c>
      <c r="P53">
        <v>47.098157782919571</v>
      </c>
      <c r="Q53">
        <v>36.298390425092897</v>
      </c>
      <c r="R53">
        <v>0.34683344991538434</v>
      </c>
      <c r="S53">
        <v>0</v>
      </c>
      <c r="T53">
        <v>36.298390425092897</v>
      </c>
      <c r="U53">
        <v>0.13197999999999999</v>
      </c>
      <c r="X53">
        <v>1</v>
      </c>
      <c r="Y53">
        <v>0</v>
      </c>
      <c r="Z53">
        <v>0</v>
      </c>
      <c r="AA53">
        <v>63.627265077482463</v>
      </c>
      <c r="AB53">
        <v>20</v>
      </c>
      <c r="AC53">
        <v>0</v>
      </c>
      <c r="AD53">
        <v>101</v>
      </c>
      <c r="AE53">
        <v>20</v>
      </c>
      <c r="AF53">
        <v>6.0000000000000001E-3</v>
      </c>
      <c r="AK53">
        <v>1</v>
      </c>
      <c r="AL53">
        <v>1880</v>
      </c>
      <c r="AM53">
        <v>1880</v>
      </c>
      <c r="AN53">
        <v>54.247297039849201</v>
      </c>
      <c r="AO53">
        <v>36.141414141414103</v>
      </c>
      <c r="AP53">
        <v>4.8699633166838389E-2</v>
      </c>
      <c r="AQ53">
        <v>0</v>
      </c>
      <c r="AR53">
        <v>36.141414141414103</v>
      </c>
      <c r="AS53">
        <v>0.16866</v>
      </c>
    </row>
    <row r="54" spans="2:45" x14ac:dyDescent="0.35">
      <c r="B54">
        <v>2</v>
      </c>
      <c r="C54">
        <v>122.26315789473684</v>
      </c>
      <c r="D54">
        <v>122.26315789473684</v>
      </c>
      <c r="E54">
        <v>64.506800316421817</v>
      </c>
      <c r="F54">
        <v>20.857810022373307</v>
      </c>
      <c r="G54">
        <v>0</v>
      </c>
      <c r="H54">
        <v>101</v>
      </c>
      <c r="I54">
        <v>20.857810022373307</v>
      </c>
      <c r="J54">
        <v>6.0000000000000001E-3</v>
      </c>
      <c r="M54">
        <v>2</v>
      </c>
      <c r="N54">
        <v>2328.2631578947367</v>
      </c>
      <c r="O54">
        <v>2328.2631578947367</v>
      </c>
      <c r="P54">
        <v>47.250886320660641</v>
      </c>
      <c r="Q54">
        <v>36.33531724482485</v>
      </c>
      <c r="R54">
        <v>0.34762100968416654</v>
      </c>
      <c r="S54">
        <v>0</v>
      </c>
      <c r="T54">
        <v>36.33531724482485</v>
      </c>
      <c r="U54">
        <v>0.13197999999999999</v>
      </c>
      <c r="X54">
        <v>2</v>
      </c>
      <c r="Y54">
        <v>98.94736842105263</v>
      </c>
      <c r="Z54">
        <v>98.94736842105263</v>
      </c>
      <c r="AA54">
        <v>64.150979099670764</v>
      </c>
      <c r="AB54">
        <v>20.849548112706007</v>
      </c>
      <c r="AC54">
        <v>0</v>
      </c>
      <c r="AD54">
        <v>101</v>
      </c>
      <c r="AE54">
        <v>20.849548112706007</v>
      </c>
      <c r="AF54">
        <v>6.0000000000000001E-3</v>
      </c>
      <c r="AK54">
        <v>2</v>
      </c>
      <c r="AL54">
        <v>1885.2631578947369</v>
      </c>
      <c r="AM54">
        <v>1885.2631578947369</v>
      </c>
      <c r="AN54">
        <v>54.286912985120296</v>
      </c>
      <c r="AO54">
        <v>36.18660287081336</v>
      </c>
      <c r="AP54">
        <v>4.8733914617458622E-2</v>
      </c>
      <c r="AQ54">
        <v>0</v>
      </c>
      <c r="AR54">
        <v>36.18660287081336</v>
      </c>
      <c r="AS54">
        <v>0.16866</v>
      </c>
    </row>
    <row r="55" spans="2:45" x14ac:dyDescent="0.35">
      <c r="B55">
        <v>3</v>
      </c>
      <c r="C55">
        <v>244.52631578947367</v>
      </c>
      <c r="D55">
        <v>244.52631578947367</v>
      </c>
      <c r="E55">
        <v>65.162013773881341</v>
      </c>
      <c r="F55">
        <v>21.715620044746615</v>
      </c>
      <c r="G55">
        <v>0</v>
      </c>
      <c r="H55">
        <v>101</v>
      </c>
      <c r="I55">
        <v>21.715620044746615</v>
      </c>
      <c r="J55">
        <v>6.0000000000000001E-3</v>
      </c>
      <c r="M55">
        <v>3</v>
      </c>
      <c r="N55">
        <v>2333.5263157894738</v>
      </c>
      <c r="O55">
        <v>2333.5263157894738</v>
      </c>
      <c r="P55">
        <v>47.403614858401724</v>
      </c>
      <c r="Q55">
        <v>36.372244064556803</v>
      </c>
      <c r="R55">
        <v>0.34840856945294885</v>
      </c>
      <c r="S55">
        <v>0</v>
      </c>
      <c r="T55">
        <v>36.372244064556803</v>
      </c>
      <c r="U55">
        <v>0.13197999999999999</v>
      </c>
      <c r="X55">
        <v>3</v>
      </c>
      <c r="Y55">
        <v>197.89473684210526</v>
      </c>
      <c r="Z55">
        <v>197.89473684210526</v>
      </c>
      <c r="AA55">
        <v>64.677169301208608</v>
      </c>
      <c r="AB55">
        <v>21.699096225412013</v>
      </c>
      <c r="AC55">
        <v>0</v>
      </c>
      <c r="AD55">
        <v>101</v>
      </c>
      <c r="AE55">
        <v>21.699096225412013</v>
      </c>
      <c r="AF55">
        <v>6.0000000000000001E-3</v>
      </c>
      <c r="AK55">
        <v>3</v>
      </c>
      <c r="AL55">
        <v>1890.5263157894738</v>
      </c>
      <c r="AM55">
        <v>1890.5263157894738</v>
      </c>
      <c r="AN55">
        <v>54.32652893039139</v>
      </c>
      <c r="AO55">
        <v>36.231791600212617</v>
      </c>
      <c r="AP55">
        <v>4.8768196068078862E-2</v>
      </c>
      <c r="AQ55">
        <v>0</v>
      </c>
      <c r="AR55">
        <v>36.231791600212617</v>
      </c>
      <c r="AS55">
        <v>0.16866</v>
      </c>
    </row>
    <row r="56" spans="2:45" x14ac:dyDescent="0.35">
      <c r="B56">
        <v>4</v>
      </c>
      <c r="C56">
        <v>366.78947368421052</v>
      </c>
      <c r="D56">
        <v>366.78947368421052</v>
      </c>
      <c r="E56">
        <v>65.821617687303643</v>
      </c>
      <c r="F56">
        <v>22.573430067119926</v>
      </c>
      <c r="G56">
        <v>0</v>
      </c>
      <c r="H56">
        <v>101</v>
      </c>
      <c r="I56">
        <v>22.573430067119926</v>
      </c>
      <c r="J56">
        <v>6.0000000000000001E-3</v>
      </c>
      <c r="M56">
        <v>4</v>
      </c>
      <c r="N56">
        <v>2338.7894736842104</v>
      </c>
      <c r="O56">
        <v>2338.7894736842104</v>
      </c>
      <c r="P56">
        <v>47.556343396142793</v>
      </c>
      <c r="Q56">
        <v>36.409170884288756</v>
      </c>
      <c r="R56">
        <v>0.34919612922173104</v>
      </c>
      <c r="S56">
        <v>0</v>
      </c>
      <c r="T56">
        <v>36.409170884288756</v>
      </c>
      <c r="U56">
        <v>0.13197999999999999</v>
      </c>
      <c r="X56">
        <v>4</v>
      </c>
      <c r="Y56">
        <v>296.84210526315792</v>
      </c>
      <c r="Z56">
        <v>296.84210526315792</v>
      </c>
      <c r="AA56">
        <v>65.205834890370227</v>
      </c>
      <c r="AB56">
        <v>22.548644338118024</v>
      </c>
      <c r="AC56">
        <v>0</v>
      </c>
      <c r="AD56">
        <v>101</v>
      </c>
      <c r="AE56">
        <v>22.548644338118024</v>
      </c>
      <c r="AF56">
        <v>6.0000000000000001E-3</v>
      </c>
      <c r="AK56">
        <v>4</v>
      </c>
      <c r="AL56">
        <v>1895.7894736842106</v>
      </c>
      <c r="AM56">
        <v>1895.7894736842106</v>
      </c>
      <c r="AN56">
        <v>54.366144875662485</v>
      </c>
      <c r="AO56">
        <v>36.276980329611874</v>
      </c>
      <c r="AP56">
        <v>4.8802477518699094E-2</v>
      </c>
      <c r="AQ56">
        <v>0</v>
      </c>
      <c r="AR56">
        <v>36.276980329611874</v>
      </c>
      <c r="AS56">
        <v>0.16866</v>
      </c>
    </row>
    <row r="57" spans="2:45" x14ac:dyDescent="0.35">
      <c r="B57">
        <v>5</v>
      </c>
      <c r="C57">
        <v>489.05263157894734</v>
      </c>
      <c r="D57">
        <v>489.05263157894734</v>
      </c>
      <c r="E57">
        <v>66.485620662293201</v>
      </c>
      <c r="F57">
        <v>23.431240089493233</v>
      </c>
      <c r="G57">
        <v>0</v>
      </c>
      <c r="H57">
        <v>101</v>
      </c>
      <c r="I57">
        <v>23.431240089493233</v>
      </c>
      <c r="J57">
        <v>6.0000000000000001E-3</v>
      </c>
      <c r="M57">
        <v>5</v>
      </c>
      <c r="N57">
        <v>2344.0526315789475</v>
      </c>
      <c r="O57">
        <v>2344.0526315789475</v>
      </c>
      <c r="P57">
        <v>47.709071933883877</v>
      </c>
      <c r="Q57">
        <v>36.446097704020708</v>
      </c>
      <c r="R57">
        <v>0.34998368899051335</v>
      </c>
      <c r="S57">
        <v>0</v>
      </c>
      <c r="T57">
        <v>36.446097704020708</v>
      </c>
      <c r="U57">
        <v>0.13197999999999999</v>
      </c>
      <c r="X57">
        <v>5</v>
      </c>
      <c r="Y57">
        <v>395.78947368421052</v>
      </c>
      <c r="Z57">
        <v>395.78947368421052</v>
      </c>
      <c r="AA57">
        <v>65.736974998692986</v>
      </c>
      <c r="AB57">
        <v>23.39819245082403</v>
      </c>
      <c r="AC57">
        <v>0</v>
      </c>
      <c r="AD57">
        <v>101</v>
      </c>
      <c r="AE57">
        <v>23.39819245082403</v>
      </c>
      <c r="AF57">
        <v>6.0000000000000001E-3</v>
      </c>
      <c r="AK57">
        <v>5</v>
      </c>
      <c r="AL57">
        <v>1901.0526315789473</v>
      </c>
      <c r="AM57">
        <v>1901.0526315789473</v>
      </c>
      <c r="AN57">
        <v>54.40576082093358</v>
      </c>
      <c r="AO57">
        <v>36.322169059011131</v>
      </c>
      <c r="AP57">
        <v>4.8836758969319334E-2</v>
      </c>
      <c r="AQ57">
        <v>0</v>
      </c>
      <c r="AR57">
        <v>36.322169059011131</v>
      </c>
      <c r="AS57">
        <v>0.16866</v>
      </c>
    </row>
    <row r="58" spans="2:45" x14ac:dyDescent="0.35">
      <c r="B58">
        <v>6</v>
      </c>
      <c r="C58">
        <v>611.31578947368416</v>
      </c>
      <c r="D58">
        <v>611.31578947368416</v>
      </c>
      <c r="E58">
        <v>67.154376852506786</v>
      </c>
      <c r="F58">
        <v>24.289050111866544</v>
      </c>
      <c r="G58">
        <v>0</v>
      </c>
      <c r="H58">
        <v>101</v>
      </c>
      <c r="I58">
        <v>24.289050111866544</v>
      </c>
      <c r="J58">
        <v>6.0000000000000001E-3</v>
      </c>
      <c r="M58">
        <v>6</v>
      </c>
      <c r="N58">
        <v>2349.3157894736842</v>
      </c>
      <c r="O58">
        <v>2349.3157894736842</v>
      </c>
      <c r="P58">
        <v>47.861800471624946</v>
      </c>
      <c r="Q58">
        <v>36.483024523752661</v>
      </c>
      <c r="R58">
        <v>0.35077124875929555</v>
      </c>
      <c r="S58">
        <v>0</v>
      </c>
      <c r="T58">
        <v>36.483024523752661</v>
      </c>
      <c r="U58">
        <v>0.13197999999999999</v>
      </c>
      <c r="X58">
        <v>6</v>
      </c>
      <c r="Y58">
        <v>494.73684210526312</v>
      </c>
      <c r="Z58">
        <v>494.73684210526312</v>
      </c>
      <c r="AA58">
        <v>66.270588681515179</v>
      </c>
      <c r="AB58">
        <v>24.247740563530037</v>
      </c>
      <c r="AC58">
        <v>0</v>
      </c>
      <c r="AD58">
        <v>101</v>
      </c>
      <c r="AE58">
        <v>24.247740563530037</v>
      </c>
      <c r="AF58">
        <v>6.0000000000000001E-3</v>
      </c>
      <c r="AK58">
        <v>6</v>
      </c>
      <c r="AL58">
        <v>1906.3157894736842</v>
      </c>
      <c r="AM58">
        <v>1906.3157894736842</v>
      </c>
      <c r="AN58">
        <v>54.445376766204674</v>
      </c>
      <c r="AO58">
        <v>36.367357788410388</v>
      </c>
      <c r="AP58">
        <v>4.8871040419939567E-2</v>
      </c>
      <c r="AQ58">
        <v>0</v>
      </c>
      <c r="AR58">
        <v>36.367357788410388</v>
      </c>
      <c r="AS58">
        <v>0.16866</v>
      </c>
    </row>
    <row r="59" spans="2:45" x14ac:dyDescent="0.35">
      <c r="B59">
        <v>7</v>
      </c>
      <c r="C59">
        <v>733.57894736842104</v>
      </c>
      <c r="D59">
        <v>733.57894736842104</v>
      </c>
      <c r="E59">
        <v>67.827884767133725</v>
      </c>
      <c r="F59">
        <v>25.146860134239851</v>
      </c>
      <c r="G59">
        <v>0</v>
      </c>
      <c r="H59">
        <v>101</v>
      </c>
      <c r="I59">
        <v>25.146860134239851</v>
      </c>
      <c r="J59">
        <v>6.0000000000000001E-3</v>
      </c>
      <c r="M59">
        <v>7</v>
      </c>
      <c r="N59">
        <v>2354.5789473684213</v>
      </c>
      <c r="O59">
        <v>2354.5789473684213</v>
      </c>
      <c r="P59">
        <v>48.014529009366029</v>
      </c>
      <c r="Q59">
        <v>36.519951343484614</v>
      </c>
      <c r="R59">
        <v>0.3515588085280778</v>
      </c>
      <c r="S59">
        <v>0</v>
      </c>
      <c r="T59">
        <v>36.519951343484614</v>
      </c>
      <c r="U59">
        <v>0.13197999999999999</v>
      </c>
      <c r="X59">
        <v>7</v>
      </c>
      <c r="Y59">
        <v>593.68421052631584</v>
      </c>
      <c r="Z59">
        <v>593.68421052631584</v>
      </c>
      <c r="AA59">
        <v>66.806674918533432</v>
      </c>
      <c r="AB59">
        <v>25.097288676236047</v>
      </c>
      <c r="AC59">
        <v>0</v>
      </c>
      <c r="AD59">
        <v>101</v>
      </c>
      <c r="AE59">
        <v>25.097288676236047</v>
      </c>
      <c r="AF59">
        <v>6.0000000000000001E-3</v>
      </c>
      <c r="AK59">
        <v>7</v>
      </c>
      <c r="AL59">
        <v>1911.578947368421</v>
      </c>
      <c r="AM59">
        <v>1911.578947368421</v>
      </c>
      <c r="AN59">
        <v>54.484992711475769</v>
      </c>
      <c r="AO59">
        <v>36.412546517809652</v>
      </c>
      <c r="AP59">
        <v>4.8905321870559806E-2</v>
      </c>
      <c r="AQ59">
        <v>0</v>
      </c>
      <c r="AR59">
        <v>36.412546517809652</v>
      </c>
      <c r="AS59">
        <v>0.16866</v>
      </c>
    </row>
    <row r="60" spans="2:45" x14ac:dyDescent="0.35">
      <c r="B60">
        <v>8</v>
      </c>
      <c r="C60">
        <v>855.8421052631578</v>
      </c>
      <c r="D60">
        <v>855.8421052631578</v>
      </c>
      <c r="E60">
        <v>68.505818302221712</v>
      </c>
      <c r="F60">
        <v>26.004670156613159</v>
      </c>
      <c r="G60">
        <v>0</v>
      </c>
      <c r="H60">
        <v>101</v>
      </c>
      <c r="I60">
        <v>26.004670156613159</v>
      </c>
      <c r="J60">
        <v>6.0000000000000001E-3</v>
      </c>
      <c r="M60">
        <v>8</v>
      </c>
      <c r="N60">
        <v>2359.8421052631579</v>
      </c>
      <c r="O60">
        <v>2359.8421052631579</v>
      </c>
      <c r="P60">
        <v>48.167257547107099</v>
      </c>
      <c r="Q60">
        <v>36.556878163216567</v>
      </c>
      <c r="R60">
        <v>0.35234636829686006</v>
      </c>
      <c r="S60">
        <v>0</v>
      </c>
      <c r="T60">
        <v>36.556878163216567</v>
      </c>
      <c r="U60">
        <v>0.13197999999999999</v>
      </c>
      <c r="X60">
        <v>8</v>
      </c>
      <c r="Y60">
        <v>692.63157894736844</v>
      </c>
      <c r="Z60">
        <v>692.63157894736844</v>
      </c>
      <c r="AA60">
        <v>67.345232614378787</v>
      </c>
      <c r="AB60">
        <v>25.946836788942054</v>
      </c>
      <c r="AC60">
        <v>0</v>
      </c>
      <c r="AD60">
        <v>101</v>
      </c>
      <c r="AE60">
        <v>25.946836788942054</v>
      </c>
      <c r="AF60">
        <v>6.0000000000000001E-3</v>
      </c>
      <c r="AK60">
        <v>8</v>
      </c>
      <c r="AL60">
        <v>1916.8421052631579</v>
      </c>
      <c r="AM60">
        <v>1916.8421052631579</v>
      </c>
      <c r="AN60">
        <v>54.524608656746864</v>
      </c>
      <c r="AO60">
        <v>36.457735247208909</v>
      </c>
      <c r="AP60">
        <v>4.8939603321180039E-2</v>
      </c>
      <c r="AQ60">
        <v>0</v>
      </c>
      <c r="AR60">
        <v>36.457735247208909</v>
      </c>
      <c r="AS60">
        <v>0.16866</v>
      </c>
    </row>
    <row r="61" spans="2:45" x14ac:dyDescent="0.35">
      <c r="B61">
        <v>9</v>
      </c>
      <c r="C61">
        <v>978.10526315789468</v>
      </c>
      <c r="D61">
        <v>978.10526315789468</v>
      </c>
      <c r="E61">
        <v>69.188185106690199</v>
      </c>
      <c r="F61">
        <v>26.862480178986466</v>
      </c>
      <c r="G61">
        <v>0</v>
      </c>
      <c r="H61">
        <v>101</v>
      </c>
      <c r="I61">
        <v>26.862480178986466</v>
      </c>
      <c r="J61">
        <v>6.0000000000000001E-3</v>
      </c>
      <c r="M61">
        <v>9</v>
      </c>
      <c r="N61">
        <v>2365.1052631578946</v>
      </c>
      <c r="O61">
        <v>2365.1052631578946</v>
      </c>
      <c r="P61">
        <v>48.319986084848168</v>
      </c>
      <c r="Q61">
        <v>36.593804982948519</v>
      </c>
      <c r="R61">
        <v>0.35313392806564226</v>
      </c>
      <c r="S61">
        <v>0</v>
      </c>
      <c r="T61">
        <v>36.593804982948519</v>
      </c>
      <c r="U61">
        <v>0.13197999999999999</v>
      </c>
      <c r="X61">
        <v>9</v>
      </c>
      <c r="Y61">
        <v>791.57894736842104</v>
      </c>
      <c r="Z61">
        <v>791.57894736842104</v>
      </c>
      <c r="AA61">
        <v>67.886260599211113</v>
      </c>
      <c r="AB61">
        <v>26.796384901648061</v>
      </c>
      <c r="AC61">
        <v>0</v>
      </c>
      <c r="AD61">
        <v>101</v>
      </c>
      <c r="AE61">
        <v>26.796384901648061</v>
      </c>
      <c r="AF61">
        <v>6.0000000000000001E-3</v>
      </c>
      <c r="AK61">
        <v>9</v>
      </c>
      <c r="AL61">
        <v>1922.1052631578948</v>
      </c>
      <c r="AM61">
        <v>1922.1052631578948</v>
      </c>
      <c r="AN61">
        <v>54.564224602017958</v>
      </c>
      <c r="AO61">
        <v>36.502923976608166</v>
      </c>
      <c r="AP61">
        <v>4.8973884771800272E-2</v>
      </c>
      <c r="AQ61">
        <v>0</v>
      </c>
      <c r="AR61">
        <v>36.502923976608166</v>
      </c>
      <c r="AS61">
        <v>0.16866</v>
      </c>
    </row>
    <row r="62" spans="2:45" x14ac:dyDescent="0.35">
      <c r="B62">
        <v>10</v>
      </c>
      <c r="C62">
        <v>1100.3684210526314</v>
      </c>
      <c r="D62">
        <v>1100.3684210526314</v>
      </c>
      <c r="E62">
        <v>69.875003947556124</v>
      </c>
      <c r="F62">
        <v>27.720290201359774</v>
      </c>
      <c r="G62">
        <v>0</v>
      </c>
      <c r="H62">
        <v>101</v>
      </c>
      <c r="I62">
        <v>27.720290201359774</v>
      </c>
      <c r="J62">
        <v>6.0000000000000001E-3</v>
      </c>
      <c r="M62">
        <v>10</v>
      </c>
      <c r="N62">
        <v>2370.3684210526317</v>
      </c>
      <c r="O62">
        <v>2370.3684210526317</v>
      </c>
      <c r="P62">
        <v>48.472714622589251</v>
      </c>
      <c r="Q62">
        <v>36.630731802680472</v>
      </c>
      <c r="R62">
        <v>0.35392148783442451</v>
      </c>
      <c r="S62">
        <v>0</v>
      </c>
      <c r="T62">
        <v>36.630731802680472</v>
      </c>
      <c r="U62">
        <v>0.13197999999999999</v>
      </c>
      <c r="X62">
        <v>10</v>
      </c>
      <c r="Y62">
        <v>890.52631578947364</v>
      </c>
      <c r="Z62">
        <v>890.52631578947364</v>
      </c>
      <c r="AA62">
        <v>68.429757629331363</v>
      </c>
      <c r="AB62">
        <v>27.645933014354068</v>
      </c>
      <c r="AC62">
        <v>0</v>
      </c>
      <c r="AD62">
        <v>101</v>
      </c>
      <c r="AE62">
        <v>27.645933014354068</v>
      </c>
      <c r="AF62">
        <v>6.0000000000000001E-3</v>
      </c>
      <c r="AK62">
        <v>10</v>
      </c>
      <c r="AL62">
        <v>1927.3684210526317</v>
      </c>
      <c r="AM62">
        <v>1927.3684210526317</v>
      </c>
      <c r="AN62">
        <v>54.603840547289053</v>
      </c>
      <c r="AO62">
        <v>36.548112706007423</v>
      </c>
      <c r="AP62">
        <v>4.9008166222420511E-2</v>
      </c>
      <c r="AQ62">
        <v>0</v>
      </c>
      <c r="AR62">
        <v>36.548112706007423</v>
      </c>
      <c r="AS62">
        <v>0.16866</v>
      </c>
    </row>
    <row r="63" spans="2:45" x14ac:dyDescent="0.35">
      <c r="B63">
        <v>11</v>
      </c>
      <c r="C63">
        <v>1222.6315789473683</v>
      </c>
      <c r="D63">
        <v>1222.6315789473683</v>
      </c>
      <c r="E63">
        <v>70.5669455979464</v>
      </c>
      <c r="F63">
        <v>28.578100223733085</v>
      </c>
      <c r="G63">
        <v>0</v>
      </c>
      <c r="H63">
        <v>101</v>
      </c>
      <c r="I63">
        <v>28.578100223733085</v>
      </c>
      <c r="J63">
        <v>6.0000000000000001E-3</v>
      </c>
      <c r="M63">
        <v>11</v>
      </c>
      <c r="N63">
        <v>2375.6315789473683</v>
      </c>
      <c r="O63">
        <v>2375.6315789473683</v>
      </c>
      <c r="P63">
        <v>48.62544316033032</v>
      </c>
      <c r="Q63">
        <v>36.667658622412425</v>
      </c>
      <c r="R63">
        <v>0.35470904760320676</v>
      </c>
      <c r="S63">
        <v>0</v>
      </c>
      <c r="T63">
        <v>36.667658622412425</v>
      </c>
      <c r="U63">
        <v>0.13197999999999999</v>
      </c>
      <c r="X63">
        <v>11</v>
      </c>
      <c r="Y63">
        <v>989.47368421052624</v>
      </c>
      <c r="Z63">
        <v>989.47368421052624</v>
      </c>
      <c r="AA63">
        <v>68.97572238781099</v>
      </c>
      <c r="AB63">
        <v>28.495481127060074</v>
      </c>
      <c r="AC63">
        <v>0</v>
      </c>
      <c r="AD63">
        <v>101</v>
      </c>
      <c r="AE63">
        <v>28.495481127060074</v>
      </c>
      <c r="AF63">
        <v>6.0000000000000001E-3</v>
      </c>
      <c r="AK63">
        <v>11</v>
      </c>
      <c r="AL63">
        <v>1932.6315789473683</v>
      </c>
      <c r="AM63">
        <v>1932.6315789473683</v>
      </c>
      <c r="AN63">
        <v>54.643456492560148</v>
      </c>
      <c r="AO63">
        <v>36.59330143540668</v>
      </c>
      <c r="AP63">
        <v>4.9042447673040744E-2</v>
      </c>
      <c r="AQ63">
        <v>0</v>
      </c>
      <c r="AR63">
        <v>36.59330143540668</v>
      </c>
      <c r="AS63">
        <v>0.16866</v>
      </c>
    </row>
    <row r="64" spans="2:45" x14ac:dyDescent="0.35">
      <c r="B64">
        <v>12</v>
      </c>
      <c r="C64">
        <v>1344.8947368421052</v>
      </c>
      <c r="D64">
        <v>1344.8947368421052</v>
      </c>
      <c r="E64">
        <v>71.263343927190093</v>
      </c>
      <c r="F64">
        <v>29.435910246106392</v>
      </c>
      <c r="G64">
        <v>0</v>
      </c>
      <c r="H64">
        <v>101</v>
      </c>
      <c r="I64">
        <v>29.435910246106392</v>
      </c>
      <c r="J64">
        <v>6.0000000000000001E-3</v>
      </c>
      <c r="M64">
        <v>12</v>
      </c>
      <c r="N64">
        <v>2380.8947368421054</v>
      </c>
      <c r="O64">
        <v>2380.8947368421054</v>
      </c>
      <c r="P64">
        <v>48.778171698071404</v>
      </c>
      <c r="Q64">
        <v>36.704585442144378</v>
      </c>
      <c r="R64">
        <v>0.35549660737198902</v>
      </c>
      <c r="S64">
        <v>0</v>
      </c>
      <c r="T64">
        <v>36.704585442144378</v>
      </c>
      <c r="U64">
        <v>0.13197999999999999</v>
      </c>
      <c r="X64">
        <v>12</v>
      </c>
      <c r="Y64">
        <v>1088.421052631579</v>
      </c>
      <c r="Z64">
        <v>1088.421052631579</v>
      </c>
      <c r="AA64">
        <v>69.524153485137759</v>
      </c>
      <c r="AB64">
        <v>29.345029239766085</v>
      </c>
      <c r="AC64">
        <v>0</v>
      </c>
      <c r="AD64">
        <v>101</v>
      </c>
      <c r="AE64">
        <v>29.345029239766085</v>
      </c>
      <c r="AF64">
        <v>6.0000000000000001E-3</v>
      </c>
      <c r="AK64">
        <v>12</v>
      </c>
      <c r="AL64">
        <v>1937.8947368421052</v>
      </c>
      <c r="AM64">
        <v>1937.8947368421052</v>
      </c>
      <c r="AN64">
        <v>54.683072437831242</v>
      </c>
      <c r="AO64">
        <v>36.638490164805937</v>
      </c>
      <c r="AP64">
        <v>4.9076729123660984E-2</v>
      </c>
      <c r="AQ64">
        <v>0</v>
      </c>
      <c r="AR64">
        <v>36.638490164805937</v>
      </c>
      <c r="AS64">
        <v>0.16866</v>
      </c>
    </row>
    <row r="65" spans="1:45" x14ac:dyDescent="0.35">
      <c r="B65">
        <v>13</v>
      </c>
      <c r="C65">
        <v>1467.1578947368421</v>
      </c>
      <c r="D65">
        <v>1467.1578947368421</v>
      </c>
      <c r="E65">
        <v>71.964205608571149</v>
      </c>
      <c r="F65">
        <v>30.293720268479699</v>
      </c>
      <c r="G65">
        <v>0</v>
      </c>
      <c r="H65">
        <v>101</v>
      </c>
      <c r="I65">
        <v>30.293720268479699</v>
      </c>
      <c r="J65">
        <v>6.0000000000000001E-3</v>
      </c>
      <c r="M65">
        <v>13</v>
      </c>
      <c r="N65">
        <v>2386.1578947368421</v>
      </c>
      <c r="O65">
        <v>2386.1578947368421</v>
      </c>
      <c r="P65">
        <v>48.930900235812473</v>
      </c>
      <c r="Q65">
        <v>36.741512261876331</v>
      </c>
      <c r="R65">
        <v>0.35628416714077121</v>
      </c>
      <c r="S65">
        <v>0</v>
      </c>
      <c r="T65">
        <v>36.741512261876331</v>
      </c>
      <c r="U65">
        <v>0.13197999999999999</v>
      </c>
      <c r="X65">
        <v>13</v>
      </c>
      <c r="Y65">
        <v>1187.3684210526317</v>
      </c>
      <c r="Z65">
        <v>1187.3684210526317</v>
      </c>
      <c r="AA65">
        <v>70.07504945987786</v>
      </c>
      <c r="AB65">
        <v>30.194577352472091</v>
      </c>
      <c r="AC65">
        <v>0</v>
      </c>
      <c r="AD65">
        <v>101</v>
      </c>
      <c r="AE65">
        <v>30.194577352472091</v>
      </c>
      <c r="AF65">
        <v>6.0000000000000001E-3</v>
      </c>
      <c r="AK65">
        <v>13</v>
      </c>
      <c r="AL65">
        <v>1943.1578947368421</v>
      </c>
      <c r="AM65">
        <v>1943.1578947368421</v>
      </c>
      <c r="AN65">
        <v>54.722688383102337</v>
      </c>
      <c r="AO65">
        <v>36.683678894205194</v>
      </c>
      <c r="AP65">
        <v>4.9111010574281216E-2</v>
      </c>
      <c r="AQ65">
        <v>0</v>
      </c>
      <c r="AR65">
        <v>36.683678894205194</v>
      </c>
      <c r="AS65">
        <v>0.16866</v>
      </c>
    </row>
    <row r="66" spans="1:45" x14ac:dyDescent="0.35">
      <c r="B66">
        <v>14</v>
      </c>
      <c r="C66">
        <v>1589.421052631579</v>
      </c>
      <c r="D66">
        <v>1589.421052631579</v>
      </c>
      <c r="E66">
        <v>72.669537089376561</v>
      </c>
      <c r="F66">
        <v>31.15153029085301</v>
      </c>
      <c r="G66">
        <v>0</v>
      </c>
      <c r="H66">
        <v>101</v>
      </c>
      <c r="I66">
        <v>31.15153029085301</v>
      </c>
      <c r="J66">
        <v>6.0000000000000001E-3</v>
      </c>
      <c r="M66">
        <v>14</v>
      </c>
      <c r="N66">
        <v>2391.4210526315787</v>
      </c>
      <c r="O66">
        <v>2391.4210526315787</v>
      </c>
      <c r="P66">
        <v>49.083628773553542</v>
      </c>
      <c r="Q66">
        <v>36.778439081608283</v>
      </c>
      <c r="R66">
        <v>0.35707172690955347</v>
      </c>
      <c r="S66">
        <v>0</v>
      </c>
      <c r="T66">
        <v>36.778439081608283</v>
      </c>
      <c r="U66">
        <v>0.13197999999999999</v>
      </c>
      <c r="X66">
        <v>14</v>
      </c>
      <c r="Y66">
        <v>1286.3157894736842</v>
      </c>
      <c r="Z66">
        <v>1286.3157894736842</v>
      </c>
      <c r="AA66">
        <v>70.628408779353094</v>
      </c>
      <c r="AB66">
        <v>31.044125465178102</v>
      </c>
      <c r="AC66">
        <v>0</v>
      </c>
      <c r="AD66">
        <v>101</v>
      </c>
      <c r="AE66">
        <v>31.044125465178102</v>
      </c>
      <c r="AF66">
        <v>6.0000000000000001E-3</v>
      </c>
      <c r="AK66">
        <v>14</v>
      </c>
      <c r="AL66">
        <v>1948.421052631579</v>
      </c>
      <c r="AM66">
        <v>1948.421052631579</v>
      </c>
      <c r="AN66">
        <v>54.762304328373432</v>
      </c>
      <c r="AO66">
        <v>36.728867623604451</v>
      </c>
      <c r="AP66">
        <v>4.9145292024901449E-2</v>
      </c>
      <c r="AQ66">
        <v>0</v>
      </c>
      <c r="AR66">
        <v>36.728867623604451</v>
      </c>
      <c r="AS66">
        <v>0.16866</v>
      </c>
    </row>
    <row r="67" spans="1:45" x14ac:dyDescent="0.35">
      <c r="B67">
        <v>15</v>
      </c>
      <c r="C67">
        <v>1711.6842105263156</v>
      </c>
      <c r="D67">
        <v>1711.6842105263156</v>
      </c>
      <c r="E67">
        <v>73.379706968756551</v>
      </c>
      <c r="F67">
        <v>32.009340313226318</v>
      </c>
      <c r="G67">
        <v>0</v>
      </c>
      <c r="H67">
        <v>101</v>
      </c>
      <c r="I67">
        <v>32.009340313226318</v>
      </c>
      <c r="J67">
        <v>6.0000000000000001E-3</v>
      </c>
      <c r="M67">
        <v>15</v>
      </c>
      <c r="N67">
        <v>2396.6842105263158</v>
      </c>
      <c r="O67">
        <v>2396.6842105263158</v>
      </c>
      <c r="P67">
        <v>49.236357311294626</v>
      </c>
      <c r="Q67">
        <v>36.815365901340236</v>
      </c>
      <c r="R67">
        <v>0.35785928667833572</v>
      </c>
      <c r="S67">
        <v>0</v>
      </c>
      <c r="T67">
        <v>36.815365901340236</v>
      </c>
      <c r="U67">
        <v>0.13197999999999999</v>
      </c>
      <c r="X67">
        <v>15</v>
      </c>
      <c r="Y67">
        <v>1385.2631578947369</v>
      </c>
      <c r="Z67">
        <v>1385.2631578947369</v>
      </c>
      <c r="AA67">
        <v>71.184229840333131</v>
      </c>
      <c r="AB67">
        <v>31.893673577884105</v>
      </c>
      <c r="AC67">
        <v>0</v>
      </c>
      <c r="AD67">
        <v>101</v>
      </c>
      <c r="AE67">
        <v>31.893673577884105</v>
      </c>
      <c r="AF67">
        <v>6.0000000000000001E-3</v>
      </c>
      <c r="AK67">
        <v>15</v>
      </c>
      <c r="AL67">
        <v>1953.6842105263158</v>
      </c>
      <c r="AM67">
        <v>1953.6842105263158</v>
      </c>
      <c r="AN67">
        <v>54.801920273644527</v>
      </c>
      <c r="AO67">
        <v>36.774056353003715</v>
      </c>
      <c r="AP67">
        <v>4.9179573475521689E-2</v>
      </c>
      <c r="AQ67">
        <v>0</v>
      </c>
      <c r="AR67">
        <v>36.774056353003715</v>
      </c>
      <c r="AS67">
        <v>0.16866</v>
      </c>
    </row>
    <row r="68" spans="1:45" x14ac:dyDescent="0.35">
      <c r="B68">
        <v>16</v>
      </c>
      <c r="C68">
        <v>1833.9473684210525</v>
      </c>
      <c r="D68">
        <v>1833.9473684210525</v>
      </c>
      <c r="E68">
        <v>74.09468813268748</v>
      </c>
      <c r="F68">
        <v>32.867150335599625</v>
      </c>
      <c r="G68">
        <v>0</v>
      </c>
      <c r="H68">
        <v>101</v>
      </c>
      <c r="I68">
        <v>32.867150335599625</v>
      </c>
      <c r="J68">
        <v>6.0000000000000001E-3</v>
      </c>
      <c r="M68">
        <v>16</v>
      </c>
      <c r="N68">
        <v>2401.9473684210525</v>
      </c>
      <c r="O68">
        <v>2401.9473684210525</v>
      </c>
      <c r="P68">
        <v>49.389085849035695</v>
      </c>
      <c r="Q68">
        <v>36.852292721072189</v>
      </c>
      <c r="R68">
        <v>0.35864684644711792</v>
      </c>
      <c r="S68">
        <v>0</v>
      </c>
      <c r="T68">
        <v>36.852292721072189</v>
      </c>
      <c r="U68">
        <v>0.13197999999999999</v>
      </c>
      <c r="X68">
        <v>16</v>
      </c>
      <c r="Y68">
        <v>1484.2105263157894</v>
      </c>
      <c r="Z68">
        <v>1484.2105263157894</v>
      </c>
      <c r="AA68">
        <v>71.74251096974173</v>
      </c>
      <c r="AB68">
        <v>32.743221690590111</v>
      </c>
      <c r="AC68">
        <v>0</v>
      </c>
      <c r="AD68">
        <v>101</v>
      </c>
      <c r="AE68">
        <v>32.743221690590111</v>
      </c>
      <c r="AF68">
        <v>6.0000000000000001E-3</v>
      </c>
      <c r="AK68">
        <v>16</v>
      </c>
      <c r="AL68">
        <v>1958.9473684210527</v>
      </c>
      <c r="AM68">
        <v>1958.9473684210527</v>
      </c>
      <c r="AN68">
        <v>54.841536218915621</v>
      </c>
      <c r="AO68">
        <v>36.819245082402972</v>
      </c>
      <c r="AP68">
        <v>4.9213854926141921E-2</v>
      </c>
      <c r="AQ68">
        <v>0</v>
      </c>
      <c r="AR68">
        <v>36.819245082402972</v>
      </c>
      <c r="AS68">
        <v>0.16866</v>
      </c>
    </row>
    <row r="69" spans="1:45" x14ac:dyDescent="0.35">
      <c r="B69">
        <v>17</v>
      </c>
      <c r="C69">
        <v>1956.2105263157894</v>
      </c>
      <c r="D69">
        <v>1956.2105263157894</v>
      </c>
      <c r="E69">
        <v>74.81415854582751</v>
      </c>
      <c r="F69">
        <v>33.724960357972932</v>
      </c>
      <c r="G69">
        <v>0</v>
      </c>
      <c r="H69">
        <v>101</v>
      </c>
      <c r="I69">
        <v>33.724960357972932</v>
      </c>
      <c r="J69">
        <v>6.0000000000000001E-3</v>
      </c>
      <c r="M69">
        <v>17</v>
      </c>
      <c r="N69">
        <v>2407.2105263157896</v>
      </c>
      <c r="O69">
        <v>2407.2105263157896</v>
      </c>
      <c r="P69">
        <v>49.541814386776778</v>
      </c>
      <c r="Q69">
        <v>36.889219540804142</v>
      </c>
      <c r="R69">
        <v>0.35943440621590023</v>
      </c>
      <c r="S69">
        <v>0</v>
      </c>
      <c r="T69">
        <v>36.889219540804142</v>
      </c>
      <c r="U69">
        <v>0.13197999999999999</v>
      </c>
      <c r="X69">
        <v>17</v>
      </c>
      <c r="Y69">
        <v>1583.1578947368421</v>
      </c>
      <c r="Z69">
        <v>1583.1578947368421</v>
      </c>
      <c r="AA69">
        <v>72.30325042537666</v>
      </c>
      <c r="AB69">
        <v>33.592769803296122</v>
      </c>
      <c r="AC69">
        <v>0</v>
      </c>
      <c r="AD69">
        <v>101</v>
      </c>
      <c r="AE69">
        <v>33.592769803296122</v>
      </c>
      <c r="AF69">
        <v>6.0000000000000001E-3</v>
      </c>
      <c r="AK69">
        <v>17</v>
      </c>
      <c r="AL69">
        <v>1964.2105263157896</v>
      </c>
      <c r="AM69">
        <v>1964.2105263157896</v>
      </c>
      <c r="AN69">
        <v>54.881152164186716</v>
      </c>
      <c r="AO69">
        <v>36.864433811802229</v>
      </c>
      <c r="AP69">
        <v>4.9248136376762161E-2</v>
      </c>
      <c r="AQ69">
        <v>0</v>
      </c>
      <c r="AR69">
        <v>36.864433811802229</v>
      </c>
      <c r="AS69">
        <v>0.16866</v>
      </c>
    </row>
    <row r="70" spans="1:45" x14ac:dyDescent="0.35">
      <c r="B70">
        <v>18</v>
      </c>
      <c r="C70">
        <v>2078.4736842105262</v>
      </c>
      <c r="D70">
        <v>2078.4736842105262</v>
      </c>
      <c r="E70">
        <v>75.538123666968303</v>
      </c>
      <c r="F70">
        <v>34.582770380346247</v>
      </c>
      <c r="G70">
        <v>0</v>
      </c>
      <c r="H70">
        <v>101</v>
      </c>
      <c r="I70">
        <v>34.582770380346247</v>
      </c>
      <c r="J70">
        <v>6.0000000000000001E-3</v>
      </c>
      <c r="M70">
        <v>18</v>
      </c>
      <c r="N70">
        <v>2412.4736842105262</v>
      </c>
      <c r="O70">
        <v>2412.4736842105262</v>
      </c>
      <c r="P70">
        <v>49.694542924517847</v>
      </c>
      <c r="Q70">
        <v>36.926146360536094</v>
      </c>
      <c r="R70">
        <v>0.36022196598468242</v>
      </c>
      <c r="S70">
        <v>0</v>
      </c>
      <c r="T70">
        <v>36.926146360536094</v>
      </c>
      <c r="U70">
        <v>0.13197999999999999</v>
      </c>
      <c r="X70">
        <v>18</v>
      </c>
      <c r="Y70">
        <v>1682.1052631578948</v>
      </c>
      <c r="Z70">
        <v>1682.1052631578948</v>
      </c>
      <c r="AA70">
        <v>72.866446396642488</v>
      </c>
      <c r="AB70">
        <v>34.442317916002132</v>
      </c>
      <c r="AC70">
        <v>0</v>
      </c>
      <c r="AD70">
        <v>101</v>
      </c>
      <c r="AE70">
        <v>34.442317916002132</v>
      </c>
      <c r="AF70">
        <v>6.0000000000000001E-3</v>
      </c>
      <c r="AK70">
        <v>18</v>
      </c>
      <c r="AL70">
        <v>1969.4736842105262</v>
      </c>
      <c r="AM70">
        <v>1969.4736842105262</v>
      </c>
      <c r="AN70">
        <v>54.920768109457811</v>
      </c>
      <c r="AO70">
        <v>36.909622541201486</v>
      </c>
      <c r="AP70">
        <v>4.9282417827382394E-2</v>
      </c>
      <c r="AQ70">
        <v>0</v>
      </c>
      <c r="AR70">
        <v>36.909622541201486</v>
      </c>
      <c r="AS70">
        <v>0.16866</v>
      </c>
    </row>
    <row r="71" spans="1:45" x14ac:dyDescent="0.35">
      <c r="B71">
        <v>19</v>
      </c>
      <c r="C71">
        <v>2200.7368421052629</v>
      </c>
      <c r="D71">
        <v>2200.7368421052629</v>
      </c>
      <c r="E71">
        <v>76.26661169820116</v>
      </c>
      <c r="F71">
        <v>35.440580402719547</v>
      </c>
      <c r="G71">
        <v>0</v>
      </c>
      <c r="H71">
        <v>101</v>
      </c>
      <c r="I71">
        <v>35.440580402719547</v>
      </c>
      <c r="J71">
        <v>6.0000000000000001E-3</v>
      </c>
      <c r="M71">
        <v>19</v>
      </c>
      <c r="N71">
        <v>2417.7368421052633</v>
      </c>
      <c r="O71">
        <v>2417.7368421052633</v>
      </c>
      <c r="P71">
        <v>49.847271462258931</v>
      </c>
      <c r="Q71">
        <v>36.963073180268047</v>
      </c>
      <c r="R71">
        <v>0.36100952575346473</v>
      </c>
      <c r="S71">
        <v>0</v>
      </c>
      <c r="T71">
        <v>36.963073180268047</v>
      </c>
      <c r="U71">
        <v>0.13197999999999999</v>
      </c>
      <c r="X71">
        <v>19</v>
      </c>
      <c r="Y71">
        <v>1781.0526315789473</v>
      </c>
      <c r="Z71">
        <v>1781.0526315789473</v>
      </c>
      <c r="AA71">
        <v>73.432097005295788</v>
      </c>
      <c r="AB71">
        <v>35.291866028708135</v>
      </c>
      <c r="AC71">
        <v>0</v>
      </c>
      <c r="AD71">
        <v>101</v>
      </c>
      <c r="AE71">
        <v>35.291866028708135</v>
      </c>
      <c r="AF71">
        <v>6.0000000000000001E-3</v>
      </c>
      <c r="AK71">
        <v>19</v>
      </c>
      <c r="AL71">
        <v>1974.7368421052631</v>
      </c>
      <c r="AM71">
        <v>1974.7368421052631</v>
      </c>
      <c r="AN71">
        <v>54.960384054728905</v>
      </c>
      <c r="AO71">
        <v>36.954811270600743</v>
      </c>
      <c r="AP71">
        <v>4.9316699278002633E-2</v>
      </c>
      <c r="AQ71">
        <v>0</v>
      </c>
      <c r="AR71">
        <v>36.954811270600743</v>
      </c>
      <c r="AS71">
        <v>0.16866</v>
      </c>
    </row>
    <row r="72" spans="1:45" x14ac:dyDescent="0.35">
      <c r="B72">
        <v>20</v>
      </c>
      <c r="C72">
        <v>2323</v>
      </c>
      <c r="D72">
        <v>2323</v>
      </c>
      <c r="E72">
        <v>77</v>
      </c>
      <c r="F72">
        <v>36.298390425092862</v>
      </c>
      <c r="G72">
        <v>0</v>
      </c>
      <c r="H72">
        <v>101</v>
      </c>
      <c r="I72">
        <v>36.298390425092862</v>
      </c>
      <c r="J72">
        <v>6.0000000000000001E-3</v>
      </c>
      <c r="M72">
        <v>20</v>
      </c>
      <c r="N72">
        <v>2423</v>
      </c>
      <c r="O72">
        <v>2423</v>
      </c>
      <c r="P72">
        <v>50</v>
      </c>
      <c r="Q72">
        <v>37</v>
      </c>
      <c r="R72">
        <v>0.36179708552224693</v>
      </c>
      <c r="S72">
        <v>0</v>
      </c>
      <c r="T72">
        <v>37</v>
      </c>
      <c r="U72">
        <v>0.13197999999999999</v>
      </c>
      <c r="X72">
        <v>20</v>
      </c>
      <c r="Y72">
        <v>1880</v>
      </c>
      <c r="Z72">
        <v>1880</v>
      </c>
      <c r="AA72">
        <v>74</v>
      </c>
      <c r="AB72">
        <v>36.141414141414145</v>
      </c>
      <c r="AC72">
        <v>0</v>
      </c>
      <c r="AD72">
        <v>101</v>
      </c>
      <c r="AE72">
        <v>36.141414141414145</v>
      </c>
      <c r="AF72">
        <v>6.0000000000000001E-3</v>
      </c>
      <c r="AK72">
        <v>20</v>
      </c>
      <c r="AL72">
        <v>1980</v>
      </c>
      <c r="AM72">
        <v>1980</v>
      </c>
      <c r="AN72">
        <v>55</v>
      </c>
      <c r="AO72">
        <v>37</v>
      </c>
      <c r="AP72">
        <v>4.9350980728622866E-2</v>
      </c>
      <c r="AQ72">
        <v>0</v>
      </c>
      <c r="AR72">
        <v>37</v>
      </c>
      <c r="AS72">
        <v>0.16866</v>
      </c>
    </row>
    <row r="74" spans="1:45" x14ac:dyDescent="0.35">
      <c r="A74" t="s">
        <v>122</v>
      </c>
      <c r="B74">
        <f>E72</f>
        <v>77</v>
      </c>
      <c r="W74" t="s">
        <v>122</v>
      </c>
      <c r="X74">
        <f>AA72</f>
        <v>74</v>
      </c>
    </row>
    <row r="75" spans="1:45" x14ac:dyDescent="0.35">
      <c r="A75" t="s">
        <v>123</v>
      </c>
      <c r="B75">
        <f>P53</f>
        <v>47.098157782919571</v>
      </c>
      <c r="W75" t="s">
        <v>123</v>
      </c>
      <c r="X75">
        <f>AN53</f>
        <v>54.247297039849201</v>
      </c>
    </row>
    <row r="77" spans="1:45" x14ac:dyDescent="0.35">
      <c r="A77" t="s">
        <v>124</v>
      </c>
      <c r="B77" cm="1">
        <f t="array" ref="B77:D78">[1]!GLV_q_gas_sm3day(B97,B74,B75,0.8,B24)</f>
        <v>1.1896511530863702E-5</v>
      </c>
      <c r="C77">
        <v>42.953857864836145</v>
      </c>
      <c r="D77" t="b">
        <v>0</v>
      </c>
      <c r="W77" t="s">
        <v>124</v>
      </c>
      <c r="X77" cm="1">
        <f t="array" ref="X77:Z78">[1]!GLV_q_gas_sm3day(C97,X74,X75,0.8,C24)</f>
        <v>14999.999999673142</v>
      </c>
      <c r="Y77">
        <v>41.279505998533274</v>
      </c>
      <c r="Z77" t="b">
        <v>0</v>
      </c>
    </row>
    <row r="78" spans="1:45" x14ac:dyDescent="0.35">
      <c r="B78" t="str">
        <v>q_gas_sm3day</v>
      </c>
      <c r="C78" t="str">
        <v>p_crit_atma</v>
      </c>
      <c r="D78" t="str">
        <v>critical flow</v>
      </c>
      <c r="X78" t="str">
        <v>q_gas_sm3day</v>
      </c>
      <c r="Y78" t="str">
        <v>p_crit_atma</v>
      </c>
      <c r="Z78" t="str">
        <v>critical flow</v>
      </c>
    </row>
    <row r="79" spans="1:45" x14ac:dyDescent="0.35">
      <c r="M79" s="13" t="s">
        <v>131</v>
      </c>
      <c r="N79" s="13"/>
      <c r="O79" s="13"/>
      <c r="P79" s="13"/>
      <c r="Q79" s="13"/>
      <c r="R79" s="13"/>
      <c r="S79" s="13"/>
      <c r="T79" s="13"/>
      <c r="U79" s="13"/>
    </row>
    <row r="80" spans="1:45" x14ac:dyDescent="0.35">
      <c r="M80" cm="1">
        <f t="array" ref="M80:U102">[1]!MF_p_pipeline_atma(P53,B24,B23,F4:G5,B12,B96,B22,B77,B43,0,,1)</f>
        <v>6.3013113222439303</v>
      </c>
      <c r="N80">
        <v>20</v>
      </c>
      <c r="O80">
        <v>6.3013113222439303</v>
      </c>
      <c r="P80">
        <v>20</v>
      </c>
      <c r="Q80">
        <v>47.098157782919571</v>
      </c>
      <c r="R80">
        <v>36.298390425092862</v>
      </c>
      <c r="S80">
        <v>1</v>
      </c>
      <c r="T80">
        <v>1</v>
      </c>
      <c r="U80">
        <v>9000.0000118965145</v>
      </c>
      <c r="AK80" cm="1">
        <f t="array" ref="AK80:AS102">[1]!MF_p_pipeline_atma(X75,C24,C23,H4:I5,C12,C96,C22,X77,B45,0,,1)</f>
        <v>8.8313234745484959</v>
      </c>
      <c r="AL80">
        <v>20</v>
      </c>
      <c r="AM80">
        <v>8.8313234745484959</v>
      </c>
      <c r="AN80">
        <v>20</v>
      </c>
      <c r="AO80">
        <v>54.247297039849201</v>
      </c>
      <c r="AP80">
        <v>36.141414141414145</v>
      </c>
      <c r="AQ80">
        <v>1</v>
      </c>
      <c r="AR80">
        <v>1</v>
      </c>
      <c r="AS80">
        <v>46949.999999673259</v>
      </c>
    </row>
    <row r="81" spans="1:45" x14ac:dyDescent="0.35">
      <c r="M81" t="str">
        <v>p_result_atma</v>
      </c>
      <c r="N81" t="str">
        <v>t_result_C</v>
      </c>
      <c r="O81" t="str">
        <v>p_1, atma</v>
      </c>
      <c r="P81" t="str">
        <v>t_1, C</v>
      </c>
      <c r="Q81" t="str">
        <v>p_2, atma</v>
      </c>
      <c r="R81" t="str">
        <v>t_2, C</v>
      </c>
      <c r="S81" t="str">
        <v>c_calibr_grav</v>
      </c>
      <c r="T81" t="str">
        <v>c_calibr_fric</v>
      </c>
      <c r="U81" t="str">
        <v>q_gas_sm3day</v>
      </c>
      <c r="AK81" t="str">
        <v>p_result_atma</v>
      </c>
      <c r="AL81" t="str">
        <v>t_result_C</v>
      </c>
      <c r="AM81" t="str">
        <v>p_1, atma</v>
      </c>
      <c r="AN81" t="str">
        <v>t_1, C</v>
      </c>
      <c r="AO81" t="str">
        <v>p_2, atma</v>
      </c>
      <c r="AP81" t="str">
        <v>t_2, C</v>
      </c>
      <c r="AQ81" t="str">
        <v>c_calibr_grav</v>
      </c>
      <c r="AR81" t="str">
        <v>c_calibr_fric</v>
      </c>
      <c r="AS81" t="str">
        <v>q_gas_sm3day</v>
      </c>
    </row>
    <row r="82" spans="1:45" x14ac:dyDescent="0.35">
      <c r="A82" s="12" t="s">
        <v>139</v>
      </c>
      <c r="B82" s="12"/>
      <c r="C82" s="12"/>
      <c r="D82" s="12"/>
      <c r="E82" s="12"/>
      <c r="M82" t="str">
        <v>num</v>
      </c>
      <c r="N82" t="str">
        <v>h,m</v>
      </c>
      <c r="O82" t="str">
        <v>hvert,m</v>
      </c>
      <c r="P82" t="str">
        <v>p,atma</v>
      </c>
      <c r="Q82" t="str">
        <v>t,C</v>
      </c>
      <c r="R82" t="str">
        <v>Hl</v>
      </c>
      <c r="S82" t="str">
        <v>fpat</v>
      </c>
      <c r="T82" t="str">
        <v>t_amb, C</v>
      </c>
      <c r="U82" t="str">
        <v>diam, m</v>
      </c>
      <c r="AK82" t="str">
        <v>num</v>
      </c>
      <c r="AL82" t="str">
        <v>h,m</v>
      </c>
      <c r="AM82" t="str">
        <v>hvert,m</v>
      </c>
      <c r="AN82" t="str">
        <v>p,atma</v>
      </c>
      <c r="AO82" t="str">
        <v>t,C</v>
      </c>
      <c r="AP82" t="str">
        <v>Hl</v>
      </c>
      <c r="AQ82" t="str">
        <v>fpat</v>
      </c>
      <c r="AR82" t="str">
        <v>t_amb, C</v>
      </c>
      <c r="AS82" t="str">
        <v>diam, m</v>
      </c>
    </row>
    <row r="83" spans="1:45" x14ac:dyDescent="0.35">
      <c r="A83" s="4" t="s">
        <v>143</v>
      </c>
      <c r="B83" s="4" t="s">
        <v>47</v>
      </c>
      <c r="C83" s="4" t="s">
        <v>140</v>
      </c>
      <c r="D83" s="4" t="s">
        <v>141</v>
      </c>
      <c r="E83" s="4" t="s">
        <v>146</v>
      </c>
      <c r="M83">
        <v>1</v>
      </c>
      <c r="N83">
        <v>0</v>
      </c>
      <c r="O83">
        <v>0</v>
      </c>
      <c r="P83">
        <v>6.3013113222439303</v>
      </c>
      <c r="Q83">
        <v>20</v>
      </c>
      <c r="R83">
        <v>9.8009471006914498E-2</v>
      </c>
      <c r="S83">
        <v>0</v>
      </c>
      <c r="T83">
        <v>20</v>
      </c>
      <c r="U83">
        <v>0.13197999999999999</v>
      </c>
      <c r="AK83">
        <v>1</v>
      </c>
      <c r="AL83">
        <v>0</v>
      </c>
      <c r="AM83">
        <v>0</v>
      </c>
      <c r="AN83">
        <v>8.8313234745484959</v>
      </c>
      <c r="AO83">
        <v>20</v>
      </c>
      <c r="AP83">
        <v>0.14803033399956267</v>
      </c>
      <c r="AQ83">
        <v>0</v>
      </c>
      <c r="AR83">
        <v>20</v>
      </c>
      <c r="AS83">
        <v>0.16866</v>
      </c>
    </row>
    <row r="84" spans="1:45" x14ac:dyDescent="0.35">
      <c r="A84" s="4" t="s">
        <v>142</v>
      </c>
      <c r="B84" s="8">
        <f>B77+X77</f>
        <v>15000.000011569653</v>
      </c>
      <c r="C84" s="8">
        <f>D84</f>
        <v>15000</v>
      </c>
      <c r="D84" s="8">
        <v>15000</v>
      </c>
      <c r="E84" s="8" t="s">
        <v>145</v>
      </c>
      <c r="M84">
        <v>2</v>
      </c>
      <c r="N84">
        <v>122.26315789473684</v>
      </c>
      <c r="O84">
        <v>122.26315789473684</v>
      </c>
      <c r="P84">
        <v>7.3758259409510627</v>
      </c>
      <c r="Q84">
        <v>20.857810022373307</v>
      </c>
      <c r="R84">
        <v>0.10758791947937937</v>
      </c>
      <c r="S84">
        <v>0</v>
      </c>
      <c r="T84">
        <v>20.857810022373307</v>
      </c>
      <c r="U84">
        <v>0.13197999999999999</v>
      </c>
      <c r="AK84">
        <v>2</v>
      </c>
      <c r="AL84">
        <v>98.94736842105263</v>
      </c>
      <c r="AM84">
        <v>98.94736842105263</v>
      </c>
      <c r="AN84">
        <v>10.12333973507544</v>
      </c>
      <c r="AO84">
        <v>20.849548112706007</v>
      </c>
      <c r="AP84">
        <v>0.16071685026719798</v>
      </c>
      <c r="AQ84">
        <v>0</v>
      </c>
      <c r="AR84">
        <v>20.849548112706007</v>
      </c>
      <c r="AS84">
        <v>0.16866</v>
      </c>
    </row>
    <row r="85" spans="1:45" x14ac:dyDescent="0.35">
      <c r="A85" s="4" t="s">
        <v>149</v>
      </c>
      <c r="B85" s="8">
        <f>B77</f>
        <v>1.1896511530863702E-5</v>
      </c>
      <c r="C85" s="8">
        <v>0</v>
      </c>
      <c r="D85" s="8">
        <f>D84</f>
        <v>15000</v>
      </c>
      <c r="E85" s="8" t="s">
        <v>145</v>
      </c>
      <c r="M85">
        <v>3</v>
      </c>
      <c r="N85">
        <v>244.52631578947367</v>
      </c>
      <c r="O85">
        <v>244.52631578947367</v>
      </c>
      <c r="P85">
        <v>8.548565598778243</v>
      </c>
      <c r="Q85">
        <v>21.715620044746615</v>
      </c>
      <c r="R85">
        <v>0.11747479136725757</v>
      </c>
      <c r="S85">
        <v>0</v>
      </c>
      <c r="T85">
        <v>21.715620044746615</v>
      </c>
      <c r="U85">
        <v>0.13197999999999999</v>
      </c>
      <c r="AK85">
        <v>3</v>
      </c>
      <c r="AL85">
        <v>197.89473684210526</v>
      </c>
      <c r="AM85">
        <v>197.89473684210526</v>
      </c>
      <c r="AN85">
        <v>11.52129004425565</v>
      </c>
      <c r="AO85">
        <v>21.699096225412013</v>
      </c>
      <c r="AP85">
        <v>0.17379686087130192</v>
      </c>
      <c r="AQ85">
        <v>0</v>
      </c>
      <c r="AR85">
        <v>21.699096225412013</v>
      </c>
      <c r="AS85">
        <v>0.16866</v>
      </c>
    </row>
    <row r="86" spans="1:45" x14ac:dyDescent="0.35">
      <c r="A86" s="4" t="s">
        <v>150</v>
      </c>
      <c r="B86" s="8">
        <f>X77</f>
        <v>14999.999999673142</v>
      </c>
      <c r="C86" s="8">
        <v>0</v>
      </c>
      <c r="D86" s="8">
        <f>D84</f>
        <v>15000</v>
      </c>
      <c r="E86" s="8" t="s">
        <v>145</v>
      </c>
      <c r="M86">
        <v>4</v>
      </c>
      <c r="N86">
        <v>366.78947368421052</v>
      </c>
      <c r="O86">
        <v>366.78947368421052</v>
      </c>
      <c r="P86">
        <v>9.8224421900689549</v>
      </c>
      <c r="Q86">
        <v>22.573430067119926</v>
      </c>
      <c r="R86">
        <v>0.12767503857615234</v>
      </c>
      <c r="S86">
        <v>0</v>
      </c>
      <c r="T86">
        <v>22.573430067119926</v>
      </c>
      <c r="U86">
        <v>0.13197999999999999</v>
      </c>
      <c r="AK86">
        <v>4</v>
      </c>
      <c r="AL86">
        <v>296.84210526315792</v>
      </c>
      <c r="AM86">
        <v>296.84210526315792</v>
      </c>
      <c r="AN86">
        <v>13.028086305655766</v>
      </c>
      <c r="AO86">
        <v>22.548644338118024</v>
      </c>
      <c r="AP86">
        <v>0.18727969181639673</v>
      </c>
      <c r="AQ86">
        <v>0</v>
      </c>
      <c r="AR86">
        <v>22.548644338118024</v>
      </c>
      <c r="AS86">
        <v>0.16866</v>
      </c>
    </row>
    <row r="87" spans="1:45" x14ac:dyDescent="0.35">
      <c r="A87" s="10" t="s">
        <v>151</v>
      </c>
      <c r="B87" s="8">
        <f>P83</f>
        <v>6.3013113222439303</v>
      </c>
      <c r="C87" s="8">
        <v>6.3013113294416989</v>
      </c>
      <c r="D87" s="8">
        <f>B16</f>
        <v>25</v>
      </c>
      <c r="E87" s="8" t="s">
        <v>15</v>
      </c>
      <c r="M87">
        <v>5</v>
      </c>
      <c r="N87">
        <v>489.05263157894734</v>
      </c>
      <c r="O87">
        <v>489.05263157894734</v>
      </c>
      <c r="P87">
        <v>11.200355871479328</v>
      </c>
      <c r="Q87">
        <v>23.431240089493233</v>
      </c>
      <c r="R87">
        <v>0.13819532952302072</v>
      </c>
      <c r="S87">
        <v>0</v>
      </c>
      <c r="T87">
        <v>23.431240089493233</v>
      </c>
      <c r="U87">
        <v>0.13197999999999999</v>
      </c>
      <c r="AK87">
        <v>5</v>
      </c>
      <c r="AL87">
        <v>395.78947368421052</v>
      </c>
      <c r="AM87">
        <v>395.78947368421052</v>
      </c>
      <c r="AN87">
        <v>14.646611362467702</v>
      </c>
      <c r="AO87">
        <v>23.39819245082403</v>
      </c>
      <c r="AP87">
        <v>0.20117642711575812</v>
      </c>
      <c r="AQ87">
        <v>0</v>
      </c>
      <c r="AR87">
        <v>23.39819245082403</v>
      </c>
      <c r="AS87">
        <v>0.16866</v>
      </c>
    </row>
    <row r="88" spans="1:45" x14ac:dyDescent="0.35">
      <c r="A88" s="10" t="s">
        <v>152</v>
      </c>
      <c r="B88" s="8">
        <f>AN83</f>
        <v>8.8313234745484959</v>
      </c>
      <c r="C88" s="8">
        <v>8.8313234746139582</v>
      </c>
      <c r="D88" s="8">
        <f>C16</f>
        <v>25</v>
      </c>
      <c r="E88" s="8" t="s">
        <v>15</v>
      </c>
      <c r="M88">
        <v>6</v>
      </c>
      <c r="N88">
        <v>611.31578947368416</v>
      </c>
      <c r="O88">
        <v>611.31578947368416</v>
      </c>
      <c r="P88">
        <v>12.693820612338776</v>
      </c>
      <c r="Q88">
        <v>24.289050111866544</v>
      </c>
      <c r="R88">
        <v>0.14907056728124279</v>
      </c>
      <c r="S88">
        <v>0</v>
      </c>
      <c r="T88">
        <v>24.289050111866544</v>
      </c>
      <c r="U88">
        <v>0.13197999999999999</v>
      </c>
      <c r="AK88">
        <v>6</v>
      </c>
      <c r="AL88">
        <v>494.73684210526312</v>
      </c>
      <c r="AM88">
        <v>494.73684210526312</v>
      </c>
      <c r="AN88">
        <v>16.379728347188923</v>
      </c>
      <c r="AO88">
        <v>24.247740563530037</v>
      </c>
      <c r="AP88">
        <v>0.21549991660124138</v>
      </c>
      <c r="AQ88">
        <v>0</v>
      </c>
      <c r="AR88">
        <v>24.247740563530037</v>
      </c>
      <c r="AS88">
        <v>0.16866</v>
      </c>
    </row>
    <row r="89" spans="1:45" x14ac:dyDescent="0.35">
      <c r="M89">
        <v>7</v>
      </c>
      <c r="N89">
        <v>733.57894736842104</v>
      </c>
      <c r="O89">
        <v>733.57894736842104</v>
      </c>
      <c r="P89">
        <v>14.30605162573684</v>
      </c>
      <c r="Q89">
        <v>25.146860134239851</v>
      </c>
      <c r="R89">
        <v>0.16031227533230744</v>
      </c>
      <c r="S89">
        <v>0</v>
      </c>
      <c r="T89">
        <v>25.146860134239851</v>
      </c>
      <c r="U89">
        <v>0.13197999999999999</v>
      </c>
      <c r="AK89">
        <v>7</v>
      </c>
      <c r="AL89">
        <v>593.68421052631584</v>
      </c>
      <c r="AM89">
        <v>593.68421052631584</v>
      </c>
      <c r="AN89">
        <v>18.230288296504614</v>
      </c>
      <c r="AO89">
        <v>25.097288676236047</v>
      </c>
      <c r="AP89">
        <v>0.23026476130595738</v>
      </c>
      <c r="AQ89">
        <v>0</v>
      </c>
      <c r="AR89">
        <v>25.097288676236047</v>
      </c>
      <c r="AS89">
        <v>0.16866</v>
      </c>
    </row>
    <row r="90" spans="1:45" x14ac:dyDescent="0.35">
      <c r="M90">
        <v>8</v>
      </c>
      <c r="N90">
        <v>855.8421052631578</v>
      </c>
      <c r="O90">
        <v>855.8421052631578</v>
      </c>
      <c r="P90">
        <v>16.031837205830449</v>
      </c>
      <c r="Q90">
        <v>26.004670156613159</v>
      </c>
      <c r="R90">
        <v>0.17190770009251896</v>
      </c>
      <c r="S90">
        <v>0</v>
      </c>
      <c r="T90">
        <v>26.004670156613159</v>
      </c>
      <c r="U90">
        <v>0.13197999999999999</v>
      </c>
      <c r="AK90">
        <v>8</v>
      </c>
      <c r="AL90">
        <v>692.63157894736844</v>
      </c>
      <c r="AM90">
        <v>692.63157894736844</v>
      </c>
      <c r="AN90">
        <v>20.201136096931339</v>
      </c>
      <c r="AO90">
        <v>25.946836788942054</v>
      </c>
      <c r="AP90">
        <v>0.24548727561272693</v>
      </c>
      <c r="AQ90">
        <v>0</v>
      </c>
      <c r="AR90">
        <v>25.946836788942054</v>
      </c>
      <c r="AS90">
        <v>0.16866</v>
      </c>
    </row>
    <row r="91" spans="1:45" x14ac:dyDescent="0.35">
      <c r="M91">
        <v>9</v>
      </c>
      <c r="N91">
        <v>978.10526315789468</v>
      </c>
      <c r="O91">
        <v>978.10526315789468</v>
      </c>
      <c r="P91">
        <v>17.874137010108026</v>
      </c>
      <c r="Q91">
        <v>26.862480178986466</v>
      </c>
      <c r="R91">
        <v>0.18387074277508136</v>
      </c>
      <c r="S91">
        <v>0</v>
      </c>
      <c r="T91">
        <v>26.862480178986466</v>
      </c>
      <c r="U91">
        <v>0.13197999999999999</v>
      </c>
      <c r="AK91">
        <v>9</v>
      </c>
      <c r="AL91">
        <v>791.57894736842104</v>
      </c>
      <c r="AM91">
        <v>791.57894736842104</v>
      </c>
      <c r="AN91">
        <v>22.295114698285808</v>
      </c>
      <c r="AO91">
        <v>26.796384901648061</v>
      </c>
      <c r="AP91">
        <v>0.26118542196671835</v>
      </c>
      <c r="AQ91">
        <v>0</v>
      </c>
      <c r="AR91">
        <v>26.796384901648061</v>
      </c>
      <c r="AS91">
        <v>0.16866</v>
      </c>
    </row>
    <row r="92" spans="1:45" x14ac:dyDescent="0.35">
      <c r="M92">
        <v>10</v>
      </c>
      <c r="N92">
        <v>1100.3684210526314</v>
      </c>
      <c r="O92">
        <v>1100.3684210526314</v>
      </c>
      <c r="P92">
        <v>19.83625843105855</v>
      </c>
      <c r="Q92">
        <v>27.720290201359774</v>
      </c>
      <c r="R92">
        <v>0.19621797307077837</v>
      </c>
      <c r="S92">
        <v>0</v>
      </c>
      <c r="T92">
        <v>27.720290201359774</v>
      </c>
      <c r="U92">
        <v>0.13197999999999999</v>
      </c>
      <c r="AK92">
        <v>10</v>
      </c>
      <c r="AL92">
        <v>890.52631578947364</v>
      </c>
      <c r="AM92">
        <v>890.52631578947364</v>
      </c>
      <c r="AN92">
        <v>24.515067421548345</v>
      </c>
      <c r="AO92">
        <v>27.645933014354068</v>
      </c>
      <c r="AP92">
        <v>0.27737871148441928</v>
      </c>
      <c r="AQ92">
        <v>0</v>
      </c>
      <c r="AR92">
        <v>27.645933014354068</v>
      </c>
      <c r="AS92">
        <v>0.16866</v>
      </c>
    </row>
    <row r="93" spans="1:45" x14ac:dyDescent="0.35">
      <c r="M93">
        <v>11</v>
      </c>
      <c r="N93">
        <v>1222.6315789473683</v>
      </c>
      <c r="O93">
        <v>1222.6315789473683</v>
      </c>
      <c r="P93">
        <v>21.939965687751613</v>
      </c>
      <c r="Q93">
        <v>28.578100223733085</v>
      </c>
      <c r="R93">
        <v>0.20902911450911843</v>
      </c>
      <c r="S93">
        <v>0</v>
      </c>
      <c r="T93">
        <v>28.578100223733085</v>
      </c>
      <c r="U93">
        <v>0.13197999999999999</v>
      </c>
      <c r="AK93">
        <v>11</v>
      </c>
      <c r="AL93">
        <v>989.47368421052624</v>
      </c>
      <c r="AM93">
        <v>989.47368421052624</v>
      </c>
      <c r="AN93">
        <v>26.863838088262458</v>
      </c>
      <c r="AO93">
        <v>28.495481127060074</v>
      </c>
      <c r="AP93">
        <v>0.29408806192821674</v>
      </c>
      <c r="AQ93">
        <v>0</v>
      </c>
      <c r="AR93">
        <v>28.495481127060074</v>
      </c>
      <c r="AS93">
        <v>0.16866</v>
      </c>
    </row>
    <row r="94" spans="1:45" x14ac:dyDescent="0.35">
      <c r="A94" s="12" t="s">
        <v>144</v>
      </c>
      <c r="B94" s="12"/>
      <c r="C94" s="12"/>
      <c r="D94" s="12"/>
      <c r="M94">
        <v>12</v>
      </c>
      <c r="N94">
        <v>1344.8947368421052</v>
      </c>
      <c r="O94">
        <v>1344.8947368421052</v>
      </c>
      <c r="P94">
        <v>24.170129823023355</v>
      </c>
      <c r="Q94">
        <v>29.435910246106392</v>
      </c>
      <c r="R94">
        <v>0.22226482979661841</v>
      </c>
      <c r="S94">
        <v>0</v>
      </c>
      <c r="T94">
        <v>29.435910246106392</v>
      </c>
      <c r="U94">
        <v>0.13197999999999999</v>
      </c>
      <c r="AK94">
        <v>12</v>
      </c>
      <c r="AL94">
        <v>1088.421052631579</v>
      </c>
      <c r="AM94">
        <v>1088.421052631579</v>
      </c>
      <c r="AN94">
        <v>29.344268607959467</v>
      </c>
      <c r="AO94">
        <v>29.345029239766085</v>
      </c>
      <c r="AP94">
        <v>0.31133560315097042</v>
      </c>
      <c r="AQ94">
        <v>0</v>
      </c>
      <c r="AR94">
        <v>29.345029239766085</v>
      </c>
      <c r="AS94">
        <v>0.16866</v>
      </c>
    </row>
    <row r="95" spans="1:45" x14ac:dyDescent="0.35">
      <c r="A95" s="4" t="s">
        <v>147</v>
      </c>
      <c r="B95" s="4" t="s">
        <v>82</v>
      </c>
      <c r="C95" s="4" t="s">
        <v>83</v>
      </c>
      <c r="D95" s="4" t="s">
        <v>146</v>
      </c>
      <c r="M95">
        <v>13</v>
      </c>
      <c r="N95">
        <v>1467.1578947368421</v>
      </c>
      <c r="O95">
        <v>1467.1578947368421</v>
      </c>
      <c r="P95">
        <v>26.529897037703133</v>
      </c>
      <c r="Q95">
        <v>30.293720268479699</v>
      </c>
      <c r="R95">
        <v>0.23594603867784092</v>
      </c>
      <c r="S95">
        <v>0</v>
      </c>
      <c r="T95">
        <v>30.293720268479699</v>
      </c>
      <c r="U95">
        <v>0.13197999999999999</v>
      </c>
      <c r="AK95">
        <v>13</v>
      </c>
      <c r="AL95">
        <v>1187.3684210526317</v>
      </c>
      <c r="AM95">
        <v>1187.3684210526317</v>
      </c>
      <c r="AN95">
        <v>31.959193579443451</v>
      </c>
      <c r="AO95">
        <v>30.194577352472091</v>
      </c>
      <c r="AP95">
        <v>0.32914441928584309</v>
      </c>
      <c r="AQ95">
        <v>0</v>
      </c>
      <c r="AR95">
        <v>30.194577352472091</v>
      </c>
      <c r="AS95">
        <v>0.16866</v>
      </c>
    </row>
    <row r="96" spans="1:45" x14ac:dyDescent="0.35">
      <c r="A96" s="4" t="s">
        <v>98</v>
      </c>
      <c r="B96" s="4">
        <v>2.6124085180797136</v>
      </c>
      <c r="C96" s="4">
        <v>25.687181685910843</v>
      </c>
      <c r="D96" s="4" t="s">
        <v>86</v>
      </c>
      <c r="M96">
        <v>14</v>
      </c>
      <c r="N96">
        <v>1589.421052631579</v>
      </c>
      <c r="O96">
        <v>1589.421052631579</v>
      </c>
      <c r="P96">
        <v>29.022464951201354</v>
      </c>
      <c r="Q96">
        <v>31.15153029085301</v>
      </c>
      <c r="R96">
        <v>0.25009516096801326</v>
      </c>
      <c r="S96">
        <v>0</v>
      </c>
      <c r="T96">
        <v>31.15153029085301</v>
      </c>
      <c r="U96">
        <v>0.13197999999999999</v>
      </c>
      <c r="AK96">
        <v>14</v>
      </c>
      <c r="AL96">
        <v>1286.3157894736842</v>
      </c>
      <c r="AM96">
        <v>1286.3157894736842</v>
      </c>
      <c r="AN96">
        <v>34.711431395346764</v>
      </c>
      <c r="AO96">
        <v>31.044125465178102</v>
      </c>
      <c r="AP96">
        <v>0.3475382168041945</v>
      </c>
      <c r="AQ96">
        <v>0</v>
      </c>
      <c r="AR96">
        <v>31.044125465178102</v>
      </c>
      <c r="AS96">
        <v>0.16866</v>
      </c>
    </row>
    <row r="97" spans="1:45" x14ac:dyDescent="0.35">
      <c r="A97" s="4" t="s">
        <v>132</v>
      </c>
      <c r="B97" s="4">
        <v>1.157747777880142E-4</v>
      </c>
      <c r="C97" s="4">
        <v>4.3521974514240256</v>
      </c>
      <c r="D97" s="4" t="s">
        <v>99</v>
      </c>
      <c r="M97">
        <v>15</v>
      </c>
      <c r="N97">
        <v>1711.6842105263156</v>
      </c>
      <c r="O97">
        <v>1711.6842105263156</v>
      </c>
      <c r="P97">
        <v>31.662364663052401</v>
      </c>
      <c r="Q97">
        <v>32.009340313226318</v>
      </c>
      <c r="R97">
        <v>0.26477793513340375</v>
      </c>
      <c r="S97">
        <v>0</v>
      </c>
      <c r="T97">
        <v>32.009340313226318</v>
      </c>
      <c r="U97">
        <v>0.13197999999999999</v>
      </c>
      <c r="AK97">
        <v>15</v>
      </c>
      <c r="AL97">
        <v>1385.2631578947369</v>
      </c>
      <c r="AM97">
        <v>1385.2631578947369</v>
      </c>
      <c r="AN97">
        <v>37.603771294169981</v>
      </c>
      <c r="AO97">
        <v>31.893673577884105</v>
      </c>
      <c r="AP97">
        <v>0.36654090830619035</v>
      </c>
      <c r="AQ97">
        <v>0</v>
      </c>
      <c r="AR97">
        <v>31.893673577884105</v>
      </c>
      <c r="AS97">
        <v>0.16866</v>
      </c>
    </row>
    <row r="98" spans="1:45" x14ac:dyDescent="0.35">
      <c r="M98">
        <v>16</v>
      </c>
      <c r="N98">
        <v>1833.9473684210525</v>
      </c>
      <c r="O98">
        <v>1833.9473684210525</v>
      </c>
      <c r="P98">
        <v>34.45250644645386</v>
      </c>
      <c r="Q98">
        <v>32.867150335599625</v>
      </c>
      <c r="R98">
        <v>0.28002083699595498</v>
      </c>
      <c r="S98">
        <v>0</v>
      </c>
      <c r="T98">
        <v>32.867150335599625</v>
      </c>
      <c r="U98">
        <v>0.13197999999999999</v>
      </c>
      <c r="AK98">
        <v>16</v>
      </c>
      <c r="AL98">
        <v>1484.2105263157894</v>
      </c>
      <c r="AM98">
        <v>1484.2105263157894</v>
      </c>
      <c r="AN98">
        <v>40.638955789586802</v>
      </c>
      <c r="AO98">
        <v>32.743221690590111</v>
      </c>
      <c r="AP98">
        <v>0.38617610381346817</v>
      </c>
      <c r="AQ98">
        <v>0</v>
      </c>
      <c r="AR98">
        <v>32.743221690590111</v>
      </c>
      <c r="AS98">
        <v>0.16866</v>
      </c>
    </row>
    <row r="99" spans="1:45" x14ac:dyDescent="0.35">
      <c r="M99">
        <v>17</v>
      </c>
      <c r="N99">
        <v>1956.2105263157894</v>
      </c>
      <c r="O99">
        <v>1956.2105263157894</v>
      </c>
      <c r="P99">
        <v>37.386237705662005</v>
      </c>
      <c r="Q99">
        <v>33.724960357972932</v>
      </c>
      <c r="R99">
        <v>0.29581402708609028</v>
      </c>
      <c r="S99">
        <v>0</v>
      </c>
      <c r="T99">
        <v>33.724960357972932</v>
      </c>
      <c r="U99">
        <v>0.13197999999999999</v>
      </c>
      <c r="AK99">
        <v>17</v>
      </c>
      <c r="AL99">
        <v>1583.1578947368421</v>
      </c>
      <c r="AM99">
        <v>1583.1578947368421</v>
      </c>
      <c r="AN99">
        <v>43.819657934761814</v>
      </c>
      <c r="AO99">
        <v>33.592769803296122</v>
      </c>
      <c r="AP99">
        <v>0.40646650468550222</v>
      </c>
      <c r="AQ99">
        <v>0</v>
      </c>
      <c r="AR99">
        <v>33.592769803296122</v>
      </c>
      <c r="AS99">
        <v>0.16866</v>
      </c>
    </row>
    <row r="100" spans="1:45" x14ac:dyDescent="0.35">
      <c r="M100">
        <v>18</v>
      </c>
      <c r="N100">
        <v>2078.4736842105262</v>
      </c>
      <c r="O100">
        <v>2078.4736842105262</v>
      </c>
      <c r="P100">
        <v>40.466941019233175</v>
      </c>
      <c r="Q100">
        <v>34.582770380346247</v>
      </c>
      <c r="R100">
        <v>0.31218474873606222</v>
      </c>
      <c r="S100">
        <v>0</v>
      </c>
      <c r="T100">
        <v>34.582770380346247</v>
      </c>
      <c r="U100">
        <v>0.13197999999999999</v>
      </c>
      <c r="AK100">
        <v>18</v>
      </c>
      <c r="AL100">
        <v>1682.1052631578948</v>
      </c>
      <c r="AM100">
        <v>1682.1052631578948</v>
      </c>
      <c r="AN100">
        <v>47.14845296270029</v>
      </c>
      <c r="AO100">
        <v>34.442317916002132</v>
      </c>
      <c r="AP100">
        <v>0.42743320033238136</v>
      </c>
      <c r="AQ100">
        <v>0</v>
      </c>
      <c r="AR100">
        <v>34.442317916002132</v>
      </c>
      <c r="AS100">
        <v>0.16866</v>
      </c>
    </row>
    <row r="101" spans="1:45" x14ac:dyDescent="0.35">
      <c r="A101" s="12" t="s">
        <v>148</v>
      </c>
      <c r="B101" s="12"/>
      <c r="C101" s="12"/>
      <c r="D101" s="9"/>
      <c r="E101" s="8" t="s">
        <v>153</v>
      </c>
      <c r="F101" s="8" t="s">
        <v>154</v>
      </c>
      <c r="M101">
        <v>19</v>
      </c>
      <c r="N101">
        <v>2200.7368421052629</v>
      </c>
      <c r="O101">
        <v>2200.7368421052629</v>
      </c>
      <c r="P101">
        <v>43.698800662841293</v>
      </c>
      <c r="Q101">
        <v>35.440580402719547</v>
      </c>
      <c r="R101">
        <v>0.32916390471033069</v>
      </c>
      <c r="S101">
        <v>0</v>
      </c>
      <c r="T101">
        <v>35.440580402719547</v>
      </c>
      <c r="U101">
        <v>0.13197999999999999</v>
      </c>
      <c r="AK101">
        <v>19</v>
      </c>
      <c r="AL101">
        <v>1781.0526315789473</v>
      </c>
      <c r="AM101">
        <v>1781.0526315789473</v>
      </c>
      <c r="AN101">
        <v>50.627783994999639</v>
      </c>
      <c r="AO101">
        <v>35.291866028708135</v>
      </c>
      <c r="AP101">
        <v>0.44909487479566257</v>
      </c>
      <c r="AQ101">
        <v>0</v>
      </c>
      <c r="AR101">
        <v>35.291866028708135</v>
      </c>
      <c r="AS101">
        <v>0.16866</v>
      </c>
    </row>
    <row r="102" spans="1:45" x14ac:dyDescent="0.35">
      <c r="A102" s="4" t="s">
        <v>81</v>
      </c>
      <c r="B102" s="4">
        <f>B96+C96</f>
        <v>28.299590203990558</v>
      </c>
      <c r="C102" s="4" t="s">
        <v>86</v>
      </c>
      <c r="E102" s="8">
        <v>26.74</v>
      </c>
      <c r="F102" s="8">
        <f>B102</f>
        <v>28.299590203990558</v>
      </c>
      <c r="M102">
        <v>20</v>
      </c>
      <c r="N102">
        <v>2323</v>
      </c>
      <c r="O102">
        <v>2323</v>
      </c>
      <c r="P102">
        <v>47.098157782919571</v>
      </c>
      <c r="Q102">
        <v>36.298390425092862</v>
      </c>
      <c r="R102">
        <v>0.34683344965788471</v>
      </c>
      <c r="S102">
        <v>0</v>
      </c>
      <c r="T102">
        <v>36.298390425092862</v>
      </c>
      <c r="U102">
        <v>0.13197999999999999</v>
      </c>
      <c r="AK102">
        <v>20</v>
      </c>
      <c r="AL102">
        <v>1880</v>
      </c>
      <c r="AM102">
        <v>1880</v>
      </c>
      <c r="AN102">
        <v>54.247297039849201</v>
      </c>
      <c r="AO102">
        <v>36.141414141414145</v>
      </c>
      <c r="AP102">
        <v>0.47140807268688439</v>
      </c>
      <c r="AQ102">
        <v>0</v>
      </c>
      <c r="AR102">
        <v>36.141414141414145</v>
      </c>
      <c r="AS102">
        <v>0.16866</v>
      </c>
    </row>
    <row r="104" spans="1:45" x14ac:dyDescent="0.35">
      <c r="M104" t="s">
        <v>126</v>
      </c>
      <c r="N104">
        <f>P83</f>
        <v>6.3013113222439303</v>
      </c>
      <c r="AK104" t="s">
        <v>126</v>
      </c>
      <c r="AL104">
        <f>AN83</f>
        <v>8.8313234745484959</v>
      </c>
    </row>
    <row r="105" spans="1:45" x14ac:dyDescent="0.35">
      <c r="M105" t="s">
        <v>127</v>
      </c>
      <c r="N105">
        <f>[1]!MF_p_choke_atma(B96,B22,B11,N104,1,B13,P80,,B43,B77)</f>
        <v>6.3013113222439303</v>
      </c>
      <c r="AK105" t="s">
        <v>127</v>
      </c>
      <c r="AL105">
        <f>[1]!MF_p_choke_atma(C96,C22,C11,AK80,1,C13,AN80,,B45,X77)</f>
        <v>8.8313234745484959</v>
      </c>
    </row>
  </sheetData>
  <mergeCells count="12">
    <mergeCell ref="A28:D28"/>
    <mergeCell ref="B49:J49"/>
    <mergeCell ref="Y49:AG49"/>
    <mergeCell ref="AK49:AS49"/>
    <mergeCell ref="F1:H1"/>
    <mergeCell ref="F2:G2"/>
    <mergeCell ref="H2:I2"/>
    <mergeCell ref="A94:D94"/>
    <mergeCell ref="A82:E82"/>
    <mergeCell ref="A101:C101"/>
    <mergeCell ref="M49:U49"/>
    <mergeCell ref="M79:U79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6F185218A3D2244B0A468C124938536" ma:contentTypeVersion="10" ma:contentTypeDescription="Создание документа." ma:contentTypeScope="" ma:versionID="ff99375f91c025a7335acb9c5f4835b2">
  <xsd:schema xmlns:xsd="http://www.w3.org/2001/XMLSchema" xmlns:xs="http://www.w3.org/2001/XMLSchema" xmlns:p="http://schemas.microsoft.com/office/2006/metadata/properties" xmlns:ns3="326952c0-cefa-4438-8769-71f9e924dd40" targetNamespace="http://schemas.microsoft.com/office/2006/metadata/properties" ma:root="true" ma:fieldsID="3de3e42ec92f336319b3433271d5e8e6" ns3:_="">
    <xsd:import namespace="326952c0-cefa-4438-8769-71f9e924dd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52c0-cefa-4438-8769-71f9e924d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97DC3-8D44-488E-9CA1-184F2AA68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952c0-cefa-4438-8769-71f9e924d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148FD-E655-411F-9810-FE0611DC5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62935C-C0B7-41DB-A199-96CFD3E1B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</vt:i4>
      </vt:variant>
    </vt:vector>
  </HeadingPairs>
  <TitlesOfParts>
    <vt:vector size="12" baseType="lpstr">
      <vt:lpstr>Задание 1</vt:lpstr>
      <vt:lpstr>Задание 2</vt:lpstr>
      <vt:lpstr>Газовый_фактор</vt:lpstr>
      <vt:lpstr>Газодержание</vt:lpstr>
      <vt:lpstr>Геотермический_град</vt:lpstr>
      <vt:lpstr>Давление_насыщения</vt:lpstr>
      <vt:lpstr>Давление_УПН</vt:lpstr>
      <vt:lpstr>Плотность_воды</vt:lpstr>
      <vt:lpstr>Плотность_газа</vt:lpstr>
      <vt:lpstr>Плотность_нефти</vt:lpstr>
      <vt:lpstr>Температура_пластовая</vt:lpstr>
      <vt:lpstr>Тпласт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doveva</dc:creator>
  <cp:lastModifiedBy>Голубев Вадим Александрович</cp:lastModifiedBy>
  <dcterms:created xsi:type="dcterms:W3CDTF">2021-03-27T11:31:35Z</dcterms:created>
  <dcterms:modified xsi:type="dcterms:W3CDTF">2021-04-08T22:14:41Z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0x01010016F185218A3D2244B0A468C124938536</vt:lpwstr>
  </property>
</Properties>
</file>