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studies\2nd semester\курсы ГПН\"/>
    </mc:Choice>
  </mc:AlternateContent>
  <xr:revisionPtr revIDLastSave="0" documentId="13_ncr:1_{8061143B-2A00-421F-BDC9-4FD35E5929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d_in">Лист1!$B$7</definedName>
    <definedName name="dens_w">Лист1!$I$10</definedName>
    <definedName name="eps">Лист1!$B$9</definedName>
    <definedName name="gamma_w">Лист1!$B$5</definedName>
    <definedName name="h">Лист1!$B$6</definedName>
    <definedName name="MD">Лист1!$B$11</definedName>
    <definedName name="n">Лист1!$B$17</definedName>
    <definedName name="p_wh">Лист1!$B$10</definedName>
    <definedName name="q_liq">Лист1!$J$10</definedName>
    <definedName name="q_liq_s">Лист1!$J$10</definedName>
    <definedName name="Qinj">Лист1!$J$10</definedName>
    <definedName name="Square">Лист1!#REF!</definedName>
    <definedName name="T0">Лист1!$B$13</definedName>
    <definedName name="TVD">Лист1!$B$12</definedName>
    <definedName name="visc_w">Лист1!$H$10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M21" i="1" s="1"/>
  <c r="G91" i="1" a="1"/>
  <c r="G91" i="1" s="1"/>
  <c r="P52" i="1"/>
  <c r="P51" i="1"/>
  <c r="H10" i="1"/>
  <c r="G11" i="1"/>
  <c r="A5" i="1" a="1"/>
  <c r="E11" i="1" a="1"/>
  <c r="D11" i="1" a="1"/>
  <c r="M40" i="1" l="1"/>
  <c r="M36" i="1"/>
  <c r="M32" i="1"/>
  <c r="M28" i="1"/>
  <c r="M24" i="1"/>
  <c r="M20" i="1"/>
  <c r="M18" i="1"/>
  <c r="M39" i="1"/>
  <c r="M35" i="1"/>
  <c r="M31" i="1"/>
  <c r="M27" i="1"/>
  <c r="M23" i="1"/>
  <c r="M19" i="1"/>
  <c r="M42" i="1"/>
  <c r="M38" i="1"/>
  <c r="M34" i="1"/>
  <c r="M30" i="1"/>
  <c r="M26" i="1"/>
  <c r="M22" i="1"/>
  <c r="M41" i="1"/>
  <c r="M37" i="1"/>
  <c r="M33" i="1"/>
  <c r="M29" i="1"/>
  <c r="M25" i="1"/>
  <c r="F10" i="1"/>
  <c r="I10" i="1"/>
  <c r="F12" i="1"/>
  <c r="D19" i="1"/>
  <c r="H18" i="1"/>
  <c r="E11" i="1"/>
  <c r="D11" i="1"/>
  <c r="A5" i="1"/>
  <c r="E19" i="1" a="1"/>
  <c r="E18" i="1" a="1"/>
  <c r="E19" i="1" l="1"/>
  <c r="E18" i="1"/>
  <c r="F18" i="1" s="1"/>
  <c r="F11" i="1"/>
  <c r="O18" i="1"/>
  <c r="D20" i="1"/>
  <c r="G19" i="1" a="1"/>
  <c r="E20" i="1" a="1"/>
  <c r="G18" i="1" a="1"/>
  <c r="H19" i="1" l="1"/>
  <c r="F19" i="1"/>
  <c r="E20" i="1"/>
  <c r="G19" i="1"/>
  <c r="G18" i="1"/>
  <c r="D21" i="1"/>
  <c r="F20" i="1"/>
  <c r="E21" i="1" a="1"/>
  <c r="G20" i="1" a="1"/>
  <c r="H20" i="1" l="1"/>
  <c r="E21" i="1"/>
  <c r="G20" i="1"/>
  <c r="I18" i="1"/>
  <c r="J18" i="1"/>
  <c r="K18" i="1" s="1"/>
  <c r="I19" i="1"/>
  <c r="J19" i="1"/>
  <c r="D22" i="1"/>
  <c r="G21" i="1" a="1"/>
  <c r="E22" i="1" a="1"/>
  <c r="K19" i="1" l="1"/>
  <c r="H21" i="1"/>
  <c r="F21" i="1"/>
  <c r="E22" i="1"/>
  <c r="G21" i="1"/>
  <c r="J21" i="1" s="1"/>
  <c r="D23" i="1"/>
  <c r="J20" i="1"/>
  <c r="E23" i="1" a="1"/>
  <c r="G22" i="1" a="1"/>
  <c r="G22" i="1" l="1"/>
  <c r="E23" i="1"/>
  <c r="F23" i="1" s="1"/>
  <c r="F22" i="1"/>
  <c r="D24" i="1"/>
  <c r="H22" i="1"/>
  <c r="E24" i="1" a="1"/>
  <c r="G23" i="1" a="1"/>
  <c r="H23" i="1" l="1"/>
  <c r="E24" i="1"/>
  <c r="G23" i="1"/>
  <c r="D25" i="1"/>
  <c r="J22" i="1"/>
  <c r="E25" i="1" a="1"/>
  <c r="G24" i="1" a="1"/>
  <c r="H24" i="1" l="1"/>
  <c r="F24" i="1"/>
  <c r="G24" i="1"/>
  <c r="E25" i="1"/>
  <c r="D26" i="1"/>
  <c r="J23" i="1"/>
  <c r="E26" i="1" a="1"/>
  <c r="G25" i="1" a="1"/>
  <c r="H25" i="1" l="1"/>
  <c r="G25" i="1"/>
  <c r="J25" i="1" s="1"/>
  <c r="E26" i="1"/>
  <c r="F26" i="1" s="1"/>
  <c r="D27" i="1"/>
  <c r="F25" i="1"/>
  <c r="J24" i="1"/>
  <c r="G26" i="1" a="1"/>
  <c r="E27" i="1" a="1"/>
  <c r="H26" i="1" l="1"/>
  <c r="E27" i="1"/>
  <c r="F27" i="1" s="1"/>
  <c r="G26" i="1"/>
  <c r="D28" i="1"/>
  <c r="E28" i="1" a="1"/>
  <c r="G27" i="1" a="1"/>
  <c r="H27" i="1" l="1"/>
  <c r="E28" i="1"/>
  <c r="F28" i="1" s="1"/>
  <c r="G27" i="1"/>
  <c r="J27" i="1" s="1"/>
  <c r="J26" i="1"/>
  <c r="D29" i="1"/>
  <c r="E29" i="1" a="1"/>
  <c r="G28" i="1" a="1"/>
  <c r="H28" i="1" l="1"/>
  <c r="E29" i="1"/>
  <c r="F29" i="1" s="1"/>
  <c r="G28" i="1"/>
  <c r="D30" i="1"/>
  <c r="E30" i="1" a="1"/>
  <c r="G29" i="1" a="1"/>
  <c r="H29" i="1" l="1"/>
  <c r="E30" i="1"/>
  <c r="F30" i="1" s="1"/>
  <c r="G29" i="1"/>
  <c r="J29" i="1" s="1"/>
  <c r="D31" i="1"/>
  <c r="J28" i="1"/>
  <c r="E31" i="1" a="1"/>
  <c r="G30" i="1" a="1"/>
  <c r="H30" i="1" l="1"/>
  <c r="E31" i="1"/>
  <c r="G30" i="1"/>
  <c r="D32" i="1"/>
  <c r="E32" i="1" a="1"/>
  <c r="G31" i="1" a="1"/>
  <c r="H31" i="1" l="1"/>
  <c r="F31" i="1"/>
  <c r="E32" i="1"/>
  <c r="F32" i="1" s="1"/>
  <c r="G31" i="1"/>
  <c r="J30" i="1"/>
  <c r="D33" i="1"/>
  <c r="G32" i="1" a="1"/>
  <c r="E33" i="1" a="1"/>
  <c r="H32" i="1" l="1"/>
  <c r="E33" i="1"/>
  <c r="F33" i="1" s="1"/>
  <c r="G32" i="1"/>
  <c r="D34" i="1"/>
  <c r="J31" i="1"/>
  <c r="E34" i="1" a="1"/>
  <c r="G33" i="1" a="1"/>
  <c r="H33" i="1" l="1"/>
  <c r="E34" i="1"/>
  <c r="F34" i="1" s="1"/>
  <c r="G33" i="1"/>
  <c r="D35" i="1"/>
  <c r="J32" i="1"/>
  <c r="E35" i="1" a="1"/>
  <c r="G34" i="1" a="1"/>
  <c r="H34" i="1" l="1"/>
  <c r="E35" i="1"/>
  <c r="G34" i="1"/>
  <c r="D36" i="1"/>
  <c r="J33" i="1"/>
  <c r="E36" i="1" a="1"/>
  <c r="G35" i="1" a="1"/>
  <c r="H35" i="1" l="1"/>
  <c r="F35" i="1"/>
  <c r="E36" i="1"/>
  <c r="G35" i="1"/>
  <c r="J34" i="1"/>
  <c r="D37" i="1"/>
  <c r="G36" i="1" a="1"/>
  <c r="E37" i="1" a="1"/>
  <c r="H36" i="1" l="1"/>
  <c r="F36" i="1"/>
  <c r="E37" i="1"/>
  <c r="F37" i="1" s="1"/>
  <c r="G36" i="1"/>
  <c r="D38" i="1"/>
  <c r="J35" i="1"/>
  <c r="G37" i="1" a="1"/>
  <c r="E38" i="1" a="1"/>
  <c r="H37" i="1" l="1"/>
  <c r="E38" i="1"/>
  <c r="F38" i="1" s="1"/>
  <c r="G37" i="1"/>
  <c r="D39" i="1"/>
  <c r="J36" i="1"/>
  <c r="E39" i="1" a="1"/>
  <c r="G38" i="1" a="1"/>
  <c r="H38" i="1" l="1"/>
  <c r="E39" i="1"/>
  <c r="G38" i="1"/>
  <c r="J37" i="1"/>
  <c r="D40" i="1"/>
  <c r="E40" i="1" a="1"/>
  <c r="G39" i="1" a="1"/>
  <c r="H39" i="1" l="1"/>
  <c r="F39" i="1"/>
  <c r="E40" i="1"/>
  <c r="F40" i="1" s="1"/>
  <c r="G39" i="1"/>
  <c r="D41" i="1"/>
  <c r="J38" i="1"/>
  <c r="G40" i="1" a="1"/>
  <c r="E41" i="1" a="1"/>
  <c r="H40" i="1" l="1"/>
  <c r="E41" i="1"/>
  <c r="G40" i="1"/>
  <c r="J39" i="1"/>
  <c r="D42" i="1"/>
  <c r="E42" i="1" a="1"/>
  <c r="G41" i="1" a="1"/>
  <c r="H41" i="1" l="1"/>
  <c r="F41" i="1"/>
  <c r="E42" i="1"/>
  <c r="G41" i="1"/>
  <c r="J40" i="1"/>
  <c r="G42" i="1" a="1"/>
  <c r="H42" i="1" l="1"/>
  <c r="F42" i="1"/>
  <c r="G42" i="1"/>
  <c r="J41" i="1"/>
  <c r="J42" i="1" l="1"/>
  <c r="L19" i="1"/>
  <c r="N19" i="1" s="1"/>
  <c r="L18" i="1"/>
  <c r="N18" i="1" s="1"/>
  <c r="O19" i="1" s="1"/>
  <c r="I20" i="1" l="1"/>
  <c r="K20" i="1" s="1"/>
  <c r="O20" i="1"/>
  <c r="L20" i="1" l="1"/>
  <c r="N20" i="1" s="1"/>
  <c r="O21" i="1" s="1"/>
  <c r="I21" i="1"/>
  <c r="K21" i="1" s="1"/>
  <c r="L21" i="1" l="1"/>
  <c r="N21" i="1" s="1"/>
  <c r="O22" i="1" s="1"/>
  <c r="I22" i="1"/>
  <c r="K22" i="1" s="1"/>
  <c r="L22" i="1" l="1"/>
  <c r="N22" i="1" s="1"/>
  <c r="O23" i="1" s="1"/>
  <c r="I23" i="1"/>
  <c r="K23" i="1" s="1"/>
  <c r="L23" i="1" l="1"/>
  <c r="N23" i="1" s="1"/>
  <c r="O24" i="1" s="1"/>
  <c r="I24" i="1"/>
  <c r="K24" i="1" s="1"/>
  <c r="L24" i="1" l="1"/>
  <c r="N24" i="1" s="1"/>
  <c r="O25" i="1" s="1"/>
  <c r="I25" i="1"/>
  <c r="K25" i="1" s="1"/>
  <c r="L25" i="1" l="1"/>
  <c r="N25" i="1" s="1"/>
  <c r="O26" i="1" s="1"/>
  <c r="I26" i="1"/>
  <c r="K26" i="1" s="1"/>
  <c r="L26" i="1" l="1"/>
  <c r="N26" i="1" s="1"/>
  <c r="O27" i="1" s="1"/>
  <c r="I27" i="1"/>
  <c r="K27" i="1" s="1"/>
  <c r="L27" i="1" l="1"/>
  <c r="N27" i="1" s="1"/>
  <c r="O28" i="1" s="1"/>
  <c r="I28" i="1"/>
  <c r="K28" i="1" s="1"/>
  <c r="L28" i="1" l="1"/>
  <c r="N28" i="1" s="1"/>
  <c r="O29" i="1" s="1"/>
  <c r="I29" i="1"/>
  <c r="K29" i="1" s="1"/>
  <c r="L29" i="1" l="1"/>
  <c r="N29" i="1" s="1"/>
  <c r="O30" i="1" s="1"/>
  <c r="I30" i="1"/>
  <c r="K30" i="1" s="1"/>
  <c r="L30" i="1" l="1"/>
  <c r="N30" i="1" s="1"/>
  <c r="O31" i="1" s="1"/>
  <c r="I31" i="1"/>
  <c r="K31" i="1" s="1"/>
  <c r="L31" i="1" l="1"/>
  <c r="N31" i="1" s="1"/>
  <c r="O32" i="1" s="1"/>
  <c r="I32" i="1"/>
  <c r="K32" i="1" s="1"/>
  <c r="L32" i="1" l="1"/>
  <c r="N32" i="1" s="1"/>
  <c r="O33" i="1" s="1"/>
  <c r="I33" i="1"/>
  <c r="K33" i="1" s="1"/>
  <c r="L33" i="1" l="1"/>
  <c r="N33" i="1" s="1"/>
  <c r="O34" i="1" s="1"/>
  <c r="I34" i="1"/>
  <c r="K34" i="1" s="1"/>
  <c r="L34" i="1" l="1"/>
  <c r="N34" i="1" s="1"/>
  <c r="O35" i="1" s="1"/>
  <c r="I35" i="1"/>
  <c r="K35" i="1" s="1"/>
  <c r="L35" i="1" l="1"/>
  <c r="N35" i="1" s="1"/>
  <c r="O36" i="1" s="1"/>
  <c r="I36" i="1"/>
  <c r="K36" i="1" s="1"/>
  <c r="L36" i="1" l="1"/>
  <c r="N36" i="1" s="1"/>
  <c r="O37" i="1" s="1"/>
  <c r="I37" i="1"/>
  <c r="K37" i="1" s="1"/>
  <c r="L37" i="1" l="1"/>
  <c r="N37" i="1" s="1"/>
  <c r="O38" i="1" s="1"/>
  <c r="I38" i="1"/>
  <c r="K38" i="1" s="1"/>
  <c r="L38" i="1" l="1"/>
  <c r="N38" i="1" s="1"/>
  <c r="O39" i="1" s="1"/>
  <c r="I39" i="1"/>
  <c r="K39" i="1" s="1"/>
  <c r="L39" i="1" l="1"/>
  <c r="N39" i="1" s="1"/>
  <c r="O40" i="1" s="1"/>
  <c r="I40" i="1"/>
  <c r="K40" i="1" s="1"/>
  <c r="L40" i="1" l="1"/>
  <c r="N40" i="1" s="1"/>
  <c r="O41" i="1" s="1"/>
  <c r="I41" i="1"/>
  <c r="K41" i="1" s="1"/>
  <c r="L41" i="1" l="1"/>
  <c r="N41" i="1" s="1"/>
  <c r="O42" i="1" s="1"/>
  <c r="I42" i="1"/>
  <c r="K42" i="1" s="1"/>
  <c r="L42" i="1" l="1"/>
  <c r="N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<sst xmlns="http://schemas.openxmlformats.org/spreadsheetml/2006/main" count="55" uniqueCount="36">
  <si>
    <t>MD</t>
  </si>
  <si>
    <t>TVD</t>
  </si>
  <si>
    <t>n</t>
  </si>
  <si>
    <t>№</t>
  </si>
  <si>
    <t>T</t>
  </si>
  <si>
    <t>Re</t>
  </si>
  <si>
    <t>f</t>
  </si>
  <si>
    <t>{"gamma_w": 1.04, "h":2407, "d_in":63, "q_liq":442, "eps":5.1E-5, "p_wh": 19.3, "MD": [0, 1203.5, 2407], "TVD": [0, 1172, 2218], "T0": 22.5}</t>
  </si>
  <si>
    <t>t</t>
  </si>
  <si>
    <t>a1</t>
  </si>
  <si>
    <t>an</t>
  </si>
  <si>
    <t>d</t>
  </si>
  <si>
    <t>an=a1+(n-1)*d</t>
  </si>
  <si>
    <t>(an-a1)/(n-1)</t>
  </si>
  <si>
    <t>d=</t>
  </si>
  <si>
    <t>d1=</t>
  </si>
  <si>
    <t>2 Постройте кривую зависимости забойного давления от дебита в диапазоне дебитов от 10 до 500 м3/сут</t>
  </si>
  <si>
    <t>p_wf</t>
  </si>
  <si>
    <t>q_liq</t>
  </si>
  <si>
    <t>h</t>
  </si>
  <si>
    <t>1,</t>
  </si>
  <si>
    <t>2,</t>
  </si>
  <si>
    <t>3,</t>
  </si>
  <si>
    <t>{"ex1": {"h": [0.0, 100.2916667, 200.5833333, 300.875, 401.1666667, 501.4583333, 601.75, 702.0416667, 802.3333333, 902.625, 1002.916667, 1103.208333, 1203.5, 1303.791667, 1404.083333, 1504.375, 1604.666667, 1704.958333, 1805.25, 1905.541667, 2005.833333, 2106.125, 2206.416667, 2306.708333, 2407.0], "p_wf": [19.3, 29.04101576, 38.7768721, 48.50709875, 58.23128186, 67.94902322, 77.65993872, 87.36365711, 97.05981886, 106.7480753, 116.4280879, 126.0995274, 135.7620736, 144.3714483, 152.9732888, 161.5673861, 170.1535327, 178.7315253, 187.3011648, 195.8622563, 204.4146089, 212.9580355, 221.4923525, 230.0173802, 238.5329422]}, "ex2": {"q_liq": [10.0, 30.41666667, 50.83333333, 71.25, 91.66666667, 112.0833333, 132.5, 152.9166667, 173.3333333, 193.75, 214.1666667, 234.5833333, 255, 275.4166667, 295.8333333, 316.25, 336.6666667, 357.0833333, 377.5, 397.9166667, 418.3333333, 438.75, 459.1666667, 479.5833333, 500.0], "p_wf": [240.0166089, 240.0073872, 239.9913676, 239.9689662, 239.9403845, 239.9057533, 239.8651113, 239.8185241, 239.7660556, 239.7076823, 239.6434502, 239.5734122, 239.4975138, 239.4157998, 239.328324, 239.2350093, 239.135904, 239.0310673, 238.9204018, 238.8039623, 238.6818142, 238.5538416, 238.4201064, 238.2806813, 238.1354324]}, "ex3": {"t": [10.0, 11.66666667, 13.33333333, 15, 16.66666667, 18.33333333, 20, 21.66666667, 23.33333333, 25, 26.66666667, 28.33333333, 30, 31.66666667, 33.33333333, 35, 36.66666667, 38.33333333, 40, 41.66666667, 43.33333333, 45, 46.66666667, 48.33333333, 50.0], "p_wf": [239.5374281, 239.4188525, 239.2959531, 239.1674054, 239.0340776, 238.8969398, 238.7544599, 238.6075621, 238.4572691, 238.3018679, 238.1423436, 237.9797754, 237.8122875, 237.6409268, 237.4668294, 237.2879702, 237.1054568, 236.9204816, 236.7308808, 236.5378211, 236.3425498, 236.1427732, 235.939715, 235.7346757, 235.5252393]}}</t>
  </si>
  <si>
    <t>Initial data</t>
  </si>
  <si>
    <t>Inclinometry</t>
  </si>
  <si>
    <t>visc</t>
  </si>
  <si>
    <t>dens</t>
  </si>
  <si>
    <t>visc_w</t>
  </si>
  <si>
    <t>dens_w</t>
  </si>
  <si>
    <t>MD-TVD</t>
  </si>
  <si>
    <t>P_0</t>
  </si>
  <si>
    <t>v</t>
  </si>
  <si>
    <t>dP/dh</t>
  </si>
  <si>
    <t>P_1</t>
  </si>
  <si>
    <t>qm3s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</si>
</sst>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.5"/>
      <color rgb="FF001A1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decode_js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8"/>
  <sheetViews>
    <sheetView tabSelected="1" workbookViewId="0">
      <selection activeCell="L12" sqref="L12"/>
    </sheetView>
  </sheetViews>
  <sheetFormatPr defaultRowHeight="15" x14ac:dyDescent="0.25"/>
  <cols>
    <col min="1" max="1" width="14.28515625" customWidth="1"/>
    <col min="2" max="2" width="14.28515625" bestFit="1" customWidth="1"/>
    <col min="6" max="6" width="12.42578125" bestFit="1" customWidth="1"/>
    <col min="7" max="7" width="10.5703125" bestFit="1" customWidth="1"/>
    <col min="8" max="8" width="18" bestFit="1" customWidth="1"/>
    <col min="11" max="11" width="12" bestFit="1" customWidth="1"/>
    <col min="18" max="18" width="10.5703125" bestFit="1" customWidth="1"/>
    <col min="20" max="20" width="12" bestFit="1" customWidth="1"/>
    <col min="21" max="21" width="9.5703125" bestFit="1" customWidth="1"/>
  </cols>
  <sheetData>
    <row r="1" spans="1:10" ht="16.5" x14ac:dyDescent="0.3">
      <c r="A1" s="1" t="s">
        <v>7</v>
      </c>
    </row>
    <row r="2" spans="1:10" ht="16.5" x14ac:dyDescent="0.3">
      <c r="A2" s="1"/>
    </row>
    <row r="4" spans="1:10" x14ac:dyDescent="0.25">
      <c r="A4" s="12" t="s">
        <v>24</v>
      </c>
      <c r="B4" s="13"/>
    </row>
    <row r="5" spans="1:10" x14ac:dyDescent="0.25">
      <c r="A5" s="11" t="str" cm="1">
        <f t="array" ref="A5:B13">[1]!decode_json(A1)</f>
        <v>gamma_w</v>
      </c>
      <c r="B5" s="11">
        <v>1.04</v>
      </c>
    </row>
    <row r="6" spans="1:10" x14ac:dyDescent="0.25">
      <c r="A6" s="11" t="str">
        <v>h</v>
      </c>
      <c r="B6" s="11">
        <v>2407</v>
      </c>
    </row>
    <row r="7" spans="1:10" x14ac:dyDescent="0.25">
      <c r="A7" s="11" t="str">
        <v>d_in</v>
      </c>
      <c r="B7" s="11">
        <v>63</v>
      </c>
    </row>
    <row r="8" spans="1:10" x14ac:dyDescent="0.25">
      <c r="A8" s="11" t="str">
        <v>q_liq</v>
      </c>
      <c r="B8" s="11">
        <v>442</v>
      </c>
    </row>
    <row r="9" spans="1:10" x14ac:dyDescent="0.25">
      <c r="A9" s="11" t="str">
        <v>eps</v>
      </c>
      <c r="B9" s="11">
        <v>5.1E-5</v>
      </c>
      <c r="D9" s="10" t="s">
        <v>25</v>
      </c>
      <c r="E9" s="10"/>
      <c r="F9" s="11" t="s">
        <v>4</v>
      </c>
      <c r="G9" s="11" t="s">
        <v>1</v>
      </c>
      <c r="H9" s="11" t="s">
        <v>28</v>
      </c>
      <c r="I9" s="11" t="s">
        <v>29</v>
      </c>
      <c r="J9" s="11" t="s">
        <v>35</v>
      </c>
    </row>
    <row r="10" spans="1:10" x14ac:dyDescent="0.25">
      <c r="A10" s="11" t="str">
        <v>p_wh</v>
      </c>
      <c r="B10" s="11">
        <v>19.3</v>
      </c>
      <c r="D10" s="11" t="s">
        <v>0</v>
      </c>
      <c r="E10" s="11" t="s">
        <v>1</v>
      </c>
      <c r="F10" s="11">
        <f>T0</f>
        <v>22.5</v>
      </c>
      <c r="G10" s="11">
        <v>0</v>
      </c>
      <c r="H10" s="11">
        <f>1/1000</f>
        <v>1E-3</v>
      </c>
      <c r="I10" s="11">
        <f>gamma_w*1000</f>
        <v>1040</v>
      </c>
      <c r="J10" s="11">
        <f>B8/86400</f>
        <v>5.115740740740741E-3</v>
      </c>
    </row>
    <row r="11" spans="1:10" x14ac:dyDescent="0.25">
      <c r="A11" s="11" t="str">
        <v>MD</v>
      </c>
      <c r="B11" s="11" t="str">
        <v>[0,1203.5,2407]</v>
      </c>
      <c r="D11" s="11" cm="1">
        <f t="array" ref="D11:D13">[1]!decode_json(B11)</f>
        <v>0</v>
      </c>
      <c r="E11" s="11" cm="1">
        <f t="array" ref="E11:E13">[1]!decode_json(B12)</f>
        <v>0</v>
      </c>
      <c r="F11" s="11">
        <f>(F10+F12)/2</f>
        <v>47.5</v>
      </c>
      <c r="G11" s="11">
        <f>(G10+G12)/2</f>
        <v>1109</v>
      </c>
    </row>
    <row r="12" spans="1:10" x14ac:dyDescent="0.25">
      <c r="A12" s="11" t="str">
        <v>TVD</v>
      </c>
      <c r="B12" s="11" t="str">
        <v>[0,1172,2218]</v>
      </c>
      <c r="D12" s="11">
        <v>1203.5</v>
      </c>
      <c r="E12" s="11">
        <v>1172</v>
      </c>
      <c r="F12" s="11">
        <f>T0+50</f>
        <v>72.5</v>
      </c>
      <c r="G12" s="11">
        <v>2218</v>
      </c>
    </row>
    <row r="13" spans="1:10" x14ac:dyDescent="0.25">
      <c r="A13" s="11" t="str">
        <v>T0</v>
      </c>
      <c r="B13" s="11">
        <v>22.5</v>
      </c>
      <c r="D13" s="11">
        <v>2407</v>
      </c>
      <c r="E13" s="11">
        <v>2218</v>
      </c>
    </row>
    <row r="17" spans="1:20" x14ac:dyDescent="0.25">
      <c r="A17" t="s">
        <v>2</v>
      </c>
      <c r="B17">
        <v>25</v>
      </c>
      <c r="C17" s="11" t="s">
        <v>3</v>
      </c>
      <c r="D17" s="11" t="s">
        <v>0</v>
      </c>
      <c r="E17" s="11" t="s">
        <v>1</v>
      </c>
      <c r="F17" s="11" t="s">
        <v>30</v>
      </c>
      <c r="G17" s="11" t="s">
        <v>4</v>
      </c>
      <c r="H17" s="11" t="s">
        <v>31</v>
      </c>
      <c r="I17" s="11" t="s">
        <v>26</v>
      </c>
      <c r="J17" s="11" t="s">
        <v>27</v>
      </c>
      <c r="K17" s="11" t="s">
        <v>5</v>
      </c>
      <c r="L17" s="11" t="s">
        <v>6</v>
      </c>
      <c r="M17" s="11" t="s">
        <v>32</v>
      </c>
      <c r="N17" s="11" t="s">
        <v>33</v>
      </c>
      <c r="O17" s="11" t="s">
        <v>34</v>
      </c>
      <c r="Q17" s="2"/>
      <c r="R17" s="2"/>
      <c r="S17" s="2"/>
      <c r="T17" s="2"/>
    </row>
    <row r="18" spans="1:20" x14ac:dyDescent="0.25">
      <c r="C18" s="11">
        <v>1</v>
      </c>
      <c r="D18" s="11">
        <v>0</v>
      </c>
      <c r="E18" s="11" cm="1">
        <f t="array" ref="E18">[1]!crv_interpolation($D$11:$D$13,$E$11:$E$13,D18)</f>
        <v>0</v>
      </c>
      <c r="F18" s="11">
        <f>D18-E18</f>
        <v>0</v>
      </c>
      <c r="G18" s="11" cm="1">
        <f t="array" ref="G18">[1]!crv_interpolation($G$10:$G$12,$F$10:$F$12,E18)</f>
        <v>22.5</v>
      </c>
      <c r="H18" s="11">
        <f>p_wh</f>
        <v>19.3</v>
      </c>
      <c r="I18" s="11">
        <f>109.574*(1.8*(G18+273)-460)^(-1.1217)*(0.9994+0.0058*(H18*101325/1000000)+0.6534*10^-4*(H18*101325/1000000)^2)</f>
        <v>0.91571962880110302</v>
      </c>
      <c r="J18" s="11">
        <f>gamma_w*1000/(1+(G18/10000)*(0.269*G18^0.637-0.8))</f>
        <v>1037.3048735537247</v>
      </c>
      <c r="K18" s="11">
        <f>J18*q_liq*0.094/I18/((d_in/1000)^2/4*PI())*1000</f>
        <v>174746.82550292535</v>
      </c>
      <c r="L18" s="11">
        <f t="shared" ref="L18:L42" si="0">1/((1.14-2*LN(eps/0.094+21.25/K18^0.9))^2)</f>
        <v>4.4091977416610929E-3</v>
      </c>
      <c r="M18" s="11">
        <f>q_liq/((d_in/1000)^2/4*PI())</f>
        <v>1.6411094511775925</v>
      </c>
      <c r="N18" s="11">
        <f>L18*J18*M18*M18/2/0.094</f>
        <v>65.521410579037862</v>
      </c>
      <c r="O18" s="11">
        <f>H18</f>
        <v>19.3</v>
      </c>
      <c r="Q18" s="2"/>
      <c r="R18" s="6"/>
      <c r="S18" s="5"/>
      <c r="T18" s="7"/>
    </row>
    <row r="19" spans="1:20" x14ac:dyDescent="0.25">
      <c r="C19" s="11">
        <v>2</v>
      </c>
      <c r="D19" s="11">
        <f t="shared" ref="D19:D42" si="1">D18+(C19-C18)/(n-1)*h</f>
        <v>100.29166666666666</v>
      </c>
      <c r="E19" s="11" cm="1">
        <f t="array" ref="E19">[1]!crv_interpolation($D$11:$D$13,$E$11:$E$13,D19)</f>
        <v>97.666666666666657</v>
      </c>
      <c r="F19" s="11">
        <f t="shared" ref="F19:F42" si="2">D19-E19</f>
        <v>2.625</v>
      </c>
      <c r="G19" s="11" cm="1">
        <f t="array" ref="G19">[1]!crv_interpolation($G$10:$G$12,$F$10:$F$12,E19)</f>
        <v>24.701683198076346</v>
      </c>
      <c r="H19" s="11">
        <f t="shared" ref="H19:H42" si="3">H18+(gamma_w*1000*9.81*(E19-E18))/101325</f>
        <v>29.134042931162099</v>
      </c>
      <c r="I19" s="11">
        <f>109.574*(1.8*(G19+273)-460)^(-1.1217)*(0.9994+0.0058*(O18*101325/1000000)+0.6534*10^-4*(O18*101325/1000000)^2)</f>
        <v>0.86223463379440191</v>
      </c>
      <c r="J19" s="11">
        <f>gamma_w*1000/(1+(G19/10000)*(0.269*G19^0.637-0.8))</f>
        <v>1036.7360478307689</v>
      </c>
      <c r="K19" s="11">
        <f>J19*q_liq*0.094/I19/((d_in/1000)^2/4*PI())*1000</f>
        <v>185484.71891522719</v>
      </c>
      <c r="L19" s="11">
        <f t="shared" si="0"/>
        <v>4.382802136508426E-3</v>
      </c>
      <c r="M19" s="11">
        <f>q_liq/((d_in/1000)^2/4*PI())</f>
        <v>1.6411094511775925</v>
      </c>
      <c r="N19" s="11">
        <f t="shared" ref="N19:N42" si="4">L19*J19*M19*M19/2/0.094</f>
        <v>65.093452694190717</v>
      </c>
      <c r="O19" s="11">
        <f>O18-(D19-D18)*N18/101325+(E19-E18)*(J19+J18)/2*9.81/101325</f>
        <v>29.041015762393545</v>
      </c>
      <c r="Q19" s="2"/>
      <c r="R19" s="6"/>
      <c r="S19" s="5"/>
      <c r="T19" s="7"/>
    </row>
    <row r="20" spans="1:20" x14ac:dyDescent="0.25">
      <c r="C20" s="11">
        <v>3</v>
      </c>
      <c r="D20" s="11">
        <f t="shared" si="1"/>
        <v>200.58333333333331</v>
      </c>
      <c r="E20" s="11" cm="1">
        <f t="array" ref="E20">[1]!crv_interpolation($D$11:$D$13,$E$11:$E$13,D20)</f>
        <v>195.33333333333331</v>
      </c>
      <c r="F20" s="11">
        <f t="shared" si="2"/>
        <v>5.25</v>
      </c>
      <c r="G20" s="11" cm="1">
        <f t="array" ref="G20">[1]!crv_interpolation($G$10:$G$12,$F$10:$F$12,E20)</f>
        <v>26.903366396152691</v>
      </c>
      <c r="H20" s="11">
        <f t="shared" si="3"/>
        <v>38.968085862324202</v>
      </c>
      <c r="I20" s="11">
        <f>109.574*(1.8*(G20+273)-460)^(-1.1217)*(0.9994+0.0058*(O19*101325/1000000)+0.6534*10^-4*(O19*101325/1000000)^2)</f>
        <v>0.81923169587093647</v>
      </c>
      <c r="J20" s="11">
        <f>gamma_w*1000/(1+(G20/10000)*(0.269*G20^0.637-0.8))</f>
        <v>1036.1240085655681</v>
      </c>
      <c r="K20" s="11">
        <f>J20*q_liq*0.094/I20/((d_in/1000)^2/4*PI())*1000</f>
        <v>195105.89457440126</v>
      </c>
      <c r="L20" s="11">
        <f t="shared" si="0"/>
        <v>4.3612354855436511E-3</v>
      </c>
      <c r="M20" s="11">
        <f>q_liq/((d_in/1000)^2/4*PI())</f>
        <v>1.6411094511775925</v>
      </c>
      <c r="N20" s="11">
        <f t="shared" si="4"/>
        <v>64.734905463747609</v>
      </c>
      <c r="O20" s="11">
        <f>O19-(D20-D19)*N19/101325+(E20-E19)*(J20+J19)/2*9.81/101325</f>
        <v>38.77687210048542</v>
      </c>
      <c r="Q20" s="2"/>
      <c r="R20" s="6"/>
      <c r="S20" s="5"/>
      <c r="T20" s="7"/>
    </row>
    <row r="21" spans="1:20" x14ac:dyDescent="0.25">
      <c r="C21" s="11">
        <v>4</v>
      </c>
      <c r="D21" s="11">
        <f t="shared" si="1"/>
        <v>300.875</v>
      </c>
      <c r="E21" s="11" cm="1">
        <f t="array" ref="E21">[1]!crv_interpolation($D$11:$D$13,$E$11:$E$13,D21)</f>
        <v>293</v>
      </c>
      <c r="F21" s="11">
        <f t="shared" si="2"/>
        <v>7.875</v>
      </c>
      <c r="G21" s="11" cm="1">
        <f t="array" ref="G21">[1]!crv_interpolation($G$10:$G$12,$F$10:$F$12,E21)</f>
        <v>29.105049594229037</v>
      </c>
      <c r="H21" s="11">
        <f t="shared" si="3"/>
        <v>48.802128793486304</v>
      </c>
      <c r="I21" s="11">
        <f>109.574*(1.8*(G21+273)-460)^(-1.1217)*(0.9994+0.0058*(O20*101325/1000000)+0.6534*10^-4*(O20*101325/1000000)^2)</f>
        <v>0.78059812955228025</v>
      </c>
      <c r="J21" s="11">
        <f>gamma_w*1000/(1+(G21/10000)*(0.269*G21^0.637-0.8))</f>
        <v>1035.4702481203335</v>
      </c>
      <c r="K21" s="11">
        <f>J21*q_liq*0.094/I21/((d_in/1000)^2/4*PI())*1000</f>
        <v>204632.92819872103</v>
      </c>
      <c r="L21" s="11">
        <f t="shared" si="0"/>
        <v>4.3415715493364364E-3</v>
      </c>
      <c r="M21" s="11">
        <f>q_liq/((d_in/1000)^2/4*PI())</f>
        <v>1.6411094511775925</v>
      </c>
      <c r="N21" s="11">
        <f t="shared" si="4"/>
        <v>64.402367308221429</v>
      </c>
      <c r="O21" s="11">
        <f>O20-(D21-D20)*N20/101325+(E21-E20)*(J21+J20)/2*9.81/101325</f>
        <v>48.507098748165625</v>
      </c>
      <c r="Q21" s="2"/>
      <c r="R21" s="6"/>
      <c r="S21" s="5"/>
      <c r="T21" s="7"/>
    </row>
    <row r="22" spans="1:20" x14ac:dyDescent="0.25">
      <c r="C22" s="11">
        <v>5</v>
      </c>
      <c r="D22" s="11">
        <f t="shared" si="1"/>
        <v>401.16666666666663</v>
      </c>
      <c r="E22" s="11" cm="1">
        <f t="array" ref="E22">[1]!crv_interpolation($D$11:$D$13,$E$11:$E$13,D22)</f>
        <v>390.66666666666663</v>
      </c>
      <c r="F22" s="11">
        <f t="shared" si="2"/>
        <v>10.5</v>
      </c>
      <c r="G22" s="11" cm="1">
        <f t="array" ref="G22">[1]!crv_interpolation($G$10:$G$12,$F$10:$F$12,E22)</f>
        <v>31.306732792305379</v>
      </c>
      <c r="H22" s="11">
        <f t="shared" si="3"/>
        <v>58.636171724648399</v>
      </c>
      <c r="I22" s="11">
        <f>109.574*(1.8*(G22+273)-460)^(-1.1217)*(0.9994+0.0058*(O21*101325/1000000)+0.6534*10^-4*(O21*101325/1000000)^2)</f>
        <v>0.7457196863020078</v>
      </c>
      <c r="J22" s="11">
        <f>gamma_w*1000/(1+(G22/10000)*(0.269*G22^0.637-0.8))</f>
        <v>1034.7761205359479</v>
      </c>
      <c r="K22" s="11">
        <f>J22*q_liq*0.094/I22/((d_in/1000)^2/4*PI())*1000</f>
        <v>214060.32968024438</v>
      </c>
      <c r="L22" s="11">
        <f t="shared" si="0"/>
        <v>4.3235756452870509E-3</v>
      </c>
      <c r="M22" s="11">
        <f>q_liq/((d_in/1000)^2/4*PI())</f>
        <v>1.6411094511775925</v>
      </c>
      <c r="N22" s="11">
        <f t="shared" si="4"/>
        <v>64.092424977036316</v>
      </c>
      <c r="O22" s="11">
        <f>O21-(D22-D21)*N21/101325+(E22-E21)*(J22+J21)/2*9.81/101325</f>
        <v>58.231281855809485</v>
      </c>
      <c r="Q22" s="2"/>
      <c r="R22" s="6"/>
      <c r="S22" s="5"/>
      <c r="T22" s="7"/>
    </row>
    <row r="23" spans="1:20" x14ac:dyDescent="0.25">
      <c r="C23" s="11">
        <v>6</v>
      </c>
      <c r="D23" s="11">
        <f t="shared" si="1"/>
        <v>501.45833333333326</v>
      </c>
      <c r="E23" s="11" cm="1">
        <f t="array" ref="E23">[1]!crv_interpolation($D$11:$D$13,$E$11:$E$13,D23)</f>
        <v>488.33333333333326</v>
      </c>
      <c r="F23" s="11">
        <f t="shared" si="2"/>
        <v>13.125</v>
      </c>
      <c r="G23" s="11" cm="1">
        <f t="array" ref="G23">[1]!crv_interpolation($G$10:$G$12,$F$10:$F$12,E23)</f>
        <v>33.508415990381721</v>
      </c>
      <c r="H23" s="11">
        <f t="shared" si="3"/>
        <v>68.470214655810494</v>
      </c>
      <c r="I23" s="11">
        <f>109.574*(1.8*(G23+273)-460)^(-1.1217)*(0.9994+0.0058*(O22*101325/1000000)+0.6534*10^-4*(O22*101325/1000000)^2)</f>
        <v>0.71409117733293537</v>
      </c>
      <c r="J23" s="11">
        <f>gamma_w*1000/(1+(G23/10000)*(0.269*G23^0.637-0.8))</f>
        <v>1034.042865542742</v>
      </c>
      <c r="K23" s="11">
        <f>J23*q_liq*0.094/I23/((d_in/1000)^2/4*PI())*1000</f>
        <v>223383.08034400147</v>
      </c>
      <c r="L23" s="11">
        <f t="shared" si="0"/>
        <v>4.3070504669691411E-3</v>
      </c>
      <c r="M23" s="11">
        <f>q_liq/((d_in/1000)^2/4*PI())</f>
        <v>1.6411094511775925</v>
      </c>
      <c r="N23" s="11">
        <f t="shared" si="4"/>
        <v>63.802213641496188</v>
      </c>
      <c r="O23" s="11">
        <f>O22-(D23-D22)*N22/101325+(E23-E22)*(J23+J22)/2*9.81/101325</f>
        <v>67.949023215338428</v>
      </c>
      <c r="Q23" s="2"/>
      <c r="R23" s="6"/>
      <c r="S23" s="5"/>
      <c r="T23" s="7"/>
    </row>
    <row r="24" spans="1:20" x14ac:dyDescent="0.25">
      <c r="C24" s="11">
        <v>7</v>
      </c>
      <c r="D24" s="11">
        <f t="shared" si="1"/>
        <v>601.74999999999989</v>
      </c>
      <c r="E24" s="11" cm="1">
        <f t="array" ref="E24">[1]!crv_interpolation($D$11:$D$13,$E$11:$E$13,D24)</f>
        <v>585.99999999999989</v>
      </c>
      <c r="F24" s="11">
        <f t="shared" si="2"/>
        <v>15.75</v>
      </c>
      <c r="G24" s="11" cm="1">
        <f t="array" ref="G24">[1]!crv_interpolation($G$10:$G$12,$F$10:$F$12,E24)</f>
        <v>35.710099188458067</v>
      </c>
      <c r="H24" s="11">
        <f t="shared" si="3"/>
        <v>78.304257586972597</v>
      </c>
      <c r="I24" s="11">
        <f>109.574*(1.8*(G24+273)-460)^(-1.1217)*(0.9994+0.0058*(O23*101325/1000000)+0.6534*10^-4*(O23*101325/1000000)^2)</f>
        <v>0.68529338967325459</v>
      </c>
      <c r="J24" s="11">
        <f>gamma_w*1000/(1+(G24/10000)*(0.269*G24^0.637-0.8))</f>
        <v>1033.2716270800797</v>
      </c>
      <c r="K24" s="11">
        <f>J24*q_liq*0.094/I24/((d_in/1000)^2/4*PI())*1000</f>
        <v>232596.59977527006</v>
      </c>
      <c r="L24" s="11">
        <f t="shared" si="0"/>
        <v>4.2918288686806805E-3</v>
      </c>
      <c r="M24" s="11">
        <f>q_liq/((d_in/1000)^2/4*PI())</f>
        <v>1.6411094511775925</v>
      </c>
      <c r="N24" s="11">
        <f t="shared" si="4"/>
        <v>63.529310923734421</v>
      </c>
      <c r="O24" s="11">
        <f>O23-(D24-D23)*N23/101325+(E24-E23)*(J24+J23)/2*9.81/101325</f>
        <v>77.65993872405096</v>
      </c>
      <c r="Q24" s="2"/>
      <c r="R24" s="6"/>
      <c r="S24" s="5"/>
      <c r="T24" s="7"/>
    </row>
    <row r="25" spans="1:20" x14ac:dyDescent="0.25">
      <c r="C25" s="11">
        <v>8</v>
      </c>
      <c r="D25" s="11">
        <f t="shared" si="1"/>
        <v>702.04166666666652</v>
      </c>
      <c r="E25" s="11" cm="1">
        <f t="array" ref="E25">[1]!crv_interpolation($D$11:$D$13,$E$11:$E$13,D25)</f>
        <v>683.66666666666652</v>
      </c>
      <c r="F25" s="11">
        <f t="shared" si="2"/>
        <v>18.375</v>
      </c>
      <c r="G25" s="11" cm="1">
        <f t="array" ref="G25">[1]!crv_interpolation($G$10:$G$12,$F$10:$F$12,E25)</f>
        <v>37.911782386534412</v>
      </c>
      <c r="H25" s="11">
        <f t="shared" si="3"/>
        <v>88.138300518134699</v>
      </c>
      <c r="I25" s="11">
        <f>109.574*(1.8*(G25+273)-460)^(-1.1217)*(0.9994+0.0058*(O24*101325/1000000)+0.6534*10^-4*(O24*101325/1000000)^2)</f>
        <v>0.65897562252821107</v>
      </c>
      <c r="J25" s="11">
        <f>gamma_w*1000/(1+(G25/10000)*(0.269*G25^0.637-0.8))</f>
        <v>1032.4634678438317</v>
      </c>
      <c r="K25" s="11">
        <f>J25*q_liq*0.094/I25/((d_in/1000)^2/4*PI())*1000</f>
        <v>241696.71340178797</v>
      </c>
      <c r="L25" s="11">
        <f t="shared" si="0"/>
        <v>4.2777682756556185E-3</v>
      </c>
      <c r="M25" s="11">
        <f>q_liq/((d_in/1000)^2/4*PI())</f>
        <v>1.6411094511775925</v>
      </c>
      <c r="N25" s="11">
        <f t="shared" si="4"/>
        <v>63.271654794150045</v>
      </c>
      <c r="O25" s="11">
        <f>O24-(D25-D24)*N24/101325+(E25-E24)*(J25+J24)/2*9.81/101325</f>
        <v>87.363657109681839</v>
      </c>
      <c r="Q25" s="2"/>
      <c r="R25" s="6"/>
      <c r="S25" s="5"/>
      <c r="T25" s="7"/>
    </row>
    <row r="26" spans="1:20" x14ac:dyDescent="0.25">
      <c r="C26" s="11">
        <v>9</v>
      </c>
      <c r="D26" s="11">
        <f t="shared" si="1"/>
        <v>802.33333333333314</v>
      </c>
      <c r="E26" s="11" cm="1">
        <f t="array" ref="E26">[1]!crv_interpolation($D$11:$D$13,$E$11:$E$13,D26)</f>
        <v>781.33333333333314</v>
      </c>
      <c r="F26" s="11">
        <f t="shared" si="2"/>
        <v>21</v>
      </c>
      <c r="G26" s="11" cm="1">
        <f t="array" ref="G26">[1]!crv_interpolation($G$10:$G$12,$F$10:$F$12,E26)</f>
        <v>40.113465584610758</v>
      </c>
      <c r="H26" s="11">
        <f t="shared" si="3"/>
        <v>97.972343449296801</v>
      </c>
      <c r="I26" s="11">
        <f>109.574*(1.8*(G26+273)-460)^(-1.1217)*(0.9994+0.0058*(O25*101325/1000000)+0.6534*10^-4*(O25*101325/1000000)^2)</f>
        <v>0.63484230207123693</v>
      </c>
      <c r="J26" s="11">
        <f>gamma_w*1000/(1+(G26/10000)*(0.269*G26^0.637-0.8))</f>
        <v>1031.6193808952203</v>
      </c>
      <c r="K26" s="11">
        <f>J26*q_liq*0.094/I26/((d_in/1000)^2/4*PI())*1000</f>
        <v>250679.62419212557</v>
      </c>
      <c r="L26" s="11">
        <f t="shared" si="0"/>
        <v>4.2647463002261528E-3</v>
      </c>
      <c r="M26" s="11">
        <f>q_liq/((d_in/1000)^2/4*PI())</f>
        <v>1.6411094511775925</v>
      </c>
      <c r="N26" s="11">
        <f t="shared" si="4"/>
        <v>63.02747917963184</v>
      </c>
      <c r="O26" s="11">
        <f>O25-(D26-D25)*N25/101325+(E26-E25)*(J26+J25)/2*9.81/101325</f>
        <v>97.059818860391161</v>
      </c>
      <c r="Q26" s="2"/>
      <c r="R26" s="6"/>
      <c r="S26" s="5"/>
      <c r="T26" s="7"/>
    </row>
    <row r="27" spans="1:20" x14ac:dyDescent="0.25">
      <c r="C27" s="11">
        <v>10</v>
      </c>
      <c r="D27" s="11">
        <f t="shared" si="1"/>
        <v>902.62499999999977</v>
      </c>
      <c r="E27" s="11" cm="1">
        <f t="array" ref="E27">[1]!crv_interpolation($D$11:$D$13,$E$11:$E$13,D27)</f>
        <v>878.99999999999977</v>
      </c>
      <c r="F27" s="11">
        <f t="shared" si="2"/>
        <v>23.625</v>
      </c>
      <c r="G27" s="11" cm="1">
        <f t="array" ref="G27">[1]!crv_interpolation($G$10:$G$12,$F$10:$F$12,E27)</f>
        <v>42.315148782687103</v>
      </c>
      <c r="H27" s="11">
        <f t="shared" si="3"/>
        <v>107.8063863804589</v>
      </c>
      <c r="I27" s="11">
        <f>109.574*(1.8*(G27+273)-460)^(-1.1217)*(0.9994+0.0058*(O26*101325/1000000)+0.6534*10^-4*(O26*101325/1000000)^2)</f>
        <v>0.61264260728201703</v>
      </c>
      <c r="J27" s="11">
        <f>gamma_w*1000/(1+(G27/10000)*(0.269*G27^0.637-0.8))</f>
        <v>1030.7402990528117</v>
      </c>
      <c r="K27" s="11">
        <f>J27*q_liq*0.094/I27/((d_in/1000)^2/4*PI())*1000</f>
        <v>259541.88768397621</v>
      </c>
      <c r="L27" s="11">
        <f t="shared" si="0"/>
        <v>4.2526572694442993E-3</v>
      </c>
      <c r="M27" s="11">
        <f>q_liq/((d_in/1000)^2/4*PI())</f>
        <v>1.6411094511775925</v>
      </c>
      <c r="N27" s="11">
        <f t="shared" si="4"/>
        <v>62.795262960859887</v>
      </c>
      <c r="O27" s="11">
        <f>O26-(D27-D26)*N26/101325+(E27-E26)*(J27+J26)/2*9.81/101325</f>
        <v>106.74807531777857</v>
      </c>
      <c r="Q27" s="2"/>
      <c r="R27" s="6"/>
      <c r="S27" s="5"/>
      <c r="T27" s="7"/>
    </row>
    <row r="28" spans="1:20" x14ac:dyDescent="0.25">
      <c r="C28" s="11">
        <v>11</v>
      </c>
      <c r="D28" s="11">
        <f t="shared" si="1"/>
        <v>1002.9166666666664</v>
      </c>
      <c r="E28" s="11" cm="1">
        <f t="array" ref="E28">[1]!crv_interpolation($D$11:$D$13,$E$11:$E$13,D28)</f>
        <v>976.6666666666664</v>
      </c>
      <c r="F28" s="11">
        <f t="shared" si="2"/>
        <v>26.25</v>
      </c>
      <c r="G28" s="11" cm="1">
        <f t="array" ref="G28">[1]!crv_interpolation($G$10:$G$12,$F$10:$F$12,E28)</f>
        <v>44.516831980763449</v>
      </c>
      <c r="H28" s="11">
        <f t="shared" si="3"/>
        <v>117.64042931162101</v>
      </c>
      <c r="I28" s="11">
        <f>109.574*(1.8*(G28+273)-460)^(-1.1217)*(0.9994+0.0058*(O27*101325/1000000)+0.6534*10^-4*(O27*101325/1000000)^2)</f>
        <v>0.59216234673766466</v>
      </c>
      <c r="J28" s="11">
        <f>gamma_w*1000/(1+(G28/10000)*(0.269*G28^0.637-0.8))</f>
        <v>1029.827102583311</v>
      </c>
      <c r="K28" s="11">
        <f>J28*q_liq*0.094/I28/((d_in/1000)^2/4*PI())*1000</f>
        <v>268280.38972974481</v>
      </c>
      <c r="L28" s="11">
        <f t="shared" si="0"/>
        <v>4.2414094494292323E-3</v>
      </c>
      <c r="M28" s="11">
        <f>q_liq/((d_in/1000)^2/4*PI())</f>
        <v>1.6411094511775925</v>
      </c>
      <c r="N28" s="11">
        <f t="shared" si="4"/>
        <v>62.573689206029592</v>
      </c>
      <c r="O28" s="11">
        <f>O27-(D28-D27)*N27/101325+(E28-E27)*(J28+J27)/2*9.81/101325</f>
        <v>116.42808790114572</v>
      </c>
      <c r="Q28" s="2"/>
      <c r="R28" s="6"/>
      <c r="S28" s="5"/>
      <c r="T28" s="7"/>
    </row>
    <row r="29" spans="1:20" x14ac:dyDescent="0.25">
      <c r="C29" s="11">
        <v>12</v>
      </c>
      <c r="D29" s="11">
        <f t="shared" si="1"/>
        <v>1103.208333333333</v>
      </c>
      <c r="E29" s="11" cm="1">
        <f t="array" ref="E29">[1]!crv_interpolation($D$11:$D$13,$E$11:$E$13,D29)</f>
        <v>1074.333333333333</v>
      </c>
      <c r="F29" s="11">
        <f t="shared" si="2"/>
        <v>28.875</v>
      </c>
      <c r="G29" s="11" cm="1">
        <f t="array" ref="G29">[1]!crv_interpolation($G$10:$G$12,$F$10:$F$12,E29)</f>
        <v>46.718515178839787</v>
      </c>
      <c r="H29" s="11">
        <f t="shared" si="3"/>
        <v>127.47447224278311</v>
      </c>
      <c r="I29" s="11">
        <f>109.574*(1.8*(G29+273)-460)^(-1.1217)*(0.9994+0.0058*(O28*101325/1000000)+0.6534*10^-4*(O28*101325/1000000)^2)</f>
        <v>0.57321753759423255</v>
      </c>
      <c r="J29" s="11">
        <f>gamma_w*1000/(1+(G29/10000)*(0.269*G29^0.637-0.8))</f>
        <v>1028.8806255670388</v>
      </c>
      <c r="K29" s="11">
        <f>J29*q_liq*0.094/I29/((d_in/1000)^2/4*PI())*1000</f>
        <v>276892.32647833345</v>
      </c>
      <c r="L29" s="11">
        <f t="shared" si="0"/>
        <v>4.2309228078742439E-3</v>
      </c>
      <c r="M29" s="11">
        <f>q_liq/((d_in/1000)^2/4*PI())</f>
        <v>1.6411094511775925</v>
      </c>
      <c r="N29" s="11">
        <f t="shared" si="4"/>
        <v>62.361612312171111</v>
      </c>
      <c r="O29" s="11">
        <f>O28-(D29-D28)*N28/101325+(E29-E28)*(J29+J28)/2*9.81/101325</f>
        <v>126.09952743856601</v>
      </c>
      <c r="Q29" s="2"/>
      <c r="R29" s="6"/>
      <c r="S29" s="5"/>
      <c r="T29" s="7"/>
    </row>
    <row r="30" spans="1:20" x14ac:dyDescent="0.25">
      <c r="C30" s="11">
        <v>13</v>
      </c>
      <c r="D30" s="11">
        <f t="shared" si="1"/>
        <v>1203.4999999999998</v>
      </c>
      <c r="E30" s="11" cm="1">
        <f t="array" ref="E30">[1]!crv_interpolation($D$11:$D$13,$E$11:$E$13,D30)</f>
        <v>1171.9999999999998</v>
      </c>
      <c r="F30" s="11">
        <f t="shared" si="2"/>
        <v>31.5</v>
      </c>
      <c r="G30" s="11" cm="1">
        <f t="array" ref="G30">[1]!crv_interpolation($G$10:$G$12,$F$10:$F$12,E30)</f>
        <v>48.920198376916133</v>
      </c>
      <c r="H30" s="11">
        <f t="shared" si="3"/>
        <v>137.30851517394521</v>
      </c>
      <c r="I30" s="11">
        <f>109.574*(1.8*(G30+273)-460)^(-1.1217)*(0.9994+0.0058*(O29*101325/1000000)+0.6534*10^-4*(O29*101325/1000000)^2)</f>
        <v>0.5556492855187517</v>
      </c>
      <c r="J30" s="11">
        <f>gamma_w*1000/(1+(G30/10000)*(0.269*G30^0.637-0.8))</f>
        <v>1027.9016612169421</v>
      </c>
      <c r="K30" s="11">
        <f>J30*q_liq*0.094/I30/((d_in/1000)^2/4*PI())*1000</f>
        <v>285375.18621258135</v>
      </c>
      <c r="L30" s="11">
        <f t="shared" si="0"/>
        <v>4.221127196253182E-3</v>
      </c>
      <c r="M30" s="11">
        <f>q_liq/((d_in/1000)^2/4*PI())</f>
        <v>1.6411094511775925</v>
      </c>
      <c r="N30" s="11">
        <f t="shared" si="4"/>
        <v>62.158031313797139</v>
      </c>
      <c r="O30" s="11">
        <f>O29-(D30-D29)*N29/101325+(E30-E29)*(J30+J29)/2*9.81/101325</f>
        <v>135.76207358572114</v>
      </c>
      <c r="Q30" s="2"/>
      <c r="R30" s="6"/>
      <c r="S30" s="5"/>
      <c r="T30" s="7"/>
    </row>
    <row r="31" spans="1:20" x14ac:dyDescent="0.25">
      <c r="C31" s="11">
        <v>14</v>
      </c>
      <c r="D31" s="11">
        <f t="shared" si="1"/>
        <v>1303.7916666666665</v>
      </c>
      <c r="E31" s="11" cm="1">
        <f t="array" ref="E31">[1]!crv_interpolation($D$11:$D$13,$E$11:$E$13,D31)</f>
        <v>1259.1666666666665</v>
      </c>
      <c r="F31" s="11">
        <f t="shared" si="2"/>
        <v>44.625</v>
      </c>
      <c r="G31" s="11" cm="1">
        <f t="array" ref="G31">[1]!crv_interpolation($G$10:$G$12,$F$10:$F$12,E31)</f>
        <v>50.885181845506459</v>
      </c>
      <c r="H31" s="11">
        <f t="shared" si="3"/>
        <v>146.08531458179127</v>
      </c>
      <c r="I31" s="11">
        <f>109.574*(1.8*(G31+273)-460)^(-1.1217)*(0.9994+0.0058*(O30*101325/1000000)+0.6534*10^-4*(O30*101325/1000000)^2)</f>
        <v>0.54141572597607679</v>
      </c>
      <c r="J31" s="11">
        <f>gamma_w*1000/(1+(G31/10000)*(0.269*G31^0.637-0.8))</f>
        <v>1027.0011247848449</v>
      </c>
      <c r="K31" s="11">
        <f>J31*q_liq*0.094/I31/((d_in/1000)^2/4*PI())*1000</f>
        <v>292620.97517816949</v>
      </c>
      <c r="L31" s="11">
        <f t="shared" si="0"/>
        <v>4.2131485800283109E-3</v>
      </c>
      <c r="M31" s="11">
        <f>q_liq/((d_in/1000)^2/4*PI())</f>
        <v>1.6411094511775925</v>
      </c>
      <c r="N31" s="11">
        <f t="shared" si="4"/>
        <v>61.986189311952565</v>
      </c>
      <c r="O31" s="11">
        <f>O30-(D31-D30)*N30/101325+(E31-E30)*(J31+J30)/2*9.81/101325</f>
        <v>144.37144827957607</v>
      </c>
      <c r="Q31" s="2"/>
      <c r="R31" s="6"/>
      <c r="S31" s="5"/>
      <c r="T31" s="7"/>
    </row>
    <row r="32" spans="1:20" x14ac:dyDescent="0.25">
      <c r="C32" s="11">
        <v>15</v>
      </c>
      <c r="D32" s="11">
        <f t="shared" si="1"/>
        <v>1404.0833333333333</v>
      </c>
      <c r="E32" s="11" cm="1">
        <f t="array" ref="E32">[1]!crv_interpolation($D$11:$D$13,$E$11:$E$13,D32)</f>
        <v>1346.3333333333333</v>
      </c>
      <c r="F32" s="11">
        <f t="shared" si="2"/>
        <v>57.75</v>
      </c>
      <c r="G32" s="11" cm="1">
        <f t="array" ref="G32">[1]!crv_interpolation($G$10:$G$12,$F$10:$F$12,E32)</f>
        <v>52.850165314096785</v>
      </c>
      <c r="H32" s="11">
        <f t="shared" si="3"/>
        <v>154.86211398963732</v>
      </c>
      <c r="I32" s="11">
        <f>109.574*(1.8*(G32+273)-460)^(-1.1217)*(0.9994+0.0058*(O31*101325/1000000)+0.6534*10^-4*(O31*101325/1000000)^2)</f>
        <v>0.52767689129549189</v>
      </c>
      <c r="J32" s="11">
        <f>gamma_w*1000/(1+(G32/10000)*(0.269*G32^0.637-0.8))</f>
        <v>1026.075830140783</v>
      </c>
      <c r="K32" s="11">
        <f>J32*q_liq*0.094/I32/((d_in/1000)^2/4*PI())*1000</f>
        <v>299969.28120818775</v>
      </c>
      <c r="L32" s="11">
        <f t="shared" si="0"/>
        <v>4.2053975749313643E-3</v>
      </c>
      <c r="M32" s="11">
        <f>q_liq/((d_in/1000)^2/4*PI())</f>
        <v>1.6411094511775925</v>
      </c>
      <c r="N32" s="11">
        <f t="shared" si="4"/>
        <v>61.816407407622535</v>
      </c>
      <c r="O32" s="11">
        <f>O31-(D32-D31)*N31/101325+(E32-E31)*(J32+J31)/2*9.81/101325</f>
        <v>152.97328875857366</v>
      </c>
      <c r="Q32" s="2"/>
      <c r="R32" s="6"/>
      <c r="S32" s="5"/>
      <c r="T32" s="7"/>
    </row>
    <row r="33" spans="3:20" x14ac:dyDescent="0.25">
      <c r="C33" s="11">
        <v>16</v>
      </c>
      <c r="D33" s="11">
        <f t="shared" si="1"/>
        <v>1504.375</v>
      </c>
      <c r="E33" s="11" cm="1">
        <f t="array" ref="E33">[1]!crv_interpolation($D$11:$D$13,$E$11:$E$13,D33)</f>
        <v>1433.5</v>
      </c>
      <c r="F33" s="11">
        <f t="shared" si="2"/>
        <v>70.875</v>
      </c>
      <c r="G33" s="11" cm="1">
        <f t="array" ref="G33">[1]!crv_interpolation($G$10:$G$12,$F$10:$F$12,E33)</f>
        <v>54.815148782687103</v>
      </c>
      <c r="H33" s="11">
        <f t="shared" si="3"/>
        <v>163.63891339748338</v>
      </c>
      <c r="I33" s="11">
        <f>109.574*(1.8*(G33+273)-460)^(-1.1217)*(0.9994+0.0058*(O32*101325/1000000)+0.6534*10^-4*(O32*101325/1000000)^2)</f>
        <v>0.51476234879200633</v>
      </c>
      <c r="J33" s="11">
        <f>gamma_w*1000/(1+(G33/10000)*(0.269*G33^0.637-0.8))</f>
        <v>1025.1262744816599</v>
      </c>
      <c r="K33" s="11">
        <f>J33*q_liq*0.094/I33/((d_in/1000)^2/4*PI())*1000</f>
        <v>307210.45475669898</v>
      </c>
      <c r="L33" s="11">
        <f t="shared" si="0"/>
        <v>4.1980737320269799E-3</v>
      </c>
      <c r="M33" s="11">
        <f>q_liq/((d_in/1000)^2/4*PI())</f>
        <v>1.6411094511775925</v>
      </c>
      <c r="N33" s="11">
        <f t="shared" si="4"/>
        <v>61.651645243905413</v>
      </c>
      <c r="O33" s="11">
        <f>O32-(D33-D32)*N32/101325+(E33-E32)*(J33+J32)/2*9.81/101325</f>
        <v>161.56738614135512</v>
      </c>
      <c r="Q33" s="2"/>
      <c r="R33" s="6"/>
      <c r="S33" s="5"/>
      <c r="T33" s="7"/>
    </row>
    <row r="34" spans="3:20" x14ac:dyDescent="0.25">
      <c r="C34" s="11">
        <v>17</v>
      </c>
      <c r="D34" s="11">
        <f t="shared" si="1"/>
        <v>1604.6666666666667</v>
      </c>
      <c r="E34" s="11" cm="1">
        <f t="array" ref="E34">[1]!crv_interpolation($D$11:$D$13,$E$11:$E$13,D34)</f>
        <v>1520.6666666666667</v>
      </c>
      <c r="F34" s="11">
        <f t="shared" si="2"/>
        <v>84</v>
      </c>
      <c r="G34" s="11" cm="1">
        <f t="array" ref="G34">[1]!crv_interpolation($G$10:$G$12,$F$10:$F$12,E34)</f>
        <v>56.780132251277429</v>
      </c>
      <c r="H34" s="11">
        <f t="shared" si="3"/>
        <v>172.41571280532943</v>
      </c>
      <c r="I34" s="11">
        <f>109.574*(1.8*(G34+273)-460)^(-1.1217)*(0.9994+0.0058*(O33*101325/1000000)+0.6534*10^-4*(O33*101325/1000000)^2)</f>
        <v>0.50260392904554596</v>
      </c>
      <c r="J34" s="11">
        <f>gamma_w*1000/(1+(G34/10000)*(0.269*G34^0.637-0.8))</f>
        <v>1024.1529378264456</v>
      </c>
      <c r="K34" s="11">
        <f>J34*q_liq*0.094/I34/((d_in/1000)^2/4*PI())*1000</f>
        <v>314343.39257463504</v>
      </c>
      <c r="L34" s="11">
        <f t="shared" si="0"/>
        <v>4.1911454419560701E-3</v>
      </c>
      <c r="M34" s="11">
        <f>q_liq/((d_in/1000)^2/4*PI())</f>
        <v>1.6411094511775925</v>
      </c>
      <c r="N34" s="11">
        <f t="shared" si="4"/>
        <v>61.491458081389958</v>
      </c>
      <c r="O34" s="11">
        <f>O33-(D34-D33)*N33/101325+(E34-E33)*(J34+J33)/2*9.81/101325</f>
        <v>170.15353274057654</v>
      </c>
      <c r="Q34" s="2"/>
      <c r="R34" s="6"/>
      <c r="S34" s="5"/>
      <c r="T34" s="7"/>
    </row>
    <row r="35" spans="3:20" x14ac:dyDescent="0.25">
      <c r="C35" s="11">
        <v>18</v>
      </c>
      <c r="D35" s="11">
        <f t="shared" si="1"/>
        <v>1704.9583333333335</v>
      </c>
      <c r="E35" s="11" cm="1">
        <f t="array" ref="E35">[1]!crv_interpolation($D$11:$D$13,$E$11:$E$13,D35)</f>
        <v>1607.8333333333335</v>
      </c>
      <c r="F35" s="11">
        <f t="shared" si="2"/>
        <v>97.125</v>
      </c>
      <c r="G35" s="11" cm="1">
        <f t="array" ref="G35">[1]!crv_interpolation($G$10:$G$12,$F$10:$F$12,E35)</f>
        <v>58.745115719867755</v>
      </c>
      <c r="H35" s="11">
        <f t="shared" si="3"/>
        <v>181.19251221317549</v>
      </c>
      <c r="I35" s="11">
        <f>109.574*(1.8*(G35+273)-460)^(-1.1217)*(0.9994+0.0058*(O34*101325/1000000)+0.6534*10^-4*(O34*101325/1000000)^2)</f>
        <v>0.49114069062258897</v>
      </c>
      <c r="J35" s="11">
        <f>gamma_w*1000/(1+(G35/10000)*(0.269*G35^0.637-0.8))</f>
        <v>1023.1562844419362</v>
      </c>
      <c r="K35" s="11">
        <f>J35*q_liq*0.094/I35/((d_in/1000)^2/4*PI())*1000</f>
        <v>321367.13403298962</v>
      </c>
      <c r="L35" s="11">
        <f t="shared" si="0"/>
        <v>4.1845841464044206E-3</v>
      </c>
      <c r="M35" s="11">
        <f>q_liq/((d_in/1000)^2/4*PI())</f>
        <v>1.6411094511775925</v>
      </c>
      <c r="N35" s="11">
        <f t="shared" si="4"/>
        <v>61.335445693472188</v>
      </c>
      <c r="O35" s="11">
        <f>O34-(D35-D34)*N34/101325+(E35-E34)*(J35+J34)/2*9.81/101325</f>
        <v>178.73152529362028</v>
      </c>
      <c r="Q35" s="2"/>
      <c r="R35" s="6"/>
      <c r="S35" s="5"/>
      <c r="T35" s="7"/>
    </row>
    <row r="36" spans="3:20" x14ac:dyDescent="0.25">
      <c r="C36" s="11">
        <v>19</v>
      </c>
      <c r="D36" s="11">
        <f t="shared" si="1"/>
        <v>1805.2500000000002</v>
      </c>
      <c r="E36" s="11" cm="1">
        <f t="array" ref="E36">[1]!crv_interpolation($D$11:$D$13,$E$11:$E$13,D36)</f>
        <v>1695.0000000000002</v>
      </c>
      <c r="F36" s="11">
        <f t="shared" si="2"/>
        <v>110.25</v>
      </c>
      <c r="G36" s="11" cm="1">
        <f t="array" ref="G36">[1]!crv_interpolation($G$10:$G$12,$F$10:$F$12,E36)</f>
        <v>60.710099188458074</v>
      </c>
      <c r="H36" s="11">
        <f t="shared" si="3"/>
        <v>189.96931162102155</v>
      </c>
      <c r="I36" s="11">
        <f>109.574*(1.8*(G36+273)-460)^(-1.1217)*(0.9994+0.0058*(O35*101325/1000000)+0.6534*10^-4*(O35*101325/1000000)^2)</f>
        <v>0.48031799238636935</v>
      </c>
      <c r="J36" s="11">
        <f>gamma_w*1000/(1+(G36/10000)*(0.269*G36^0.637-0.8))</f>
        <v>1022.1367641004779</v>
      </c>
      <c r="K36" s="11">
        <f>J36*q_liq*0.094/I36/((d_in/1000)^2/4*PI())*1000</f>
        <v>328280.85366731725</v>
      </c>
      <c r="L36" s="11">
        <f t="shared" si="0"/>
        <v>4.1783639778247604E-3</v>
      </c>
      <c r="M36" s="11">
        <f>q_liq/((d_in/1000)^2/4*PI())</f>
        <v>1.6411094511775925</v>
      </c>
      <c r="N36" s="11">
        <f t="shared" si="4"/>
        <v>61.183247083073795</v>
      </c>
      <c r="O36" s="11">
        <f>O35-(D36-D35)*N35/101325+(E36-E35)*(J36+J35)/2*9.81/101325</f>
        <v>187.30116479090714</v>
      </c>
      <c r="Q36" s="2"/>
      <c r="R36" s="6"/>
      <c r="S36" s="5"/>
      <c r="T36" s="7"/>
    </row>
    <row r="37" spans="3:20" x14ac:dyDescent="0.25">
      <c r="C37" s="11">
        <v>20</v>
      </c>
      <c r="D37" s="11">
        <f t="shared" si="1"/>
        <v>1905.541666666667</v>
      </c>
      <c r="E37" s="11" cm="1">
        <f t="array" ref="E37">[1]!crv_interpolation($D$11:$D$13,$E$11:$E$13,D37)</f>
        <v>1782.166666666667</v>
      </c>
      <c r="F37" s="11">
        <f t="shared" si="2"/>
        <v>123.375</v>
      </c>
      <c r="G37" s="11" cm="1">
        <f t="array" ref="G37">[1]!crv_interpolation($G$10:$G$12,$F$10:$F$12,E37)</f>
        <v>62.675082657048399</v>
      </c>
      <c r="H37" s="11">
        <f t="shared" si="3"/>
        <v>198.7461110288676</v>
      </c>
      <c r="I37" s="11">
        <f>109.574*(1.8*(G37+273)-460)^(-1.1217)*(0.9994+0.0058*(O36*101325/1000000)+0.6534*10^-4*(O36*101325/1000000)^2)</f>
        <v>0.47008670371805888</v>
      </c>
      <c r="J37" s="11">
        <f>gamma_w*1000/(1+(G37/10000)*(0.269*G37^0.637-0.8))</f>
        <v>1021.0948131939141</v>
      </c>
      <c r="K37" s="11">
        <f>J37*q_liq*0.094/I37/((d_in/1000)^2/4*PI())*1000</f>
        <v>335083.8547683818</v>
      </c>
      <c r="L37" s="11">
        <f t="shared" si="0"/>
        <v>4.1724614486618626E-3</v>
      </c>
      <c r="M37" s="11">
        <f>q_liq/((d_in/1000)^2/4*PI())</f>
        <v>1.6411094511775925</v>
      </c>
      <c r="N37" s="11">
        <f t="shared" si="4"/>
        <v>61.034535926448335</v>
      </c>
      <c r="O37" s="11">
        <f>O36-(D37-D36)*N36/101325+(E37-E36)*(J37+J36)/2*9.81/101325</f>
        <v>195.86225631944521</v>
      </c>
      <c r="Q37" s="2"/>
      <c r="R37" s="6"/>
      <c r="S37" s="5"/>
      <c r="T37" s="7"/>
    </row>
    <row r="38" spans="3:20" x14ac:dyDescent="0.25">
      <c r="C38" s="11">
        <v>21</v>
      </c>
      <c r="D38" s="11">
        <f t="shared" si="1"/>
        <v>2005.8333333333337</v>
      </c>
      <c r="E38" s="11" cm="1">
        <f t="array" ref="E38">[1]!crv_interpolation($D$11:$D$13,$E$11:$E$13,D38)</f>
        <v>1869.3333333333337</v>
      </c>
      <c r="F38" s="11">
        <f t="shared" si="2"/>
        <v>136.5</v>
      </c>
      <c r="G38" s="11" cm="1">
        <f t="array" ref="G38">[1]!crv_interpolation($G$10:$G$12,$F$10:$F$12,E38)</f>
        <v>64.640066125638725</v>
      </c>
      <c r="H38" s="11">
        <f t="shared" si="3"/>
        <v>207.52291043671366</v>
      </c>
      <c r="I38" s="11">
        <f>109.574*(1.8*(G38+273)-460)^(-1.1217)*(0.9994+0.0058*(O37*101325/1000000)+0.6534*10^-4*(O37*101325/1000000)^2)</f>
        <v>0.46040253026234162</v>
      </c>
      <c r="J38" s="11">
        <f>gamma_w*1000/(1+(G38/10000)*(0.269*G38^0.637-0.8))</f>
        <v>1020.0308557238632</v>
      </c>
      <c r="K38" s="11">
        <f>J38*q_liq*0.094/I38/((d_in/1000)^2/4*PI())*1000</f>
        <v>341775.56327835732</v>
      </c>
      <c r="L38" s="11">
        <f t="shared" si="0"/>
        <v>4.1668551828341269E-3</v>
      </c>
      <c r="M38" s="11">
        <f>q_liq/((d_in/1000)^2/4*PI())</f>
        <v>1.6411094511775925</v>
      </c>
      <c r="N38" s="11">
        <f t="shared" si="4"/>
        <v>60.889016637568837</v>
      </c>
      <c r="O38" s="11">
        <f>O37-(D38-D37)*N37/101325+(E38-E37)*(J38+J37)/2*9.81/101325</f>
        <v>204.41460891976772</v>
      </c>
      <c r="Q38" s="2"/>
      <c r="R38" s="6"/>
      <c r="S38" s="5"/>
      <c r="T38" s="7"/>
    </row>
    <row r="39" spans="3:20" x14ac:dyDescent="0.25">
      <c r="C39" s="11">
        <v>22</v>
      </c>
      <c r="D39" s="11">
        <f t="shared" si="1"/>
        <v>2106.1250000000005</v>
      </c>
      <c r="E39" s="11" cm="1">
        <f t="array" ref="E39">[1]!crv_interpolation($D$11:$D$13,$E$11:$E$13,D39)</f>
        <v>1956.5000000000005</v>
      </c>
      <c r="F39" s="11">
        <f t="shared" si="2"/>
        <v>149.625</v>
      </c>
      <c r="G39" s="11" cm="1">
        <f t="array" ref="G39">[1]!crv_interpolation($G$10:$G$12,$F$10:$F$12,E39)</f>
        <v>66.605049594229044</v>
      </c>
      <c r="H39" s="11">
        <f t="shared" si="3"/>
        <v>216.29970984455971</v>
      </c>
      <c r="I39" s="11">
        <f>109.574*(1.8*(G39+273)-460)^(-1.1217)*(0.9994+0.0058*(O38*101325/1000000)+0.6534*10^-4*(O38*101325/1000000)^2)</f>
        <v>0.45122543599613818</v>
      </c>
      <c r="J39" s="11">
        <f>gamma_w*1000/(1+(G39/10000)*(0.269*G39^0.637-0.8))</f>
        <v>1018.9453041851111</v>
      </c>
      <c r="K39" s="11">
        <f>J39*q_liq*0.094/I39/((d_in/1000)^2/4*PI())*1000</f>
        <v>348355.52196325944</v>
      </c>
      <c r="L39" s="11">
        <f t="shared" si="0"/>
        <v>4.1615256828944338E-3</v>
      </c>
      <c r="M39" s="11">
        <f>q_liq/((d_in/1000)^2/4*PI())</f>
        <v>1.6411094511775925</v>
      </c>
      <c r="N39" s="11">
        <f t="shared" si="4"/>
        <v>60.746420956423684</v>
      </c>
      <c r="O39" s="11">
        <f>O38-(D39-D38)*N38/101325+(E39-E38)*(J39+J38)/2*9.81/101325</f>
        <v>212.95803545467231</v>
      </c>
      <c r="Q39" s="2"/>
      <c r="R39" s="6"/>
      <c r="S39" s="2"/>
      <c r="T39" s="7"/>
    </row>
    <row r="40" spans="3:20" x14ac:dyDescent="0.25">
      <c r="C40" s="11">
        <v>23</v>
      </c>
      <c r="D40" s="11">
        <f t="shared" si="1"/>
        <v>2206.416666666667</v>
      </c>
      <c r="E40" s="11" cm="1">
        <f t="array" ref="E40">[1]!crv_interpolation($D$11:$D$13,$E$11:$E$13,D40)</f>
        <v>2043.666666666667</v>
      </c>
      <c r="F40" s="11">
        <f t="shared" si="2"/>
        <v>162.75</v>
      </c>
      <c r="G40" s="11" cm="1">
        <f t="array" ref="G40">[1]!crv_interpolation($G$10:$G$12,$F$10:$F$12,E40)</f>
        <v>68.570033062819363</v>
      </c>
      <c r="H40" s="11">
        <f t="shared" si="3"/>
        <v>225.07650925240574</v>
      </c>
      <c r="I40" s="11">
        <f>109.574*(1.8*(G40+273)-460)^(-1.1217)*(0.9994+0.0058*(O39*101325/1000000)+0.6534*10^-4*(O39*101325/1000000)^2)</f>
        <v>0.44251914597591391</v>
      </c>
      <c r="J40" s="11">
        <f>gamma_w*1000/(1+(G40/10000)*(0.269*G40^0.637-0.8))</f>
        <v>1017.8385603562067</v>
      </c>
      <c r="K40" s="11">
        <f>J40*q_liq*0.094/I40/((d_in/1000)^2/4*PI())*1000</f>
        <v>354823.38483691617</v>
      </c>
      <c r="L40" s="11">
        <f t="shared" si="0"/>
        <v>4.1564551274411495E-3</v>
      </c>
      <c r="M40" s="11">
        <f>q_liq/((d_in/1000)^2/4*PI())</f>
        <v>1.6411094511775925</v>
      </c>
      <c r="N40" s="11">
        <f t="shared" si="4"/>
        <v>60.606504981426127</v>
      </c>
      <c r="O40" s="11">
        <f>O39-(D40-D39)*N39/101325+(E40-E39)*(J40+J39)/2*9.81/101325</f>
        <v>221.49235248840088</v>
      </c>
      <c r="Q40" s="2"/>
      <c r="R40" s="6"/>
      <c r="S40" s="5"/>
      <c r="T40" s="7"/>
    </row>
    <row r="41" spans="3:20" x14ac:dyDescent="0.25">
      <c r="C41" s="11">
        <v>24</v>
      </c>
      <c r="D41" s="11">
        <f t="shared" si="1"/>
        <v>2306.7083333333335</v>
      </c>
      <c r="E41" s="11" cm="1">
        <f t="array" ref="E41">[1]!crv_interpolation($D$11:$D$13,$E$11:$E$13,D41)</f>
        <v>2130.8333333333335</v>
      </c>
      <c r="F41" s="11">
        <f t="shared" si="2"/>
        <v>175.875</v>
      </c>
      <c r="G41" s="11" cm="1">
        <f t="array" ref="G41">[1]!crv_interpolation($G$10:$G$12,$F$10:$F$12,E41)</f>
        <v>70.535016531409681</v>
      </c>
      <c r="H41" s="11">
        <f t="shared" si="3"/>
        <v>233.85330866025177</v>
      </c>
      <c r="I41" s="11">
        <f>109.574*(1.8*(G41+273)-460)^(-1.1217)*(0.9994+0.0058*(O40*101325/1000000)+0.6534*10^-4*(O40*101325/1000000)^2)</f>
        <v>0.43425071695227097</v>
      </c>
      <c r="J41" s="11">
        <f>gamma_w*1000/(1+(G41/10000)*(0.269*G41^0.637-0.8))</f>
        <v>1016.7110160091521</v>
      </c>
      <c r="K41" s="11">
        <f>J41*q_liq*0.094/I41/((d_in/1000)^2/4*PI())*1000</f>
        <v>361178.91181559983</v>
      </c>
      <c r="L41" s="11">
        <f t="shared" si="0"/>
        <v>4.151627194276971E-3</v>
      </c>
      <c r="M41" s="11">
        <f>q_liq/((d_in/1000)^2/4*PI())</f>
        <v>1.6411094511775925</v>
      </c>
      <c r="N41" s="11">
        <f t="shared" si="4"/>
        <v>60.469046579770591</v>
      </c>
      <c r="O41" s="11">
        <f>O40-(D41-D40)*N40/101325+(E41-E40)*(J41+J40)/2*9.81/101325</f>
        <v>230.01738017508748</v>
      </c>
      <c r="Q41" s="2"/>
      <c r="R41" s="6"/>
      <c r="S41" s="5"/>
      <c r="T41" s="7"/>
    </row>
    <row r="42" spans="3:20" x14ac:dyDescent="0.25">
      <c r="C42" s="11">
        <v>25</v>
      </c>
      <c r="D42" s="11">
        <f t="shared" si="1"/>
        <v>2407</v>
      </c>
      <c r="E42" s="11" cm="1">
        <f t="array" ref="E42">[1]!crv_interpolation($D$11:$D$13,$E$11:$E$13,D42)</f>
        <v>2218</v>
      </c>
      <c r="F42" s="11">
        <f t="shared" si="2"/>
        <v>189</v>
      </c>
      <c r="G42" s="11" cm="1">
        <f t="array" ref="G42">[1]!crv_interpolation($G$10:$G$12,$F$10:$F$12,E42)</f>
        <v>72.5</v>
      </c>
      <c r="H42" s="11">
        <f t="shared" si="3"/>
        <v>242.6301080680978</v>
      </c>
      <c r="I42" s="11">
        <f>109.574*(1.8*(G42+273)-460)^(-1.1217)*(0.9994+0.0058*(O41*101325/1000000)+0.6534*10^-4*(O41*101325/1000000)^2)</f>
        <v>0.42639016531007012</v>
      </c>
      <c r="J42" s="11">
        <f>gamma_w*1000/(1+(G42/10000)*(0.269*G42^0.637-0.8))</f>
        <v>1015.5630535482757</v>
      </c>
      <c r="K42" s="11">
        <f>J42*q_liq*0.094/I42/((d_in/1000)^2/4*PI())*1000</f>
        <v>367421.96358560334</v>
      </c>
      <c r="L42" s="11">
        <f t="shared" si="0"/>
        <v>4.1470269055654046E-3</v>
      </c>
      <c r="M42" s="11">
        <f>q_liq/((d_in/1000)^2/4*PI())</f>
        <v>1.6411094511775925</v>
      </c>
      <c r="N42" s="11">
        <f t="shared" si="4"/>
        <v>60.333843120625524</v>
      </c>
      <c r="O42" s="11">
        <f>O41-(D42-D41)*N41/101325+(E42-E41)*(J42+J41)/2*9.81/101325</f>
        <v>238.53294215545975</v>
      </c>
      <c r="Q42" s="2"/>
      <c r="R42" s="6"/>
      <c r="S42" s="5"/>
      <c r="T42" s="7"/>
    </row>
    <row r="47" spans="3:20" x14ac:dyDescent="0.25">
      <c r="O47" t="s">
        <v>12</v>
      </c>
    </row>
    <row r="48" spans="3:20" x14ac:dyDescent="0.25">
      <c r="O48" t="s">
        <v>9</v>
      </c>
    </row>
    <row r="49" spans="2:21" x14ac:dyDescent="0.25">
      <c r="O49" t="s">
        <v>10</v>
      </c>
    </row>
    <row r="50" spans="2:21" x14ac:dyDescent="0.25">
      <c r="O50" t="s">
        <v>11</v>
      </c>
      <c r="P50" t="s">
        <v>13</v>
      </c>
    </row>
    <row r="51" spans="2:21" x14ac:dyDescent="0.25">
      <c r="O51" t="s">
        <v>14</v>
      </c>
      <c r="P51">
        <f>(500-10)/24</f>
        <v>20.416666666666668</v>
      </c>
    </row>
    <row r="52" spans="2:21" x14ac:dyDescent="0.25">
      <c r="O52" t="s">
        <v>15</v>
      </c>
      <c r="P52">
        <f>(50-10)/24</f>
        <v>1.6666666666666667</v>
      </c>
    </row>
    <row r="59" spans="2:21" x14ac:dyDescent="0.25">
      <c r="D59" s="9" t="s">
        <v>16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1" spans="2:21" x14ac:dyDescent="0.25">
      <c r="B61" t="s">
        <v>19</v>
      </c>
      <c r="C61" t="s">
        <v>17</v>
      </c>
      <c r="D61" t="s">
        <v>17</v>
      </c>
      <c r="E61" s="2" t="s">
        <v>18</v>
      </c>
      <c r="F61" t="s">
        <v>17</v>
      </c>
      <c r="G61" t="s">
        <v>8</v>
      </c>
      <c r="S61" s="2" t="s">
        <v>3</v>
      </c>
      <c r="T61" t="s">
        <v>17</v>
      </c>
      <c r="U61" t="s">
        <v>8</v>
      </c>
    </row>
    <row r="62" spans="2:21" x14ac:dyDescent="0.25">
      <c r="B62">
        <v>0</v>
      </c>
      <c r="C62">
        <v>19.3</v>
      </c>
      <c r="D62">
        <v>240.01660888899198</v>
      </c>
      <c r="E62" s="2">
        <v>10</v>
      </c>
      <c r="F62">
        <v>239.53742814258285</v>
      </c>
      <c r="G62" s="7">
        <v>10</v>
      </c>
      <c r="S62" s="2">
        <v>1</v>
      </c>
      <c r="T62">
        <v>239.53742814258285</v>
      </c>
      <c r="U62" s="7">
        <v>10</v>
      </c>
    </row>
    <row r="63" spans="2:21" x14ac:dyDescent="0.25">
      <c r="B63">
        <v>100.29166666666666</v>
      </c>
      <c r="C63">
        <v>29.041015762393545</v>
      </c>
      <c r="D63">
        <v>240.00738716535358</v>
      </c>
      <c r="E63" s="2">
        <v>30.416666666666668</v>
      </c>
      <c r="F63">
        <v>239.41885250618077</v>
      </c>
      <c r="G63" s="7">
        <v>11.666666666666666</v>
      </c>
      <c r="S63" s="2">
        <v>2</v>
      </c>
      <c r="T63">
        <v>239.41885250618077</v>
      </c>
      <c r="U63" s="7">
        <v>11.666666666666666</v>
      </c>
    </row>
    <row r="64" spans="2:21" x14ac:dyDescent="0.25">
      <c r="B64">
        <v>200.58333333333331</v>
      </c>
      <c r="C64">
        <v>38.77687210048542</v>
      </c>
      <c r="D64">
        <v>239.99136764339815</v>
      </c>
      <c r="E64" s="2">
        <v>50.833333333333336</v>
      </c>
      <c r="F64">
        <v>239.29595306452822</v>
      </c>
      <c r="G64" s="7">
        <v>13.333333333333332</v>
      </c>
      <c r="S64" s="2">
        <v>3</v>
      </c>
      <c r="T64">
        <v>239.29595306452822</v>
      </c>
      <c r="U64" s="7">
        <v>13.333333333333332</v>
      </c>
    </row>
    <row r="65" spans="2:21" x14ac:dyDescent="0.25">
      <c r="B65">
        <v>300.875</v>
      </c>
      <c r="C65">
        <v>48.507098748165625</v>
      </c>
      <c r="D65">
        <v>239.96896617454215</v>
      </c>
      <c r="E65" s="2">
        <v>71.25</v>
      </c>
      <c r="F65">
        <v>239.16740544351373</v>
      </c>
      <c r="G65" s="7">
        <v>14.999999999999998</v>
      </c>
      <c r="S65" s="2">
        <v>4</v>
      </c>
      <c r="T65">
        <v>239.16740544351373</v>
      </c>
      <c r="U65" s="7">
        <v>14.999999999999998</v>
      </c>
    </row>
    <row r="66" spans="2:21" x14ac:dyDescent="0.25">
      <c r="B66">
        <v>401.16666666666663</v>
      </c>
      <c r="C66">
        <v>58.231281855809485</v>
      </c>
      <c r="D66">
        <v>239.94038448446119</v>
      </c>
      <c r="E66" s="2">
        <v>91.666666666666671</v>
      </c>
      <c r="F66">
        <v>239.03407757363399</v>
      </c>
      <c r="G66" s="7">
        <v>16.666666666666664</v>
      </c>
      <c r="S66" s="2">
        <v>5</v>
      </c>
      <c r="T66">
        <v>239.03407757363399</v>
      </c>
      <c r="U66" s="7">
        <v>16.666666666666664</v>
      </c>
    </row>
    <row r="67" spans="2:21" x14ac:dyDescent="0.25">
      <c r="B67">
        <v>501.45833333333326</v>
      </c>
      <c r="C67">
        <v>67.949023215338428</v>
      </c>
      <c r="D67">
        <v>239.90575333271386</v>
      </c>
      <c r="E67" s="2">
        <v>112.08333333333334</v>
      </c>
      <c r="F67">
        <v>238.89693984822622</v>
      </c>
      <c r="G67" s="7">
        <v>18.333333333333332</v>
      </c>
      <c r="S67" s="2">
        <v>6</v>
      </c>
      <c r="T67">
        <v>238.89693984822622</v>
      </c>
      <c r="U67" s="7">
        <v>18.333333333333332</v>
      </c>
    </row>
    <row r="68" spans="2:21" x14ac:dyDescent="0.25">
      <c r="B68">
        <v>601.74999999999989</v>
      </c>
      <c r="C68">
        <v>77.65993872405096</v>
      </c>
      <c r="D68">
        <v>239.86511125880733</v>
      </c>
      <c r="E68" s="2">
        <v>132.5</v>
      </c>
      <c r="F68">
        <v>238.75445992554708</v>
      </c>
      <c r="G68" s="7">
        <v>20</v>
      </c>
      <c r="S68" s="2">
        <v>7</v>
      </c>
      <c r="T68">
        <v>238.75445992554708</v>
      </c>
      <c r="U68" s="7">
        <v>20</v>
      </c>
    </row>
    <row r="69" spans="2:21" x14ac:dyDescent="0.25">
      <c r="B69">
        <v>702.04166666666652</v>
      </c>
      <c r="C69">
        <v>87.363657109681839</v>
      </c>
      <c r="D69">
        <v>239.81852406799069</v>
      </c>
      <c r="E69" s="2">
        <v>152.91666666666666</v>
      </c>
      <c r="F69">
        <v>238.60756210720331</v>
      </c>
      <c r="G69" s="7">
        <v>21.666666666666668</v>
      </c>
      <c r="S69" s="2">
        <v>8</v>
      </c>
      <c r="T69">
        <v>238.60756210720331</v>
      </c>
      <c r="U69" s="7">
        <v>21.666666666666668</v>
      </c>
    </row>
    <row r="70" spans="2:21" x14ac:dyDescent="0.25">
      <c r="B70">
        <v>802.33333333333314</v>
      </c>
      <c r="C70">
        <v>97.059818860391161</v>
      </c>
      <c r="D70">
        <v>239.76605562763331</v>
      </c>
      <c r="E70" s="2">
        <v>173.33333333333331</v>
      </c>
      <c r="F70">
        <v>238.45726908895131</v>
      </c>
      <c r="G70" s="7">
        <v>23.333333333333336</v>
      </c>
      <c r="S70" s="2">
        <v>9</v>
      </c>
      <c r="T70">
        <v>238.45726908895131</v>
      </c>
      <c r="U70" s="7">
        <v>23.333333333333336</v>
      </c>
    </row>
    <row r="71" spans="2:21" x14ac:dyDescent="0.25">
      <c r="B71">
        <v>902.62499999999977</v>
      </c>
      <c r="C71">
        <v>106.74807531777857</v>
      </c>
      <c r="D71">
        <v>239.70768233296448</v>
      </c>
      <c r="E71" s="2">
        <v>193.74999999999997</v>
      </c>
      <c r="F71">
        <v>238.30186785386906</v>
      </c>
      <c r="G71" s="7">
        <v>25.000000000000004</v>
      </c>
      <c r="S71" s="2">
        <v>10</v>
      </c>
      <c r="T71">
        <v>238.30186785386906</v>
      </c>
      <c r="U71" s="7">
        <v>25.000000000000004</v>
      </c>
    </row>
    <row r="72" spans="2:21" x14ac:dyDescent="0.25">
      <c r="B72">
        <v>1002.9166666666664</v>
      </c>
      <c r="C72">
        <v>116.42808790114572</v>
      </c>
      <c r="D72">
        <v>239.64345015190605</v>
      </c>
      <c r="E72" s="2">
        <v>214.16666666666663</v>
      </c>
      <c r="F72">
        <v>238.14234363258407</v>
      </c>
      <c r="G72" s="7">
        <v>26.666666666666671</v>
      </c>
      <c r="S72" s="2">
        <v>11</v>
      </c>
      <c r="T72">
        <v>238.14234363258407</v>
      </c>
      <c r="U72" s="7">
        <v>26.666666666666671</v>
      </c>
    </row>
    <row r="73" spans="2:21" x14ac:dyDescent="0.25">
      <c r="B73">
        <v>1103.208333333333</v>
      </c>
      <c r="C73">
        <v>126.09952743856601</v>
      </c>
      <c r="D73">
        <v>239.57341216325278</v>
      </c>
      <c r="E73" s="2">
        <v>234.58333333333329</v>
      </c>
      <c r="F73">
        <v>237.97977541384952</v>
      </c>
      <c r="G73" s="7">
        <v>28.333333333333339</v>
      </c>
      <c r="S73" s="2">
        <v>12</v>
      </c>
      <c r="T73">
        <v>237.97977541384952</v>
      </c>
      <c r="U73" s="7">
        <v>28.333333333333339</v>
      </c>
    </row>
    <row r="74" spans="2:21" x14ac:dyDescent="0.25">
      <c r="B74">
        <v>1203.4999999999998</v>
      </c>
      <c r="C74">
        <v>135.76207358572114</v>
      </c>
      <c r="D74">
        <v>239.49751384791574</v>
      </c>
      <c r="E74" s="2">
        <v>254.99999999999994</v>
      </c>
      <c r="F74">
        <v>237.81228753233162</v>
      </c>
      <c r="G74" s="7">
        <v>30.000000000000007</v>
      </c>
      <c r="S74" s="2">
        <v>13</v>
      </c>
      <c r="T74">
        <v>237.81228753233162</v>
      </c>
      <c r="U74" s="7">
        <v>30.000000000000007</v>
      </c>
    </row>
    <row r="75" spans="2:21" x14ac:dyDescent="0.25">
      <c r="B75">
        <v>1303.7916666666665</v>
      </c>
      <c r="C75">
        <v>144.37144827957607</v>
      </c>
      <c r="D75">
        <v>239.41579977918417</v>
      </c>
      <c r="E75" s="2">
        <v>275.41666666666663</v>
      </c>
      <c r="F75">
        <v>237.640926846675</v>
      </c>
      <c r="G75" s="7">
        <v>31.666666666666675</v>
      </c>
      <c r="S75" s="2">
        <v>14</v>
      </c>
      <c r="T75">
        <v>237.640926846675</v>
      </c>
      <c r="U75" s="7">
        <v>31.666666666666675</v>
      </c>
    </row>
    <row r="76" spans="2:21" x14ac:dyDescent="0.25">
      <c r="B76">
        <v>1404.0833333333333</v>
      </c>
      <c r="C76">
        <v>152.97328875857366</v>
      </c>
      <c r="D76">
        <v>239.32832404675634</v>
      </c>
      <c r="E76" s="2">
        <v>295.83333333333331</v>
      </c>
      <c r="F76">
        <v>237.46682940281661</v>
      </c>
      <c r="G76" s="7">
        <v>33.333333333333343</v>
      </c>
      <c r="S76" s="2">
        <v>15</v>
      </c>
      <c r="T76">
        <v>237.46682940281661</v>
      </c>
      <c r="U76" s="7">
        <v>33.333333333333343</v>
      </c>
    </row>
    <row r="77" spans="2:21" x14ac:dyDescent="0.25">
      <c r="B77">
        <v>1504.375</v>
      </c>
      <c r="C77">
        <v>161.56738614135512</v>
      </c>
      <c r="D77">
        <v>239.2350092642819</v>
      </c>
      <c r="E77" s="2">
        <v>316.25</v>
      </c>
      <c r="F77">
        <v>237.28797019292259</v>
      </c>
      <c r="G77" s="7">
        <v>35.000000000000007</v>
      </c>
      <c r="S77" s="2">
        <v>16</v>
      </c>
      <c r="T77">
        <v>237.28797019292259</v>
      </c>
      <c r="U77" s="7">
        <v>35.000000000000007</v>
      </c>
    </row>
    <row r="78" spans="2:21" x14ac:dyDescent="0.25">
      <c r="B78">
        <v>1604.6666666666667</v>
      </c>
      <c r="C78">
        <v>170.15353274057654</v>
      </c>
      <c r="D78">
        <v>239.13590402811803</v>
      </c>
      <c r="E78" s="2">
        <v>336.66666666666669</v>
      </c>
      <c r="F78">
        <v>237.10545678438649</v>
      </c>
      <c r="G78" s="7">
        <v>36.666666666666671</v>
      </c>
      <c r="S78" s="2">
        <v>17</v>
      </c>
      <c r="T78">
        <v>237.10545678438649</v>
      </c>
      <c r="U78" s="7">
        <v>36.666666666666671</v>
      </c>
    </row>
    <row r="79" spans="2:21" x14ac:dyDescent="0.25">
      <c r="B79">
        <v>1704.9583333333335</v>
      </c>
      <c r="C79">
        <v>178.73152529362028</v>
      </c>
      <c r="D79">
        <v>239.03106732341311</v>
      </c>
      <c r="E79" s="2">
        <v>357.08333333333337</v>
      </c>
      <c r="F79">
        <v>236.92048159157281</v>
      </c>
      <c r="G79" s="7">
        <v>38.333333333333336</v>
      </c>
      <c r="S79" s="2">
        <v>18</v>
      </c>
      <c r="T79">
        <v>236.92048159157281</v>
      </c>
      <c r="U79" s="7">
        <v>38.333333333333336</v>
      </c>
    </row>
    <row r="80" spans="2:21" x14ac:dyDescent="0.25">
      <c r="B80">
        <v>1805.2500000000002</v>
      </c>
      <c r="C80">
        <v>187.30116479090714</v>
      </c>
      <c r="D80">
        <v>238.92040184022952</v>
      </c>
      <c r="E80" s="2">
        <v>377.50000000000006</v>
      </c>
      <c r="F80">
        <v>236.73088081992182</v>
      </c>
      <c r="G80" s="7">
        <v>40</v>
      </c>
      <c r="S80" s="2">
        <v>19</v>
      </c>
      <c r="T80">
        <v>236.73088081992182</v>
      </c>
      <c r="U80" s="7">
        <v>40</v>
      </c>
    </row>
    <row r="81" spans="2:31" x14ac:dyDescent="0.25">
      <c r="B81">
        <v>1905.541666666667</v>
      </c>
      <c r="C81">
        <v>195.86225631944521</v>
      </c>
      <c r="D81">
        <v>238.80396230367805</v>
      </c>
      <c r="E81" s="2">
        <v>397.91666666666674</v>
      </c>
      <c r="F81">
        <v>236.53782109748116</v>
      </c>
      <c r="G81" s="7">
        <v>41.666666666666664</v>
      </c>
      <c r="S81" s="2">
        <v>20</v>
      </c>
      <c r="T81">
        <v>236.53782109748116</v>
      </c>
      <c r="U81" s="7">
        <v>41.666666666666664</v>
      </c>
    </row>
    <row r="82" spans="2:31" x14ac:dyDescent="0.25">
      <c r="B82">
        <v>2005.8333333333337</v>
      </c>
      <c r="C82">
        <v>204.41460891976772</v>
      </c>
      <c r="D82">
        <v>238.68181420689717</v>
      </c>
      <c r="E82" s="2">
        <v>418.33333333333343</v>
      </c>
      <c r="F82">
        <v>236.34254981877407</v>
      </c>
      <c r="G82" s="7">
        <v>43.333333333333329</v>
      </c>
      <c r="S82" s="2">
        <v>21</v>
      </c>
      <c r="T82">
        <v>236.34254981877407</v>
      </c>
      <c r="U82" s="7">
        <v>43.333333333333329</v>
      </c>
    </row>
    <row r="83" spans="2:31" x14ac:dyDescent="0.25">
      <c r="B83">
        <v>2106.1250000000005</v>
      </c>
      <c r="C83">
        <v>212.95803545467231</v>
      </c>
      <c r="D83">
        <v>238.55384163059639</v>
      </c>
      <c r="E83" s="2">
        <v>438.75000000000011</v>
      </c>
      <c r="F83">
        <v>236.14277320292931</v>
      </c>
      <c r="G83" s="7">
        <v>44.999999999999993</v>
      </c>
      <c r="S83" s="2">
        <v>22</v>
      </c>
      <c r="T83">
        <v>236.14277320292931</v>
      </c>
      <c r="U83" s="7">
        <v>44.999999999999993</v>
      </c>
    </row>
    <row r="84" spans="2:31" x14ac:dyDescent="0.25">
      <c r="B84">
        <v>2206.416666666667</v>
      </c>
      <c r="C84">
        <v>221.49235248840088</v>
      </c>
      <c r="D84">
        <v>238.42010639712211</v>
      </c>
      <c r="E84" s="2">
        <v>459.1666666666668</v>
      </c>
      <c r="F84">
        <v>235.93971495882738</v>
      </c>
      <c r="G84" s="7">
        <v>46.666666666666657</v>
      </c>
      <c r="S84" s="2">
        <v>23</v>
      </c>
      <c r="T84">
        <v>235.93971495882738</v>
      </c>
      <c r="U84" s="7">
        <v>46.666666666666657</v>
      </c>
    </row>
    <row r="85" spans="2:31" x14ac:dyDescent="0.25">
      <c r="B85">
        <v>2306.7083333333335</v>
      </c>
      <c r="C85">
        <v>230.01738017508748</v>
      </c>
      <c r="D85">
        <v>238.28068128262288</v>
      </c>
      <c r="E85" s="2">
        <v>479.58333333333348</v>
      </c>
      <c r="F85">
        <v>235.7346757285309</v>
      </c>
      <c r="G85" s="7">
        <v>48.333333333333321</v>
      </c>
      <c r="S85" s="2">
        <v>24</v>
      </c>
      <c r="T85">
        <v>235.7346757285309</v>
      </c>
      <c r="U85" s="7">
        <v>48.333333333333321</v>
      </c>
    </row>
    <row r="86" spans="2:31" x14ac:dyDescent="0.25">
      <c r="B86">
        <v>2407</v>
      </c>
      <c r="C86">
        <v>238.53294215545975</v>
      </c>
      <c r="D86">
        <v>238.13543242819586</v>
      </c>
      <c r="E86" s="2">
        <v>500.00000000000017</v>
      </c>
      <c r="F86">
        <v>235.52523934644915</v>
      </c>
      <c r="G86" s="7">
        <v>49.999999999999986</v>
      </c>
      <c r="S86" s="2">
        <v>25</v>
      </c>
      <c r="T86">
        <v>235.52523934644915</v>
      </c>
      <c r="U86" s="7">
        <v>49.999999999999986</v>
      </c>
    </row>
    <row r="87" spans="2:31" x14ac:dyDescent="0.25">
      <c r="B87" t="s">
        <v>18</v>
      </c>
      <c r="C87" t="s">
        <v>17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2:31" x14ac:dyDescent="0.25">
      <c r="B88">
        <v>10</v>
      </c>
      <c r="C88">
        <v>240.01660888899198</v>
      </c>
      <c r="E88" s="2"/>
    </row>
    <row r="89" spans="2:31" x14ac:dyDescent="0.25">
      <c r="B89">
        <v>30.416666666666668</v>
      </c>
      <c r="C89">
        <v>240.00738716535358</v>
      </c>
      <c r="E89" s="2"/>
      <c r="G89" s="4"/>
    </row>
    <row r="90" spans="2:31" x14ac:dyDescent="0.25">
      <c r="B90">
        <v>50.833333333333336</v>
      </c>
      <c r="C90">
        <v>239.99136764339815</v>
      </c>
      <c r="E90" s="2"/>
      <c r="G90" s="4"/>
    </row>
    <row r="91" spans="2:31" x14ac:dyDescent="0.25">
      <c r="B91">
        <v>71.25</v>
      </c>
      <c r="C91">
        <v>239.96896617454215</v>
      </c>
      <c r="E91" s="2"/>
      <c r="G91" s="4" t="str" cm="1">
        <f t="array" ref="G91:I91">CONCATENATE(H92:J92)</f>
        <v>1,</v>
      </c>
      <c r="H91" t="str">
        <v>2,</v>
      </c>
      <c r="I91" t="str">
        <v>3,</v>
      </c>
    </row>
    <row r="92" spans="2:31" x14ac:dyDescent="0.25">
      <c r="B92">
        <v>91.666666666666671</v>
      </c>
      <c r="C92">
        <v>239.94038448446119</v>
      </c>
      <c r="E92" s="2"/>
      <c r="G92" s="4"/>
      <c r="H92" t="s">
        <v>20</v>
      </c>
      <c r="I92" t="s">
        <v>21</v>
      </c>
      <c r="J92" t="s">
        <v>22</v>
      </c>
    </row>
    <row r="93" spans="2:31" x14ac:dyDescent="0.25">
      <c r="B93">
        <v>112.08333333333334</v>
      </c>
      <c r="C93">
        <v>239.90575333271386</v>
      </c>
      <c r="E93" s="2"/>
      <c r="G93" s="4">
        <v>0</v>
      </c>
      <c r="H93">
        <v>100.29166666666666</v>
      </c>
      <c r="I93">
        <v>200.58333333333331</v>
      </c>
      <c r="J93">
        <v>300.875</v>
      </c>
      <c r="K93">
        <v>401.16666666666663</v>
      </c>
      <c r="L93">
        <v>501.45833333333326</v>
      </c>
      <c r="M93">
        <v>601.74999999999989</v>
      </c>
      <c r="N93">
        <v>702.04166666666652</v>
      </c>
      <c r="O93">
        <v>802.33333333333314</v>
      </c>
      <c r="P93">
        <v>902.62499999999977</v>
      </c>
      <c r="Q93">
        <v>1002.9166666666664</v>
      </c>
      <c r="R93">
        <v>1103.208333333333</v>
      </c>
      <c r="S93">
        <v>1203.4999999999998</v>
      </c>
      <c r="T93">
        <v>1303.7916666666665</v>
      </c>
      <c r="U93">
        <v>1404.0833333333333</v>
      </c>
      <c r="V93">
        <v>1504.375</v>
      </c>
      <c r="W93">
        <v>1604.6666666666667</v>
      </c>
      <c r="X93">
        <v>1704.9583333333335</v>
      </c>
      <c r="Y93">
        <v>1805.2500000000002</v>
      </c>
      <c r="Z93">
        <v>1905.541666666667</v>
      </c>
      <c r="AA93">
        <v>2005.8333333333337</v>
      </c>
      <c r="AB93">
        <v>2106.1250000000005</v>
      </c>
      <c r="AC93">
        <v>2206.416666666667</v>
      </c>
      <c r="AD93">
        <v>2306.7083333333335</v>
      </c>
      <c r="AE93">
        <v>2407</v>
      </c>
    </row>
    <row r="94" spans="2:31" x14ac:dyDescent="0.25">
      <c r="B94">
        <v>132.5</v>
      </c>
      <c r="C94">
        <v>239.86511125880733</v>
      </c>
      <c r="E94" s="2"/>
      <c r="G94" s="4"/>
    </row>
    <row r="95" spans="2:31" x14ac:dyDescent="0.25">
      <c r="B95">
        <v>152.91666666666666</v>
      </c>
      <c r="C95">
        <v>239.81852406799069</v>
      </c>
      <c r="E95" s="2"/>
      <c r="G95" s="4"/>
    </row>
    <row r="96" spans="2:31" x14ac:dyDescent="0.25">
      <c r="B96">
        <v>173.33333333333331</v>
      </c>
      <c r="C96">
        <v>239.76605562763331</v>
      </c>
      <c r="E96" s="2"/>
      <c r="G96" s="4"/>
    </row>
    <row r="97" spans="2:83" x14ac:dyDescent="0.25">
      <c r="B97">
        <v>193.74999999999997</v>
      </c>
      <c r="C97">
        <v>239.70768233296448</v>
      </c>
      <c r="E97" s="2"/>
      <c r="F97" t="s">
        <v>19</v>
      </c>
      <c r="G97" s="3">
        <v>0</v>
      </c>
      <c r="H97">
        <v>100.29166666666666</v>
      </c>
      <c r="I97">
        <v>200.58333333333331</v>
      </c>
      <c r="J97">
        <v>300.875</v>
      </c>
      <c r="K97">
        <v>401.16666666666663</v>
      </c>
      <c r="L97">
        <v>501.45833333333326</v>
      </c>
      <c r="M97">
        <v>601.74999999999989</v>
      </c>
      <c r="N97">
        <v>702.04166666666652</v>
      </c>
      <c r="O97">
        <v>802.33333333333314</v>
      </c>
      <c r="P97">
        <v>902.62499999999977</v>
      </c>
      <c r="Q97">
        <v>1002.9166666666664</v>
      </c>
      <c r="R97">
        <v>1103.208333333333</v>
      </c>
      <c r="S97">
        <v>1203.4999999999998</v>
      </c>
      <c r="T97">
        <v>1303.7916666666665</v>
      </c>
      <c r="U97">
        <v>1404.0833333333333</v>
      </c>
      <c r="V97">
        <v>1504.375</v>
      </c>
      <c r="W97">
        <v>1604.6666666666667</v>
      </c>
      <c r="X97">
        <v>1704.9583333333335</v>
      </c>
      <c r="Y97">
        <v>1805.2500000000002</v>
      </c>
      <c r="Z97">
        <v>1905.541666666667</v>
      </c>
      <c r="AA97">
        <v>2005.8333333333337</v>
      </c>
      <c r="AB97">
        <v>2106.1250000000005</v>
      </c>
      <c r="AC97">
        <v>2206.416666666667</v>
      </c>
      <c r="AD97">
        <v>2306.7083333333335</v>
      </c>
      <c r="AE97">
        <v>2407</v>
      </c>
      <c r="AF97" t="s">
        <v>18</v>
      </c>
      <c r="AG97">
        <v>10</v>
      </c>
      <c r="AH97">
        <v>30.416666666666668</v>
      </c>
      <c r="AI97">
        <v>50.833333333333336</v>
      </c>
      <c r="AJ97">
        <v>71.25</v>
      </c>
      <c r="AK97">
        <v>91.666666666666671</v>
      </c>
      <c r="AL97">
        <v>112.08333333333334</v>
      </c>
      <c r="AM97">
        <v>132.5</v>
      </c>
      <c r="AN97">
        <v>152.91666666666666</v>
      </c>
      <c r="AO97">
        <v>173.33333333333331</v>
      </c>
      <c r="AP97">
        <v>193.74999999999997</v>
      </c>
      <c r="AQ97">
        <v>214.16666666666663</v>
      </c>
      <c r="AR97">
        <v>234.58333333333329</v>
      </c>
      <c r="AS97">
        <v>254.99999999999994</v>
      </c>
      <c r="AT97">
        <v>275.41666666666663</v>
      </c>
      <c r="AU97">
        <v>295.83333333333331</v>
      </c>
      <c r="AV97">
        <v>316.25</v>
      </c>
      <c r="AW97">
        <v>336.66666666666669</v>
      </c>
      <c r="AX97">
        <v>357.08333333333337</v>
      </c>
      <c r="AY97">
        <v>377.50000000000006</v>
      </c>
      <c r="AZ97">
        <v>397.91666666666674</v>
      </c>
      <c r="BA97">
        <v>418.33333333333343</v>
      </c>
      <c r="BB97">
        <v>438.75000000000011</v>
      </c>
      <c r="BC97">
        <v>459.1666666666668</v>
      </c>
      <c r="BD97">
        <v>479.58333333333348</v>
      </c>
      <c r="BE97">
        <v>500.00000000000017</v>
      </c>
      <c r="BF97" t="s">
        <v>8</v>
      </c>
      <c r="BG97">
        <v>10</v>
      </c>
      <c r="BH97">
        <v>11.666666666666666</v>
      </c>
      <c r="BI97">
        <v>13.333333333333332</v>
      </c>
      <c r="BJ97">
        <v>14.999999999999998</v>
      </c>
      <c r="BK97">
        <v>16.666666666666664</v>
      </c>
      <c r="BL97">
        <v>18.333333333333332</v>
      </c>
      <c r="BM97">
        <v>20</v>
      </c>
      <c r="BN97">
        <v>21.666666666666668</v>
      </c>
      <c r="BO97">
        <v>23.333333333333336</v>
      </c>
      <c r="BP97">
        <v>25.000000000000004</v>
      </c>
      <c r="BQ97">
        <v>26.666666666666671</v>
      </c>
      <c r="BR97">
        <v>28.333333333333339</v>
      </c>
      <c r="BS97">
        <v>30.000000000000007</v>
      </c>
      <c r="BT97">
        <v>31.666666666666675</v>
      </c>
      <c r="BU97">
        <v>33.333333333333343</v>
      </c>
      <c r="BV97">
        <v>35.000000000000007</v>
      </c>
      <c r="BW97">
        <v>36.666666666666671</v>
      </c>
      <c r="BX97">
        <v>38.333333333333336</v>
      </c>
      <c r="BY97">
        <v>40</v>
      </c>
      <c r="BZ97">
        <v>41.666666666666664</v>
      </c>
      <c r="CA97">
        <v>43.333333333333329</v>
      </c>
      <c r="CB97">
        <v>44.999999999999993</v>
      </c>
      <c r="CC97">
        <v>46.666666666666657</v>
      </c>
      <c r="CD97">
        <v>48.333333333333321</v>
      </c>
      <c r="CE97">
        <v>49.999999999999986</v>
      </c>
    </row>
    <row r="98" spans="2:83" x14ac:dyDescent="0.25">
      <c r="B98">
        <v>214.16666666666663</v>
      </c>
      <c r="C98">
        <v>239.64345015190605</v>
      </c>
      <c r="E98" s="2"/>
      <c r="F98" t="s">
        <v>17</v>
      </c>
      <c r="G98">
        <v>19.3</v>
      </c>
      <c r="H98">
        <v>29.041015762393545</v>
      </c>
      <c r="I98">
        <v>38.77687210048542</v>
      </c>
      <c r="J98">
        <v>48.507098748165625</v>
      </c>
      <c r="K98">
        <v>58.231281855809485</v>
      </c>
      <c r="L98">
        <v>67.949023215338428</v>
      </c>
      <c r="M98">
        <v>77.65993872405096</v>
      </c>
      <c r="N98">
        <v>87.363657109681839</v>
      </c>
      <c r="O98">
        <v>97.059818860391161</v>
      </c>
      <c r="P98">
        <v>106.74807531777857</v>
      </c>
      <c r="Q98">
        <v>116.42808790114572</v>
      </c>
      <c r="R98">
        <v>126.09952743856601</v>
      </c>
      <c r="S98">
        <v>135.76207358572114</v>
      </c>
      <c r="T98">
        <v>144.37144827957607</v>
      </c>
      <c r="U98">
        <v>152.97328875857366</v>
      </c>
      <c r="V98">
        <v>161.56738614135512</v>
      </c>
      <c r="W98">
        <v>170.15353274057654</v>
      </c>
      <c r="X98">
        <v>178.73152529362028</v>
      </c>
      <c r="Y98">
        <v>187.30116479090714</v>
      </c>
      <c r="Z98">
        <v>195.86225631944521</v>
      </c>
      <c r="AA98">
        <v>204.41460891976772</v>
      </c>
      <c r="AB98">
        <v>212.95803545467231</v>
      </c>
      <c r="AC98">
        <v>221.49235248840088</v>
      </c>
      <c r="AD98">
        <v>230.01738017508748</v>
      </c>
      <c r="AE98">
        <v>238.53294215545975</v>
      </c>
      <c r="AF98" t="s">
        <v>17</v>
      </c>
      <c r="AG98">
        <v>240.01660888899198</v>
      </c>
      <c r="AH98">
        <v>240.00738716535358</v>
      </c>
      <c r="AI98">
        <v>239.99136764339815</v>
      </c>
      <c r="AJ98">
        <v>239.96896617454215</v>
      </c>
      <c r="AK98">
        <v>239.94038448446119</v>
      </c>
      <c r="AL98">
        <v>239.90575333271386</v>
      </c>
      <c r="AM98">
        <v>239.86511125880733</v>
      </c>
      <c r="AN98">
        <v>239.81852406799069</v>
      </c>
      <c r="AO98">
        <v>239.76605562763331</v>
      </c>
      <c r="AP98">
        <v>239.70768233296448</v>
      </c>
      <c r="AQ98">
        <v>239.64345015190605</v>
      </c>
      <c r="AR98">
        <v>239.57341216325278</v>
      </c>
      <c r="AS98">
        <v>239.49751384791574</v>
      </c>
      <c r="AT98">
        <v>239.41579977918417</v>
      </c>
      <c r="AU98">
        <v>239.32832404675634</v>
      </c>
      <c r="AV98">
        <v>239.2350092642819</v>
      </c>
      <c r="AW98">
        <v>239.13590402811803</v>
      </c>
      <c r="AX98">
        <v>239.03106732341311</v>
      </c>
      <c r="AY98">
        <v>238.92040184022952</v>
      </c>
      <c r="AZ98">
        <v>238.80396230367805</v>
      </c>
      <c r="BA98">
        <v>238.68181420689717</v>
      </c>
      <c r="BB98">
        <v>238.55384163059639</v>
      </c>
      <c r="BC98">
        <v>238.42010639712211</v>
      </c>
      <c r="BD98">
        <v>238.28068128262288</v>
      </c>
      <c r="BE98">
        <v>238.13543242819586</v>
      </c>
      <c r="BF98" t="s">
        <v>17</v>
      </c>
      <c r="BG98">
        <v>239.53742814258285</v>
      </c>
      <c r="BH98">
        <v>239.41885250618077</v>
      </c>
      <c r="BI98">
        <v>239.29595306452822</v>
      </c>
      <c r="BJ98">
        <v>239.16740544351373</v>
      </c>
      <c r="BK98">
        <v>239.03407757363399</v>
      </c>
      <c r="BL98">
        <v>238.89693984822622</v>
      </c>
      <c r="BM98">
        <v>238.75445992554708</v>
      </c>
      <c r="BN98">
        <v>238.60756210720331</v>
      </c>
      <c r="BO98">
        <v>238.45726908895131</v>
      </c>
      <c r="BP98">
        <v>238.30186785386906</v>
      </c>
      <c r="BQ98">
        <v>238.14234363258407</v>
      </c>
      <c r="BR98">
        <v>237.97977541384952</v>
      </c>
      <c r="BS98">
        <v>237.81228753233162</v>
      </c>
      <c r="BT98">
        <v>237.640926846675</v>
      </c>
      <c r="BU98">
        <v>237.46682940281661</v>
      </c>
      <c r="BV98">
        <v>237.28797019292259</v>
      </c>
      <c r="BW98">
        <v>237.10545678438649</v>
      </c>
      <c r="BX98">
        <v>236.92048159157281</v>
      </c>
      <c r="BY98">
        <v>236.73088081992182</v>
      </c>
      <c r="BZ98">
        <v>236.53782109748116</v>
      </c>
      <c r="CA98">
        <v>236.34254981877407</v>
      </c>
      <c r="CB98">
        <v>236.14277320292931</v>
      </c>
      <c r="CC98">
        <v>235.93971495882738</v>
      </c>
      <c r="CD98">
        <v>235.7346757285309</v>
      </c>
      <c r="CE98">
        <v>235.52523934644915</v>
      </c>
    </row>
    <row r="99" spans="2:83" x14ac:dyDescent="0.25">
      <c r="B99">
        <v>234.58333333333329</v>
      </c>
      <c r="C99">
        <v>239.57341216325278</v>
      </c>
      <c r="E99" s="2"/>
      <c r="G99" s="4"/>
    </row>
    <row r="100" spans="2:83" x14ac:dyDescent="0.25">
      <c r="B100">
        <v>254.99999999999994</v>
      </c>
      <c r="C100">
        <v>239.49751384791574</v>
      </c>
      <c r="E100" s="2"/>
      <c r="G100" s="4"/>
    </row>
    <row r="101" spans="2:83" x14ac:dyDescent="0.25">
      <c r="B101">
        <v>275.41666666666663</v>
      </c>
      <c r="C101">
        <v>239.41579977918417</v>
      </c>
      <c r="E101" s="2"/>
      <c r="G101" s="4"/>
    </row>
    <row r="102" spans="2:83" x14ac:dyDescent="0.25">
      <c r="B102">
        <v>295.83333333333331</v>
      </c>
      <c r="C102">
        <v>239.32832404675634</v>
      </c>
      <c r="E102" s="2"/>
      <c r="G102" s="4"/>
    </row>
    <row r="103" spans="2:83" x14ac:dyDescent="0.25">
      <c r="B103">
        <v>316.25</v>
      </c>
      <c r="C103">
        <v>239.2350092642819</v>
      </c>
      <c r="E103" s="2"/>
      <c r="F103" t="s">
        <v>23</v>
      </c>
      <c r="G103" s="4"/>
    </row>
    <row r="104" spans="2:83" x14ac:dyDescent="0.25">
      <c r="B104">
        <v>336.66666666666669</v>
      </c>
      <c r="C104">
        <v>239.13590402811803</v>
      </c>
      <c r="E104" s="2"/>
      <c r="G104" s="4"/>
    </row>
    <row r="105" spans="2:83" x14ac:dyDescent="0.25">
      <c r="B105">
        <v>357.08333333333337</v>
      </c>
      <c r="C105">
        <v>239.03106732341311</v>
      </c>
      <c r="E105" s="2"/>
      <c r="G105" s="4"/>
    </row>
    <row r="106" spans="2:83" x14ac:dyDescent="0.25">
      <c r="B106">
        <v>377.50000000000006</v>
      </c>
      <c r="C106">
        <v>238.92040184022952</v>
      </c>
      <c r="E106" s="2"/>
      <c r="G106" s="4"/>
    </row>
    <row r="107" spans="2:83" x14ac:dyDescent="0.25">
      <c r="B107">
        <v>397.91666666666674</v>
      </c>
      <c r="C107">
        <v>238.80396230367805</v>
      </c>
      <c r="E107" s="2"/>
      <c r="G107" s="4"/>
    </row>
    <row r="108" spans="2:83" x14ac:dyDescent="0.25">
      <c r="B108">
        <v>418.33333333333343</v>
      </c>
      <c r="C108">
        <v>238.68181420689717</v>
      </c>
      <c r="E108" s="2"/>
      <c r="G108" s="4"/>
    </row>
    <row r="109" spans="2:83" x14ac:dyDescent="0.25">
      <c r="B109">
        <v>438.75000000000011</v>
      </c>
      <c r="C109">
        <v>238.55384163059639</v>
      </c>
      <c r="E109" s="2"/>
      <c r="G109" s="4"/>
    </row>
    <row r="110" spans="2:83" x14ac:dyDescent="0.25">
      <c r="B110">
        <v>459.1666666666668</v>
      </c>
      <c r="C110">
        <v>238.42010639712211</v>
      </c>
      <c r="E110" s="2"/>
      <c r="G110" s="4"/>
    </row>
    <row r="111" spans="2:83" x14ac:dyDescent="0.25">
      <c r="B111">
        <v>479.58333333333348</v>
      </c>
      <c r="C111">
        <v>238.28068128262288</v>
      </c>
      <c r="E111" s="2"/>
      <c r="G111" s="4"/>
    </row>
    <row r="112" spans="2:83" x14ac:dyDescent="0.25">
      <c r="B112">
        <v>500.00000000000017</v>
      </c>
      <c r="C112">
        <v>238.13543242819586</v>
      </c>
      <c r="E112" s="2"/>
      <c r="G112" s="4"/>
    </row>
    <row r="113" spans="2:7" x14ac:dyDescent="0.25">
      <c r="B113" t="s">
        <v>8</v>
      </c>
      <c r="C113" t="s">
        <v>17</v>
      </c>
      <c r="E113" s="2"/>
      <c r="G113" s="4"/>
    </row>
    <row r="114" spans="2:7" x14ac:dyDescent="0.25">
      <c r="B114">
        <v>10</v>
      </c>
      <c r="C114">
        <v>239.53742814258285</v>
      </c>
    </row>
    <row r="115" spans="2:7" x14ac:dyDescent="0.25">
      <c r="B115">
        <v>11.666666666666666</v>
      </c>
      <c r="C115">
        <v>239.41885250618077</v>
      </c>
    </row>
    <row r="116" spans="2:7" x14ac:dyDescent="0.25">
      <c r="B116">
        <v>13.333333333333332</v>
      </c>
      <c r="C116">
        <v>239.29595306452822</v>
      </c>
    </row>
    <row r="117" spans="2:7" x14ac:dyDescent="0.25">
      <c r="B117">
        <v>14.999999999999998</v>
      </c>
      <c r="C117">
        <v>239.16740544351373</v>
      </c>
    </row>
    <row r="118" spans="2:7" x14ac:dyDescent="0.25">
      <c r="B118">
        <v>16.666666666666664</v>
      </c>
      <c r="C118">
        <v>239.03407757363399</v>
      </c>
    </row>
    <row r="119" spans="2:7" x14ac:dyDescent="0.25">
      <c r="B119">
        <v>18.333333333333332</v>
      </c>
      <c r="C119">
        <v>238.89693984822622</v>
      </c>
    </row>
    <row r="120" spans="2:7" x14ac:dyDescent="0.25">
      <c r="B120">
        <v>20</v>
      </c>
      <c r="C120">
        <v>238.75445992554708</v>
      </c>
    </row>
    <row r="121" spans="2:7" x14ac:dyDescent="0.25">
      <c r="B121">
        <v>21.666666666666668</v>
      </c>
      <c r="C121">
        <v>238.60756210720331</v>
      </c>
    </row>
    <row r="122" spans="2:7" x14ac:dyDescent="0.25">
      <c r="B122">
        <v>23.333333333333336</v>
      </c>
      <c r="C122">
        <v>238.45726908895131</v>
      </c>
    </row>
    <row r="123" spans="2:7" x14ac:dyDescent="0.25">
      <c r="B123">
        <v>25.000000000000004</v>
      </c>
      <c r="C123">
        <v>238.30186785386906</v>
      </c>
    </row>
    <row r="124" spans="2:7" x14ac:dyDescent="0.25">
      <c r="B124">
        <v>26.666666666666671</v>
      </c>
      <c r="C124">
        <v>238.14234363258407</v>
      </c>
    </row>
    <row r="125" spans="2:7" x14ac:dyDescent="0.25">
      <c r="B125">
        <v>28.333333333333339</v>
      </c>
      <c r="C125">
        <v>237.97977541384952</v>
      </c>
    </row>
    <row r="126" spans="2:7" x14ac:dyDescent="0.25">
      <c r="B126">
        <v>30.000000000000007</v>
      </c>
      <c r="C126">
        <v>237.81228753233162</v>
      </c>
    </row>
    <row r="127" spans="2:7" x14ac:dyDescent="0.25">
      <c r="B127">
        <v>31.666666666666675</v>
      </c>
      <c r="C127">
        <v>237.640926846675</v>
      </c>
    </row>
    <row r="128" spans="2:7" x14ac:dyDescent="0.25">
      <c r="B128">
        <v>33.333333333333343</v>
      </c>
      <c r="C128">
        <v>237.46682940281661</v>
      </c>
    </row>
    <row r="129" spans="2:3" x14ac:dyDescent="0.25">
      <c r="B129">
        <v>35.000000000000007</v>
      </c>
      <c r="C129">
        <v>237.28797019292259</v>
      </c>
    </row>
    <row r="130" spans="2:3" x14ac:dyDescent="0.25">
      <c r="B130">
        <v>36.666666666666671</v>
      </c>
      <c r="C130">
        <v>237.10545678438649</v>
      </c>
    </row>
    <row r="131" spans="2:3" x14ac:dyDescent="0.25">
      <c r="B131">
        <v>38.333333333333336</v>
      </c>
      <c r="C131">
        <v>236.92048159157281</v>
      </c>
    </row>
    <row r="132" spans="2:3" x14ac:dyDescent="0.25">
      <c r="B132">
        <v>40</v>
      </c>
      <c r="C132">
        <v>236.73088081992182</v>
      </c>
    </row>
    <row r="133" spans="2:3" x14ac:dyDescent="0.25">
      <c r="B133">
        <v>41.666666666666664</v>
      </c>
      <c r="C133">
        <v>236.53782109748116</v>
      </c>
    </row>
    <row r="134" spans="2:3" x14ac:dyDescent="0.25">
      <c r="B134">
        <v>43.333333333333329</v>
      </c>
      <c r="C134">
        <v>236.34254981877407</v>
      </c>
    </row>
    <row r="135" spans="2:3" x14ac:dyDescent="0.25">
      <c r="B135">
        <v>44.999999999999993</v>
      </c>
      <c r="C135">
        <v>236.14277320292931</v>
      </c>
    </row>
    <row r="136" spans="2:3" x14ac:dyDescent="0.25">
      <c r="B136">
        <v>46.666666666666657</v>
      </c>
      <c r="C136">
        <v>235.93971495882738</v>
      </c>
    </row>
    <row r="137" spans="2:3" x14ac:dyDescent="0.25">
      <c r="B137">
        <v>48.333333333333321</v>
      </c>
      <c r="C137">
        <v>235.7346757285309</v>
      </c>
    </row>
    <row r="138" spans="2:3" x14ac:dyDescent="0.25">
      <c r="B138">
        <v>49.999999999999986</v>
      </c>
      <c r="C138">
        <v>235.52523934644915</v>
      </c>
    </row>
  </sheetData>
  <mergeCells count="3">
    <mergeCell ref="D59:P59"/>
    <mergeCell ref="D9:E9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Лист1</vt:lpstr>
      <vt:lpstr>d_in</vt:lpstr>
      <vt:lpstr>dens_w</vt:lpstr>
      <vt:lpstr>eps</vt:lpstr>
      <vt:lpstr>gamma_w</vt:lpstr>
      <vt:lpstr>h</vt:lpstr>
      <vt:lpstr>MD</vt:lpstr>
      <vt:lpstr>n</vt:lpstr>
      <vt:lpstr>p_wh</vt:lpstr>
      <vt:lpstr>q_liq</vt:lpstr>
      <vt:lpstr>q_liq_s</vt:lpstr>
      <vt:lpstr>Qinj</vt:lpstr>
      <vt:lpstr>T0</vt:lpstr>
      <vt:lpstr>TVD</vt:lpstr>
      <vt:lpstr>visc_w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BudoM</dc:creator>
  <cp:lastModifiedBy>khakimzadeh</cp:lastModifiedBy>
  <dcterms:created xsi:type="dcterms:W3CDTF">2015-06-05T18:19:34Z</dcterms:created>
  <dcterms:modified xsi:type="dcterms:W3CDTF">2021-02-14T18:09:41Z</dcterms:modified>
</cp:coreProperties>
</file>