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По инженерке\"/>
    </mc:Choice>
  </mc:AlternateContent>
  <xr:revisionPtr revIDLastSave="0" documentId="13_ncr:1_{CA800CA8-F267-4C9D-AAFE-473090A4552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externalReferences>
    <externalReference r:id="rId2"/>
  </externalReferences>
  <definedNames>
    <definedName name="d_in">Лист1!$B$7</definedName>
    <definedName name="eps">Лист1!$B$9</definedName>
    <definedName name="gamma_w">Лист1!$B$5</definedName>
    <definedName name="h">Лист1!$B$6</definedName>
    <definedName name="MD">Лист1!$B$11</definedName>
    <definedName name="n">Лист1!$B$17</definedName>
    <definedName name="p_wh">Лист1!$B$10</definedName>
    <definedName name="q_liq">Лист1!$B$8</definedName>
    <definedName name="Qinj">Лист1!$K$7</definedName>
    <definedName name="Square">Лист1!$J$7</definedName>
    <definedName name="T0">Лист1!$B$13</definedName>
    <definedName name="TVD">Лист1!$B$12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Y21" i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20" i="1"/>
  <c r="P10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19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Q2" i="1"/>
  <c r="H7" i="1"/>
  <c r="H12" i="1"/>
  <c r="A5" i="1" a="1"/>
  <c r="D11" i="1" a="1"/>
  <c r="E11" i="1" a="1"/>
  <c r="J7" i="1" l="1"/>
  <c r="H19" i="1"/>
  <c r="G13" i="1"/>
  <c r="F5" i="1"/>
  <c r="I7" i="1"/>
  <c r="D20" i="1"/>
  <c r="G11" i="1"/>
  <c r="G12" i="1" s="1"/>
  <c r="K7" i="1"/>
  <c r="N64" i="1" s="1"/>
  <c r="J19" i="1"/>
  <c r="K19" i="1"/>
  <c r="N57" i="1"/>
  <c r="N33" i="1"/>
  <c r="N49" i="1"/>
  <c r="N25" i="1"/>
  <c r="N50" i="1"/>
  <c r="N53" i="1"/>
  <c r="N45" i="1"/>
  <c r="N68" i="1"/>
  <c r="N60" i="1"/>
  <c r="N26" i="1"/>
  <c r="N62" i="1"/>
  <c r="E11" i="1"/>
  <c r="D11" i="1"/>
  <c r="A5" i="1"/>
  <c r="E47" i="1" a="1"/>
  <c r="E42" i="1" a="1"/>
  <c r="E44" i="1" a="1"/>
  <c r="E43" i="1" a="1"/>
  <c r="E41" i="1" a="1"/>
  <c r="E38" i="1" a="1"/>
  <c r="E32" i="1" a="1"/>
  <c r="E34" i="1" a="1"/>
  <c r="E33" i="1" a="1"/>
  <c r="E59" i="1" a="1"/>
  <c r="E27" i="1" a="1"/>
  <c r="E40" i="1" a="1"/>
  <c r="E37" i="1" a="1"/>
  <c r="E58" i="1" a="1"/>
  <c r="E21" i="1" a="1"/>
  <c r="E55" i="1" a="1"/>
  <c r="E23" i="1" a="1"/>
  <c r="E28" i="1" a="1"/>
  <c r="E25" i="1" a="1"/>
  <c r="E54" i="1" a="1"/>
  <c r="E68" i="1" a="1"/>
  <c r="E51" i="1" a="1"/>
  <c r="E65" i="1" a="1"/>
  <c r="E62" i="1" a="1"/>
  <c r="E60" i="1" a="1"/>
  <c r="E46" i="1" a="1"/>
  <c r="E56" i="1" a="1"/>
  <c r="E53" i="1" a="1"/>
  <c r="E50" i="1" a="1"/>
  <c r="E48" i="1" a="1"/>
  <c r="E36" i="1" a="1"/>
  <c r="E39" i="1" a="1"/>
  <c r="E29" i="1" a="1"/>
  <c r="E22" i="1" a="1"/>
  <c r="E24" i="1" a="1"/>
  <c r="E30" i="1" a="1"/>
  <c r="E61" i="1" a="1"/>
  <c r="E20" i="1" a="1"/>
  <c r="E35" i="1" a="1"/>
  <c r="E64" i="1" a="1"/>
  <c r="E57" i="1" a="1"/>
  <c r="E67" i="1" a="1"/>
  <c r="E26" i="1" a="1"/>
  <c r="E49" i="1" a="1"/>
  <c r="E63" i="1" a="1"/>
  <c r="E31" i="1" a="1"/>
  <c r="E52" i="1" a="1"/>
  <c r="E45" i="1" a="1"/>
  <c r="E66" i="1" a="1"/>
  <c r="E19" i="1" a="1"/>
  <c r="N38" i="1" l="1"/>
  <c r="E19" i="1"/>
  <c r="E66" i="1"/>
  <c r="G66" i="1" s="1"/>
  <c r="K66" i="1" s="1"/>
  <c r="E45" i="1"/>
  <c r="G45" i="1" s="1"/>
  <c r="K45" i="1" s="1"/>
  <c r="E52" i="1"/>
  <c r="G52" i="1" s="1"/>
  <c r="K52" i="1" s="1"/>
  <c r="E31" i="1"/>
  <c r="G31" i="1" s="1"/>
  <c r="K31" i="1" s="1"/>
  <c r="E63" i="1"/>
  <c r="G63" i="1" s="1"/>
  <c r="K63" i="1" s="1"/>
  <c r="E49" i="1"/>
  <c r="G49" i="1" s="1"/>
  <c r="K49" i="1" s="1"/>
  <c r="E26" i="1"/>
  <c r="G26" i="1" s="1"/>
  <c r="K26" i="1" s="1"/>
  <c r="E67" i="1"/>
  <c r="G67" i="1" s="1"/>
  <c r="K67" i="1" s="1"/>
  <c r="E57" i="1"/>
  <c r="G57" i="1" s="1"/>
  <c r="K57" i="1" s="1"/>
  <c r="E64" i="1"/>
  <c r="G64" i="1" s="1"/>
  <c r="K64" i="1" s="1"/>
  <c r="E35" i="1"/>
  <c r="G35" i="1" s="1"/>
  <c r="K35" i="1" s="1"/>
  <c r="E20" i="1"/>
  <c r="G20" i="1" s="1"/>
  <c r="E61" i="1"/>
  <c r="G61" i="1" s="1"/>
  <c r="K61" i="1" s="1"/>
  <c r="E30" i="1"/>
  <c r="G30" i="1" s="1"/>
  <c r="K30" i="1" s="1"/>
  <c r="E24" i="1"/>
  <c r="G24" i="1" s="1"/>
  <c r="K24" i="1" s="1"/>
  <c r="E22" i="1"/>
  <c r="G22" i="1" s="1"/>
  <c r="K22" i="1" s="1"/>
  <c r="E29" i="1"/>
  <c r="G29" i="1" s="1"/>
  <c r="K29" i="1" s="1"/>
  <c r="E39" i="1"/>
  <c r="G39" i="1" s="1"/>
  <c r="K39" i="1" s="1"/>
  <c r="E36" i="1"/>
  <c r="G36" i="1" s="1"/>
  <c r="K36" i="1" s="1"/>
  <c r="E48" i="1"/>
  <c r="G48" i="1" s="1"/>
  <c r="K48" i="1" s="1"/>
  <c r="E50" i="1"/>
  <c r="G50" i="1" s="1"/>
  <c r="K50" i="1" s="1"/>
  <c r="E53" i="1"/>
  <c r="G53" i="1" s="1"/>
  <c r="K53" i="1" s="1"/>
  <c r="E56" i="1"/>
  <c r="G56" i="1" s="1"/>
  <c r="K56" i="1" s="1"/>
  <c r="E46" i="1"/>
  <c r="G46" i="1" s="1"/>
  <c r="K46" i="1" s="1"/>
  <c r="E60" i="1"/>
  <c r="G60" i="1" s="1"/>
  <c r="K60" i="1" s="1"/>
  <c r="E62" i="1"/>
  <c r="G62" i="1" s="1"/>
  <c r="K62" i="1" s="1"/>
  <c r="E65" i="1"/>
  <c r="G65" i="1" s="1"/>
  <c r="K65" i="1" s="1"/>
  <c r="E51" i="1"/>
  <c r="G51" i="1" s="1"/>
  <c r="K51" i="1" s="1"/>
  <c r="E68" i="1"/>
  <c r="G68" i="1" s="1"/>
  <c r="K68" i="1" s="1"/>
  <c r="E54" i="1"/>
  <c r="G54" i="1" s="1"/>
  <c r="K54" i="1" s="1"/>
  <c r="E25" i="1"/>
  <c r="G25" i="1" s="1"/>
  <c r="K25" i="1" s="1"/>
  <c r="E28" i="1"/>
  <c r="G28" i="1" s="1"/>
  <c r="K28" i="1" s="1"/>
  <c r="E23" i="1"/>
  <c r="G23" i="1" s="1"/>
  <c r="K23" i="1" s="1"/>
  <c r="E55" i="1"/>
  <c r="G55" i="1" s="1"/>
  <c r="K55" i="1" s="1"/>
  <c r="E21" i="1"/>
  <c r="G21" i="1" s="1"/>
  <c r="K21" i="1" s="1"/>
  <c r="E58" i="1"/>
  <c r="G58" i="1" s="1"/>
  <c r="K58" i="1" s="1"/>
  <c r="E37" i="1"/>
  <c r="G37" i="1" s="1"/>
  <c r="K37" i="1" s="1"/>
  <c r="E40" i="1"/>
  <c r="G40" i="1" s="1"/>
  <c r="K40" i="1" s="1"/>
  <c r="E27" i="1"/>
  <c r="G27" i="1" s="1"/>
  <c r="K27" i="1" s="1"/>
  <c r="E59" i="1"/>
  <c r="G59" i="1" s="1"/>
  <c r="K59" i="1" s="1"/>
  <c r="E33" i="1"/>
  <c r="G33" i="1" s="1"/>
  <c r="K33" i="1" s="1"/>
  <c r="E34" i="1"/>
  <c r="G34" i="1" s="1"/>
  <c r="K34" i="1" s="1"/>
  <c r="E32" i="1"/>
  <c r="G32" i="1" s="1"/>
  <c r="K32" i="1" s="1"/>
  <c r="E38" i="1"/>
  <c r="G38" i="1" s="1"/>
  <c r="K38" i="1" s="1"/>
  <c r="E41" i="1"/>
  <c r="G41" i="1" s="1"/>
  <c r="K41" i="1" s="1"/>
  <c r="E43" i="1"/>
  <c r="G43" i="1" s="1"/>
  <c r="K43" i="1" s="1"/>
  <c r="E44" i="1"/>
  <c r="G44" i="1" s="1"/>
  <c r="K44" i="1" s="1"/>
  <c r="E42" i="1"/>
  <c r="G42" i="1" s="1"/>
  <c r="K42" i="1" s="1"/>
  <c r="E47" i="1"/>
  <c r="G47" i="1" s="1"/>
  <c r="K47" i="1" s="1"/>
  <c r="N66" i="1"/>
  <c r="N54" i="1"/>
  <c r="N61" i="1"/>
  <c r="N23" i="1"/>
  <c r="N24" i="1"/>
  <c r="M7" i="1"/>
  <c r="N35" i="1"/>
  <c r="N20" i="1"/>
  <c r="N65" i="1"/>
  <c r="N46" i="1"/>
  <c r="N31" i="1"/>
  <c r="N32" i="1"/>
  <c r="N42" i="1"/>
  <c r="D21" i="1"/>
  <c r="F20" i="1"/>
  <c r="N43" i="1"/>
  <c r="N28" i="1"/>
  <c r="N34" i="1"/>
  <c r="N41" i="1"/>
  <c r="N39" i="1"/>
  <c r="N40" i="1"/>
  <c r="N27" i="1"/>
  <c r="N51" i="1"/>
  <c r="N36" i="1"/>
  <c r="N21" i="1"/>
  <c r="N58" i="1"/>
  <c r="N47" i="1"/>
  <c r="N48" i="1"/>
  <c r="N19" i="1"/>
  <c r="N59" i="1"/>
  <c r="N44" i="1"/>
  <c r="N29" i="1"/>
  <c r="N22" i="1"/>
  <c r="N55" i="1"/>
  <c r="N56" i="1"/>
  <c r="L19" i="1"/>
  <c r="M19" i="1" s="1"/>
  <c r="O19" i="1" s="1"/>
  <c r="N67" i="1"/>
  <c r="N52" i="1"/>
  <c r="N37" i="1"/>
  <c r="N30" i="1"/>
  <c r="N63" i="1"/>
  <c r="H20" i="1"/>
  <c r="H21" i="1" s="1"/>
  <c r="H22" i="1" s="1"/>
  <c r="H23" i="1" s="1"/>
  <c r="H24" i="1" s="1"/>
  <c r="P19" i="1"/>
  <c r="K20" i="1"/>
  <c r="J20" i="1"/>
  <c r="F19" i="1"/>
  <c r="D22" i="1" l="1"/>
  <c r="F21" i="1"/>
  <c r="L20" i="1"/>
  <c r="M20" i="1" s="1"/>
  <c r="O20" i="1" s="1"/>
  <c r="P20" i="1"/>
  <c r="H25" i="1"/>
  <c r="D23" i="1" l="1"/>
  <c r="F22" i="1"/>
  <c r="P21" i="1"/>
  <c r="J22" i="1" s="1"/>
  <c r="L22" i="1" s="1"/>
  <c r="M22" i="1" s="1"/>
  <c r="O22" i="1" s="1"/>
  <c r="J21" i="1"/>
  <c r="L21" i="1" s="1"/>
  <c r="M21" i="1" s="1"/>
  <c r="O21" i="1" s="1"/>
  <c r="H26" i="1"/>
  <c r="D24" i="1" l="1"/>
  <c r="F23" i="1"/>
  <c r="P22" i="1"/>
  <c r="J23" i="1" s="1"/>
  <c r="L23" i="1" s="1"/>
  <c r="M23" i="1" s="1"/>
  <c r="O23" i="1" s="1"/>
  <c r="H27" i="1"/>
  <c r="D25" i="1" l="1"/>
  <c r="F24" i="1"/>
  <c r="P23" i="1"/>
  <c r="J24" i="1" s="1"/>
  <c r="L24" i="1" s="1"/>
  <c r="M24" i="1" s="1"/>
  <c r="O24" i="1" s="1"/>
  <c r="H28" i="1"/>
  <c r="D26" i="1" l="1"/>
  <c r="F25" i="1"/>
  <c r="P24" i="1"/>
  <c r="P25" i="1" s="1"/>
  <c r="J26" i="1" s="1"/>
  <c r="L26" i="1" s="1"/>
  <c r="M26" i="1" s="1"/>
  <c r="O26" i="1" s="1"/>
  <c r="H29" i="1"/>
  <c r="D27" i="1" l="1"/>
  <c r="F26" i="1"/>
  <c r="J25" i="1"/>
  <c r="L25" i="1" s="1"/>
  <c r="M25" i="1" s="1"/>
  <c r="O25" i="1" s="1"/>
  <c r="P26" i="1" s="1"/>
  <c r="P27" i="1" s="1"/>
  <c r="H30" i="1"/>
  <c r="D28" i="1" l="1"/>
  <c r="F27" i="1"/>
  <c r="J27" i="1"/>
  <c r="L27" i="1" s="1"/>
  <c r="M27" i="1" s="1"/>
  <c r="O27" i="1" s="1"/>
  <c r="P28" i="1" s="1"/>
  <c r="J28" i="1"/>
  <c r="L28" i="1" s="1"/>
  <c r="M28" i="1" s="1"/>
  <c r="O28" i="1" s="1"/>
  <c r="H31" i="1"/>
  <c r="D29" i="1" l="1"/>
  <c r="F28" i="1"/>
  <c r="J29" i="1"/>
  <c r="L29" i="1" s="1"/>
  <c r="M29" i="1" s="1"/>
  <c r="O29" i="1" s="1"/>
  <c r="P29" i="1"/>
  <c r="H32" i="1"/>
  <c r="D30" i="1" l="1"/>
  <c r="F29" i="1"/>
  <c r="J30" i="1"/>
  <c r="L30" i="1" s="1"/>
  <c r="M30" i="1" s="1"/>
  <c r="O30" i="1" s="1"/>
  <c r="P30" i="1"/>
  <c r="H33" i="1"/>
  <c r="D31" i="1" l="1"/>
  <c r="F30" i="1"/>
  <c r="P31" i="1"/>
  <c r="J31" i="1"/>
  <c r="L31" i="1" s="1"/>
  <c r="M31" i="1" s="1"/>
  <c r="O31" i="1" s="1"/>
  <c r="H34" i="1"/>
  <c r="D32" i="1" l="1"/>
  <c r="F31" i="1"/>
  <c r="J32" i="1"/>
  <c r="L32" i="1" s="1"/>
  <c r="M32" i="1" s="1"/>
  <c r="O32" i="1" s="1"/>
  <c r="P32" i="1"/>
  <c r="H35" i="1"/>
  <c r="D33" i="1" l="1"/>
  <c r="F32" i="1"/>
  <c r="P33" i="1"/>
  <c r="J33" i="1"/>
  <c r="L33" i="1" s="1"/>
  <c r="M33" i="1" s="1"/>
  <c r="O33" i="1" s="1"/>
  <c r="H36" i="1"/>
  <c r="D34" i="1" l="1"/>
  <c r="F33" i="1"/>
  <c r="P34" i="1"/>
  <c r="J34" i="1"/>
  <c r="L34" i="1" s="1"/>
  <c r="M34" i="1" s="1"/>
  <c r="O34" i="1" s="1"/>
  <c r="H37" i="1"/>
  <c r="D35" i="1" l="1"/>
  <c r="F34" i="1"/>
  <c r="J35" i="1"/>
  <c r="L35" i="1" s="1"/>
  <c r="M35" i="1" s="1"/>
  <c r="O35" i="1" s="1"/>
  <c r="P35" i="1"/>
  <c r="H38" i="1"/>
  <c r="D36" i="1" l="1"/>
  <c r="F35" i="1"/>
  <c r="J36" i="1"/>
  <c r="L36" i="1" s="1"/>
  <c r="M36" i="1" s="1"/>
  <c r="O36" i="1" s="1"/>
  <c r="P36" i="1"/>
  <c r="H39" i="1"/>
  <c r="D37" i="1" l="1"/>
  <c r="F36" i="1"/>
  <c r="J37" i="1"/>
  <c r="L37" i="1" s="1"/>
  <c r="M37" i="1" s="1"/>
  <c r="O37" i="1" s="1"/>
  <c r="P37" i="1"/>
  <c r="H40" i="1"/>
  <c r="D38" i="1" l="1"/>
  <c r="F37" i="1"/>
  <c r="J38" i="1"/>
  <c r="L38" i="1" s="1"/>
  <c r="M38" i="1" s="1"/>
  <c r="O38" i="1" s="1"/>
  <c r="P38" i="1"/>
  <c r="H41" i="1"/>
  <c r="D39" i="1" l="1"/>
  <c r="F38" i="1"/>
  <c r="J39" i="1"/>
  <c r="L39" i="1" s="1"/>
  <c r="M39" i="1" s="1"/>
  <c r="O39" i="1" s="1"/>
  <c r="P39" i="1"/>
  <c r="H42" i="1"/>
  <c r="D40" i="1" l="1"/>
  <c r="F39" i="1"/>
  <c r="P40" i="1"/>
  <c r="J40" i="1"/>
  <c r="L40" i="1" s="1"/>
  <c r="M40" i="1" s="1"/>
  <c r="O40" i="1" s="1"/>
  <c r="H43" i="1"/>
  <c r="D41" i="1" l="1"/>
  <c r="F40" i="1"/>
  <c r="P41" i="1"/>
  <c r="J41" i="1"/>
  <c r="L41" i="1" s="1"/>
  <c r="M41" i="1" s="1"/>
  <c r="O41" i="1" s="1"/>
  <c r="H44" i="1"/>
  <c r="D42" i="1" l="1"/>
  <c r="F41" i="1"/>
  <c r="P42" i="1"/>
  <c r="J42" i="1"/>
  <c r="L42" i="1" s="1"/>
  <c r="M42" i="1" s="1"/>
  <c r="O42" i="1" s="1"/>
  <c r="H45" i="1"/>
  <c r="D43" i="1" l="1"/>
  <c r="F42" i="1"/>
  <c r="J43" i="1"/>
  <c r="L43" i="1" s="1"/>
  <c r="M43" i="1" s="1"/>
  <c r="O43" i="1" s="1"/>
  <c r="P43" i="1"/>
  <c r="H46" i="1"/>
  <c r="D44" i="1" l="1"/>
  <c r="F43" i="1"/>
  <c r="P44" i="1"/>
  <c r="J44" i="1"/>
  <c r="L44" i="1" s="1"/>
  <c r="M44" i="1" s="1"/>
  <c r="O44" i="1" s="1"/>
  <c r="H47" i="1"/>
  <c r="D45" i="1" l="1"/>
  <c r="F44" i="1"/>
  <c r="P45" i="1"/>
  <c r="J45" i="1"/>
  <c r="L45" i="1" s="1"/>
  <c r="M45" i="1" s="1"/>
  <c r="O45" i="1" s="1"/>
  <c r="H48" i="1"/>
  <c r="D46" i="1" l="1"/>
  <c r="F45" i="1"/>
  <c r="P46" i="1"/>
  <c r="J46" i="1"/>
  <c r="L46" i="1" s="1"/>
  <c r="M46" i="1" s="1"/>
  <c r="O46" i="1" s="1"/>
  <c r="H49" i="1"/>
  <c r="D47" i="1" l="1"/>
  <c r="F46" i="1"/>
  <c r="P47" i="1"/>
  <c r="J47" i="1"/>
  <c r="L47" i="1" s="1"/>
  <c r="M47" i="1" s="1"/>
  <c r="O47" i="1" s="1"/>
  <c r="H50" i="1"/>
  <c r="D48" i="1" l="1"/>
  <c r="F47" i="1"/>
  <c r="P48" i="1"/>
  <c r="J48" i="1"/>
  <c r="L48" i="1" s="1"/>
  <c r="M48" i="1" s="1"/>
  <c r="O48" i="1" s="1"/>
  <c r="H51" i="1"/>
  <c r="D49" i="1" l="1"/>
  <c r="F48" i="1"/>
  <c r="P49" i="1"/>
  <c r="J49" i="1"/>
  <c r="L49" i="1" s="1"/>
  <c r="M49" i="1" s="1"/>
  <c r="O49" i="1" s="1"/>
  <c r="H52" i="1"/>
  <c r="D50" i="1" l="1"/>
  <c r="F49" i="1"/>
  <c r="P50" i="1"/>
  <c r="J50" i="1"/>
  <c r="L50" i="1" s="1"/>
  <c r="M50" i="1" s="1"/>
  <c r="O50" i="1" s="1"/>
  <c r="H53" i="1"/>
  <c r="D51" i="1" l="1"/>
  <c r="F50" i="1"/>
  <c r="P51" i="1"/>
  <c r="J51" i="1"/>
  <c r="L51" i="1" s="1"/>
  <c r="M51" i="1" s="1"/>
  <c r="O51" i="1" s="1"/>
  <c r="H54" i="1"/>
  <c r="D52" i="1" l="1"/>
  <c r="F51" i="1"/>
  <c r="P52" i="1"/>
  <c r="J52" i="1"/>
  <c r="L52" i="1" s="1"/>
  <c r="M52" i="1" s="1"/>
  <c r="O52" i="1" s="1"/>
  <c r="H55" i="1"/>
  <c r="D53" i="1" l="1"/>
  <c r="F52" i="1"/>
  <c r="P53" i="1"/>
  <c r="J53" i="1"/>
  <c r="L53" i="1" s="1"/>
  <c r="M53" i="1" s="1"/>
  <c r="O53" i="1" s="1"/>
  <c r="H56" i="1"/>
  <c r="D54" i="1" l="1"/>
  <c r="F53" i="1"/>
  <c r="P54" i="1"/>
  <c r="J54" i="1"/>
  <c r="L54" i="1" s="1"/>
  <c r="M54" i="1" s="1"/>
  <c r="O54" i="1" s="1"/>
  <c r="H57" i="1"/>
  <c r="D55" i="1" l="1"/>
  <c r="F54" i="1"/>
  <c r="P55" i="1"/>
  <c r="J55" i="1"/>
  <c r="L55" i="1" s="1"/>
  <c r="M55" i="1" s="1"/>
  <c r="O55" i="1" s="1"/>
  <c r="H58" i="1"/>
  <c r="D56" i="1" l="1"/>
  <c r="F55" i="1"/>
  <c r="P56" i="1"/>
  <c r="J56" i="1"/>
  <c r="L56" i="1" s="1"/>
  <c r="M56" i="1" s="1"/>
  <c r="O56" i="1" s="1"/>
  <c r="H59" i="1"/>
  <c r="D57" i="1" l="1"/>
  <c r="F56" i="1"/>
  <c r="P57" i="1"/>
  <c r="J57" i="1"/>
  <c r="L57" i="1" s="1"/>
  <c r="M57" i="1" s="1"/>
  <c r="O57" i="1" s="1"/>
  <c r="H60" i="1"/>
  <c r="D58" i="1" l="1"/>
  <c r="F57" i="1"/>
  <c r="P58" i="1"/>
  <c r="J58" i="1"/>
  <c r="L58" i="1" s="1"/>
  <c r="M58" i="1" s="1"/>
  <c r="O58" i="1" s="1"/>
  <c r="H61" i="1"/>
  <c r="D59" i="1" l="1"/>
  <c r="F58" i="1"/>
  <c r="P59" i="1"/>
  <c r="J59" i="1"/>
  <c r="L59" i="1" s="1"/>
  <c r="M59" i="1" s="1"/>
  <c r="O59" i="1" s="1"/>
  <c r="H62" i="1"/>
  <c r="D60" i="1" l="1"/>
  <c r="F59" i="1"/>
  <c r="J60" i="1"/>
  <c r="L60" i="1" s="1"/>
  <c r="M60" i="1" s="1"/>
  <c r="O60" i="1" s="1"/>
  <c r="P60" i="1"/>
  <c r="H63" i="1"/>
  <c r="D61" i="1" l="1"/>
  <c r="F60" i="1"/>
  <c r="P61" i="1"/>
  <c r="J61" i="1"/>
  <c r="L61" i="1" s="1"/>
  <c r="M61" i="1" s="1"/>
  <c r="O61" i="1" s="1"/>
  <c r="H64" i="1"/>
  <c r="D62" i="1" l="1"/>
  <c r="F61" i="1"/>
  <c r="J62" i="1"/>
  <c r="L62" i="1" s="1"/>
  <c r="M62" i="1" s="1"/>
  <c r="O62" i="1" s="1"/>
  <c r="P62" i="1"/>
  <c r="H65" i="1"/>
  <c r="D63" i="1" l="1"/>
  <c r="F62" i="1"/>
  <c r="P63" i="1"/>
  <c r="J63" i="1"/>
  <c r="L63" i="1" s="1"/>
  <c r="M63" i="1" s="1"/>
  <c r="O63" i="1" s="1"/>
  <c r="H66" i="1"/>
  <c r="D64" i="1" l="1"/>
  <c r="F63" i="1"/>
  <c r="J64" i="1"/>
  <c r="L64" i="1" s="1"/>
  <c r="M64" i="1" s="1"/>
  <c r="O64" i="1" s="1"/>
  <c r="P64" i="1"/>
  <c r="H67" i="1"/>
  <c r="D65" i="1" l="1"/>
  <c r="F64" i="1"/>
  <c r="P65" i="1"/>
  <c r="J65" i="1"/>
  <c r="L65" i="1" s="1"/>
  <c r="M65" i="1" s="1"/>
  <c r="O65" i="1" s="1"/>
  <c r="H68" i="1"/>
  <c r="D66" i="1" l="1"/>
  <c r="F65" i="1"/>
  <c r="J66" i="1"/>
  <c r="L66" i="1" s="1"/>
  <c r="M66" i="1" s="1"/>
  <c r="O66" i="1" s="1"/>
  <c r="P66" i="1"/>
  <c r="D67" i="1" l="1"/>
  <c r="F66" i="1"/>
  <c r="J67" i="1"/>
  <c r="L67" i="1" s="1"/>
  <c r="M67" i="1" s="1"/>
  <c r="O67" i="1" s="1"/>
  <c r="P67" i="1"/>
  <c r="D68" i="1" l="1"/>
  <c r="F68" i="1" s="1"/>
  <c r="F67" i="1"/>
  <c r="J68" i="1"/>
  <c r="L68" i="1" s="1"/>
  <c r="M68" i="1" s="1"/>
  <c r="O68" i="1" s="1"/>
  <c r="P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<sst xmlns="http://schemas.openxmlformats.org/spreadsheetml/2006/main" count="36" uniqueCount="32">
  <si>
    <t>вынос данных</t>
  </si>
  <si>
    <t>{"gamma_w": 1.11, "h":1448, "d_in":94, "q_liq":482, "eps":7.8E-5, "p_wh": 27, "MD": [0, 724, 1448], "TVD": [0, 677, 1166], "T0": 25.5}</t>
  </si>
  <si>
    <t>Инклинометрия</t>
  </si>
  <si>
    <t>MD</t>
  </si>
  <si>
    <t>TVD</t>
  </si>
  <si>
    <t>n</t>
  </si>
  <si>
    <t>Распределение Р</t>
  </si>
  <si>
    <t>№</t>
  </si>
  <si>
    <t>T</t>
  </si>
  <si>
    <t>Уход от верт</t>
  </si>
  <si>
    <t>Re</t>
  </si>
  <si>
    <t>udr/y</t>
  </si>
  <si>
    <t>Square</t>
  </si>
  <si>
    <t>Qinj</t>
  </si>
  <si>
    <t>плотность</t>
  </si>
  <si>
    <t>вязкость</t>
  </si>
  <si>
    <t>P без трения</t>
  </si>
  <si>
    <t>вязк</t>
  </si>
  <si>
    <t>плотн</t>
  </si>
  <si>
    <t>vQd/yA</t>
  </si>
  <si>
    <t>f</t>
  </si>
  <si>
    <t>v,м/с</t>
  </si>
  <si>
    <t>dP/dh, Pa/m</t>
  </si>
  <si>
    <t>P c трением</t>
  </si>
  <si>
    <t>Q</t>
  </si>
  <si>
    <t>P c dQ</t>
  </si>
  <si>
    <t>отн</t>
  </si>
  <si>
    <t>изнач</t>
  </si>
  <si>
    <t>смена Q</t>
  </si>
  <si>
    <t>dT</t>
  </si>
  <si>
    <t>T0</t>
  </si>
  <si>
    <t>P c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</si>
</sst>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Профиль скв.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Лист1!$F$18</c:f>
              <c:strCache>
                <c:ptCount val="1"/>
                <c:pt idx="0">
                  <c:v>Уход от верт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Лист1!$E$19:$E$68</c:f>
              <c:numCache>
                <c:formatCode>General</c:formatCode>
                <c:ptCount val="50"/>
                <c:pt idx="0">
                  <c:v>0</c:v>
                </c:pt>
                <c:pt idx="1">
                  <c:v>27.632653061224488</c:v>
                </c:pt>
                <c:pt idx="2">
                  <c:v>55.265306122448976</c:v>
                </c:pt>
                <c:pt idx="3">
                  <c:v>82.897959183673464</c:v>
                </c:pt>
                <c:pt idx="4">
                  <c:v>110.53061224489795</c:v>
                </c:pt>
                <c:pt idx="5">
                  <c:v>138.16326530612244</c:v>
                </c:pt>
                <c:pt idx="6">
                  <c:v>165.79591836734693</c:v>
                </c:pt>
                <c:pt idx="7">
                  <c:v>193.42857142857142</c:v>
                </c:pt>
                <c:pt idx="8">
                  <c:v>221.0612244897959</c:v>
                </c:pt>
                <c:pt idx="9">
                  <c:v>248.69387755102036</c:v>
                </c:pt>
                <c:pt idx="10">
                  <c:v>276.32653061224482</c:v>
                </c:pt>
                <c:pt idx="11">
                  <c:v>303.95918367346934</c:v>
                </c:pt>
                <c:pt idx="12">
                  <c:v>331.5918367346938</c:v>
                </c:pt>
                <c:pt idx="13">
                  <c:v>359.22448979591832</c:v>
                </c:pt>
                <c:pt idx="14">
                  <c:v>386.85714285714278</c:v>
                </c:pt>
                <c:pt idx="15">
                  <c:v>414.48979591836724</c:v>
                </c:pt>
                <c:pt idx="16">
                  <c:v>442.12244897959175</c:v>
                </c:pt>
                <c:pt idx="17">
                  <c:v>469.75510204081621</c:v>
                </c:pt>
                <c:pt idx="18">
                  <c:v>497.38775510204073</c:v>
                </c:pt>
                <c:pt idx="19">
                  <c:v>525.02040816326519</c:v>
                </c:pt>
                <c:pt idx="20">
                  <c:v>552.65306122448965</c:v>
                </c:pt>
                <c:pt idx="21">
                  <c:v>580.28571428571422</c:v>
                </c:pt>
                <c:pt idx="22">
                  <c:v>607.91836734693868</c:v>
                </c:pt>
                <c:pt idx="23">
                  <c:v>635.55102040816314</c:v>
                </c:pt>
                <c:pt idx="24">
                  <c:v>663.1836734693876</c:v>
                </c:pt>
                <c:pt idx="25">
                  <c:v>686.97959183673458</c:v>
                </c:pt>
                <c:pt idx="26">
                  <c:v>706.93877551020398</c:v>
                </c:pt>
                <c:pt idx="27">
                  <c:v>726.89795918367338</c:v>
                </c:pt>
                <c:pt idx="28">
                  <c:v>746.85714285714266</c:v>
                </c:pt>
                <c:pt idx="29">
                  <c:v>766.81632653061206</c:v>
                </c:pt>
                <c:pt idx="30">
                  <c:v>786.77551020408146</c:v>
                </c:pt>
                <c:pt idx="31">
                  <c:v>806.73469387755085</c:v>
                </c:pt>
                <c:pt idx="32">
                  <c:v>826.69387755102025</c:v>
                </c:pt>
                <c:pt idx="33">
                  <c:v>846.65306122448965</c:v>
                </c:pt>
                <c:pt idx="34">
                  <c:v>866.61224489795904</c:v>
                </c:pt>
                <c:pt idx="35">
                  <c:v>886.57142857142833</c:v>
                </c:pt>
                <c:pt idx="36">
                  <c:v>906.53061224489784</c:v>
                </c:pt>
                <c:pt idx="37">
                  <c:v>926.48979591836735</c:v>
                </c:pt>
                <c:pt idx="38">
                  <c:v>946.44897959183675</c:v>
                </c:pt>
                <c:pt idx="39">
                  <c:v>966.40816326530626</c:v>
                </c:pt>
                <c:pt idx="40">
                  <c:v>986.36734693877565</c:v>
                </c:pt>
                <c:pt idx="41">
                  <c:v>1006.3265306122452</c:v>
                </c:pt>
                <c:pt idx="42">
                  <c:v>1026.2857142857147</c:v>
                </c:pt>
                <c:pt idx="43">
                  <c:v>1046.2448979591841</c:v>
                </c:pt>
                <c:pt idx="44">
                  <c:v>1066.2040816326535</c:v>
                </c:pt>
                <c:pt idx="45">
                  <c:v>1086.1632653061229</c:v>
                </c:pt>
                <c:pt idx="46">
                  <c:v>1106.1224489795925</c:v>
                </c:pt>
                <c:pt idx="47">
                  <c:v>1126.0816326530619</c:v>
                </c:pt>
                <c:pt idx="48">
                  <c:v>1146.0408163265313</c:v>
                </c:pt>
                <c:pt idx="49">
                  <c:v>1166.0000000000007</c:v>
                </c:pt>
              </c:numCache>
            </c:numRef>
          </c:xVal>
          <c:yVal>
            <c:numRef>
              <c:f>Лист1!$F$19:$F$68</c:f>
              <c:numCache>
                <c:formatCode>General</c:formatCode>
                <c:ptCount val="50"/>
                <c:pt idx="0">
                  <c:v>0</c:v>
                </c:pt>
                <c:pt idx="1">
                  <c:v>1.9183673469387763</c:v>
                </c:pt>
                <c:pt idx="2">
                  <c:v>3.8367346938775526</c:v>
                </c:pt>
                <c:pt idx="3">
                  <c:v>5.7551020408163254</c:v>
                </c:pt>
                <c:pt idx="4">
                  <c:v>7.6734693877551052</c:v>
                </c:pt>
                <c:pt idx="5">
                  <c:v>9.5918367346938851</c:v>
                </c:pt>
                <c:pt idx="6">
                  <c:v>11.510204081632651</c:v>
                </c:pt>
                <c:pt idx="7">
                  <c:v>13.428571428571416</c:v>
                </c:pt>
                <c:pt idx="8">
                  <c:v>15.346938775510182</c:v>
                </c:pt>
                <c:pt idx="9">
                  <c:v>17.265306122448976</c:v>
                </c:pt>
                <c:pt idx="10">
                  <c:v>19.18367346938777</c:v>
                </c:pt>
                <c:pt idx="11">
                  <c:v>21.102040816326507</c:v>
                </c:pt>
                <c:pt idx="12">
                  <c:v>23.020408163265301</c:v>
                </c:pt>
                <c:pt idx="13">
                  <c:v>24.938775510204039</c:v>
                </c:pt>
                <c:pt idx="14">
                  <c:v>26.857142857142833</c:v>
                </c:pt>
                <c:pt idx="15">
                  <c:v>28.775510204081627</c:v>
                </c:pt>
                <c:pt idx="16">
                  <c:v>30.693877551020364</c:v>
                </c:pt>
                <c:pt idx="17">
                  <c:v>32.612244897959158</c:v>
                </c:pt>
                <c:pt idx="18">
                  <c:v>34.530612244897952</c:v>
                </c:pt>
                <c:pt idx="19">
                  <c:v>36.448979591836746</c:v>
                </c:pt>
                <c:pt idx="20">
                  <c:v>38.36734693877554</c:v>
                </c:pt>
                <c:pt idx="21">
                  <c:v>40.285714285714221</c:v>
                </c:pt>
                <c:pt idx="22">
                  <c:v>42.204081632653015</c:v>
                </c:pt>
                <c:pt idx="23">
                  <c:v>44.122448979591809</c:v>
                </c:pt>
                <c:pt idx="24">
                  <c:v>46.040816326530603</c:v>
                </c:pt>
                <c:pt idx="25">
                  <c:v>51.795918367346871</c:v>
                </c:pt>
                <c:pt idx="26">
                  <c:v>61.387755102040728</c:v>
                </c:pt>
                <c:pt idx="27">
                  <c:v>70.979591836734585</c:v>
                </c:pt>
                <c:pt idx="28">
                  <c:v>80.571428571428555</c:v>
                </c:pt>
                <c:pt idx="29">
                  <c:v>90.163265306122412</c:v>
                </c:pt>
                <c:pt idx="30">
                  <c:v>99.755102040816269</c:v>
                </c:pt>
                <c:pt idx="31">
                  <c:v>109.34693877551013</c:v>
                </c:pt>
                <c:pt idx="32">
                  <c:v>118.93877551020398</c:v>
                </c:pt>
                <c:pt idx="33">
                  <c:v>128.53061224489784</c:v>
                </c:pt>
                <c:pt idx="34">
                  <c:v>138.1224489795917</c:v>
                </c:pt>
                <c:pt idx="35">
                  <c:v>147.71428571428567</c:v>
                </c:pt>
                <c:pt idx="36">
                  <c:v>157.30612244897952</c:v>
                </c:pt>
                <c:pt idx="37">
                  <c:v>166.89795918367338</c:v>
                </c:pt>
                <c:pt idx="38">
                  <c:v>176.48979591836735</c:v>
                </c:pt>
                <c:pt idx="39">
                  <c:v>186.08163265306121</c:v>
                </c:pt>
                <c:pt idx="40">
                  <c:v>195.67346938775518</c:v>
                </c:pt>
                <c:pt idx="41">
                  <c:v>205.26530612244903</c:v>
                </c:pt>
                <c:pt idx="42">
                  <c:v>214.85714285714289</c:v>
                </c:pt>
                <c:pt idx="43">
                  <c:v>224.44897959183686</c:v>
                </c:pt>
                <c:pt idx="44">
                  <c:v>234.04081632653083</c:v>
                </c:pt>
                <c:pt idx="45">
                  <c:v>243.6326530612248</c:v>
                </c:pt>
                <c:pt idx="46">
                  <c:v>253.22448979591854</c:v>
                </c:pt>
                <c:pt idx="47">
                  <c:v>262.81632653061251</c:v>
                </c:pt>
                <c:pt idx="48">
                  <c:v>272.40816326530648</c:v>
                </c:pt>
                <c:pt idx="49">
                  <c:v>282.00000000000045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1F-449B-BF4C-D74127274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508656"/>
        <c:axId val="1816506992"/>
      </c:scatterChart>
      <c:valAx>
        <c:axId val="18165086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Отклонение от вертикали, 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6506992"/>
        <c:crosses val="autoZero"/>
        <c:crossBetween val="midCat"/>
      </c:valAx>
      <c:valAx>
        <c:axId val="181650699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 измеренная, 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650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Давления</a:t>
            </a:r>
            <a:r>
              <a:rPr lang="ru-RU" baseline="0"/>
              <a:t> без трения и с трением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 без трения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Лист1!$H$19:$H$68</c:f>
              <c:numCache>
                <c:formatCode>General</c:formatCode>
                <c:ptCount val="50"/>
                <c:pt idx="0">
                  <c:v>27</c:v>
                </c:pt>
                <c:pt idx="1">
                  <c:v>29.969600024169548</c:v>
                </c:pt>
                <c:pt idx="2">
                  <c:v>32.939200048339096</c:v>
                </c:pt>
                <c:pt idx="3">
                  <c:v>35.908800072508647</c:v>
                </c:pt>
                <c:pt idx="4">
                  <c:v>38.878400096678199</c:v>
                </c:pt>
                <c:pt idx="5">
                  <c:v>41.84800012084775</c:v>
                </c:pt>
                <c:pt idx="6">
                  <c:v>44.817600145017302</c:v>
                </c:pt>
                <c:pt idx="7">
                  <c:v>47.787200169186853</c:v>
                </c:pt>
                <c:pt idx="8">
                  <c:v>50.756800193356405</c:v>
                </c:pt>
                <c:pt idx="9">
                  <c:v>53.726400217525949</c:v>
                </c:pt>
                <c:pt idx="10">
                  <c:v>56.696000241695494</c:v>
                </c:pt>
                <c:pt idx="11">
                  <c:v>59.665600265865045</c:v>
                </c:pt>
                <c:pt idx="12">
                  <c:v>62.635200290034589</c:v>
                </c:pt>
                <c:pt idx="13">
                  <c:v>65.604800314204141</c:v>
                </c:pt>
                <c:pt idx="14">
                  <c:v>68.574400338373692</c:v>
                </c:pt>
                <c:pt idx="15">
                  <c:v>71.544000362543244</c:v>
                </c:pt>
                <c:pt idx="16">
                  <c:v>74.513600386712795</c:v>
                </c:pt>
                <c:pt idx="17">
                  <c:v>77.483200410882347</c:v>
                </c:pt>
                <c:pt idx="18">
                  <c:v>80.452800435051898</c:v>
                </c:pt>
                <c:pt idx="19">
                  <c:v>83.42240045922145</c:v>
                </c:pt>
                <c:pt idx="20">
                  <c:v>86.392000483391001</c:v>
                </c:pt>
                <c:pt idx="21">
                  <c:v>89.361600507560553</c:v>
                </c:pt>
                <c:pt idx="22">
                  <c:v>92.331200531730104</c:v>
                </c:pt>
                <c:pt idx="23">
                  <c:v>95.300800555899656</c:v>
                </c:pt>
                <c:pt idx="24">
                  <c:v>98.270400580069207</c:v>
                </c:pt>
                <c:pt idx="25">
                  <c:v>100.8276780011783</c:v>
                </c:pt>
                <c:pt idx="26">
                  <c:v>102.97263281922692</c:v>
                </c:pt>
                <c:pt idx="27">
                  <c:v>105.11758763727553</c:v>
                </c:pt>
                <c:pt idx="28">
                  <c:v>107.26254245532414</c:v>
                </c:pt>
                <c:pt idx="29">
                  <c:v>109.40749727337275</c:v>
                </c:pt>
                <c:pt idx="30">
                  <c:v>111.55245209142137</c:v>
                </c:pt>
                <c:pt idx="31">
                  <c:v>113.69740690946999</c:v>
                </c:pt>
                <c:pt idx="32">
                  <c:v>115.84236172751861</c:v>
                </c:pt>
                <c:pt idx="33">
                  <c:v>117.98731654556723</c:v>
                </c:pt>
                <c:pt idx="34">
                  <c:v>120.13227136361584</c:v>
                </c:pt>
                <c:pt idx="35">
                  <c:v>122.27722618166445</c:v>
                </c:pt>
                <c:pt idx="36">
                  <c:v>124.42218099971306</c:v>
                </c:pt>
                <c:pt idx="37">
                  <c:v>126.56713581776168</c:v>
                </c:pt>
                <c:pt idx="38">
                  <c:v>128.71209063581028</c:v>
                </c:pt>
                <c:pt idx="39">
                  <c:v>130.85704545385892</c:v>
                </c:pt>
                <c:pt idx="40">
                  <c:v>133.00200027190752</c:v>
                </c:pt>
                <c:pt idx="41">
                  <c:v>135.14695508995615</c:v>
                </c:pt>
                <c:pt idx="42">
                  <c:v>137.29190990800478</c:v>
                </c:pt>
                <c:pt idx="43">
                  <c:v>139.43686472605339</c:v>
                </c:pt>
                <c:pt idx="44">
                  <c:v>141.58181954410199</c:v>
                </c:pt>
                <c:pt idx="45">
                  <c:v>143.72677436215059</c:v>
                </c:pt>
                <c:pt idx="46">
                  <c:v>145.87172918019922</c:v>
                </c:pt>
                <c:pt idx="47">
                  <c:v>148.01668399824783</c:v>
                </c:pt>
                <c:pt idx="48">
                  <c:v>150.16163881629643</c:v>
                </c:pt>
                <c:pt idx="49">
                  <c:v>152.30659363434503</c:v>
                </c:pt>
              </c:numCache>
            </c:numRef>
          </c:xVal>
          <c:yVal>
            <c:numRef>
              <c:f>Лист1!$D$19:$D$68</c:f>
              <c:numCache>
                <c:formatCode>General</c:formatCode>
                <c:ptCount val="50"/>
                <c:pt idx="0">
                  <c:v>0</c:v>
                </c:pt>
                <c:pt idx="1">
                  <c:v>29.551020408163264</c:v>
                </c:pt>
                <c:pt idx="2">
                  <c:v>59.102040816326529</c:v>
                </c:pt>
                <c:pt idx="3">
                  <c:v>88.65306122448979</c:v>
                </c:pt>
                <c:pt idx="4">
                  <c:v>118.20408163265306</c:v>
                </c:pt>
                <c:pt idx="5">
                  <c:v>147.75510204081633</c:v>
                </c:pt>
                <c:pt idx="6">
                  <c:v>177.30612244897958</c:v>
                </c:pt>
                <c:pt idx="7">
                  <c:v>206.85714285714283</c:v>
                </c:pt>
                <c:pt idx="8">
                  <c:v>236.40816326530609</c:v>
                </c:pt>
                <c:pt idx="9">
                  <c:v>265.95918367346934</c:v>
                </c:pt>
                <c:pt idx="10">
                  <c:v>295.51020408163259</c:v>
                </c:pt>
                <c:pt idx="11">
                  <c:v>325.06122448979585</c:v>
                </c:pt>
                <c:pt idx="12">
                  <c:v>354.6122448979591</c:v>
                </c:pt>
                <c:pt idx="13">
                  <c:v>384.16326530612236</c:v>
                </c:pt>
                <c:pt idx="14">
                  <c:v>413.71428571428561</c:v>
                </c:pt>
                <c:pt idx="15">
                  <c:v>443.26530612244886</c:v>
                </c:pt>
                <c:pt idx="16">
                  <c:v>472.81632653061212</c:v>
                </c:pt>
                <c:pt idx="17">
                  <c:v>502.36734693877537</c:v>
                </c:pt>
                <c:pt idx="18">
                  <c:v>531.91836734693868</c:v>
                </c:pt>
                <c:pt idx="19">
                  <c:v>561.46938775510193</c:v>
                </c:pt>
                <c:pt idx="20">
                  <c:v>591.02040816326519</c:v>
                </c:pt>
                <c:pt idx="21">
                  <c:v>620.57142857142844</c:v>
                </c:pt>
                <c:pt idx="22">
                  <c:v>650.1224489795917</c:v>
                </c:pt>
                <c:pt idx="23">
                  <c:v>679.67346938775495</c:v>
                </c:pt>
                <c:pt idx="24">
                  <c:v>709.2244897959182</c:v>
                </c:pt>
                <c:pt idx="25">
                  <c:v>738.77551020408146</c:v>
                </c:pt>
                <c:pt idx="26">
                  <c:v>768.32653061224471</c:v>
                </c:pt>
                <c:pt idx="27">
                  <c:v>797.87755102040796</c:v>
                </c:pt>
                <c:pt idx="28">
                  <c:v>827.42857142857122</c:v>
                </c:pt>
                <c:pt idx="29">
                  <c:v>856.97959183673447</c:v>
                </c:pt>
                <c:pt idx="30">
                  <c:v>886.53061224489772</c:v>
                </c:pt>
                <c:pt idx="31">
                  <c:v>916.08163265306098</c:v>
                </c:pt>
                <c:pt idx="32">
                  <c:v>945.63265306122423</c:v>
                </c:pt>
                <c:pt idx="33">
                  <c:v>975.18367346938749</c:v>
                </c:pt>
                <c:pt idx="34">
                  <c:v>1004.7346938775507</c:v>
                </c:pt>
                <c:pt idx="35">
                  <c:v>1034.285714285714</c:v>
                </c:pt>
                <c:pt idx="36">
                  <c:v>1063.8367346938774</c:v>
                </c:pt>
                <c:pt idx="37">
                  <c:v>1093.3877551020407</c:v>
                </c:pt>
                <c:pt idx="38">
                  <c:v>1122.9387755102041</c:v>
                </c:pt>
                <c:pt idx="39">
                  <c:v>1152.4897959183675</c:v>
                </c:pt>
                <c:pt idx="40">
                  <c:v>1182.0408163265308</c:v>
                </c:pt>
                <c:pt idx="41">
                  <c:v>1211.5918367346942</c:v>
                </c:pt>
                <c:pt idx="42">
                  <c:v>1241.1428571428576</c:v>
                </c:pt>
                <c:pt idx="43">
                  <c:v>1270.6938775510209</c:v>
                </c:pt>
                <c:pt idx="44">
                  <c:v>1300.2448979591843</c:v>
                </c:pt>
                <c:pt idx="45">
                  <c:v>1329.7959183673477</c:v>
                </c:pt>
                <c:pt idx="46">
                  <c:v>1359.346938775511</c:v>
                </c:pt>
                <c:pt idx="47">
                  <c:v>1388.8979591836744</c:v>
                </c:pt>
                <c:pt idx="48">
                  <c:v>1418.4489795918378</c:v>
                </c:pt>
                <c:pt idx="49">
                  <c:v>1448.0000000000011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B3-4D50-90F4-B36861E93D52}"/>
            </c:ext>
          </c:extLst>
        </c:ser>
        <c:ser>
          <c:idx val="1"/>
          <c:order val="1"/>
          <c:tx>
            <c:v>Р с трением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Лист1!$P$19:$P$68</c:f>
              <c:numCache>
                <c:formatCode>General</c:formatCode>
                <c:ptCount val="50"/>
                <c:pt idx="0">
                  <c:v>27</c:v>
                </c:pt>
                <c:pt idx="1">
                  <c:v>29.953631627843524</c:v>
                </c:pt>
                <c:pt idx="2">
                  <c:v>32.906317608428836</c:v>
                </c:pt>
                <c:pt idx="3">
                  <c:v>35.858021689183943</c:v>
                </c:pt>
                <c:pt idx="4">
                  <c:v>38.808709434573345</c:v>
                </c:pt>
                <c:pt idx="5">
                  <c:v>41.758347037940034</c:v>
                </c:pt>
                <c:pt idx="6">
                  <c:v>44.706901290756591</c:v>
                </c:pt>
                <c:pt idx="7">
                  <c:v>47.654339554745576</c:v>
                </c:pt>
                <c:pt idx="8">
                  <c:v>50.600629736512438</c:v>
                </c:pt>
                <c:pt idx="9">
                  <c:v>53.545740264388968</c:v>
                </c:pt>
                <c:pt idx="10">
                  <c:v>56.4896400672298</c:v>
                </c:pt>
                <c:pt idx="11">
                  <c:v>59.432298554941219</c:v>
                </c:pt>
                <c:pt idx="12">
                  <c:v>62.373685600552299</c:v>
                </c:pt>
                <c:pt idx="13">
                  <c:v>65.313771523663945</c:v>
                </c:pt>
                <c:pt idx="14">
                  <c:v>68.252527075132875</c:v>
                </c:pt>
                <c:pt idx="15">
                  <c:v>71.189923422865959</c:v>
                </c:pt>
                <c:pt idx="16">
                  <c:v>74.12593213861571</c:v>
                </c:pt>
                <c:pt idx="17">
                  <c:v>77.060525185680874</c:v>
                </c:pt>
                <c:pt idx="18">
                  <c:v>79.993674907427632</c:v>
                </c:pt>
                <c:pt idx="19">
                  <c:v>82.925354016556284</c:v>
                </c:pt>
                <c:pt idx="20">
                  <c:v>85.855535585047107</c:v>
                </c:pt>
                <c:pt idx="21">
                  <c:v>88.784193034726172</c:v>
                </c:pt>
                <c:pt idx="22">
                  <c:v>91.711300128398079</c:v>
                </c:pt>
                <c:pt idx="23">
                  <c:v>94.636830961498674</c:v>
                </c:pt>
                <c:pt idx="24">
                  <c:v>97.560759954224935</c:v>
                </c:pt>
                <c:pt idx="25">
                  <c:v>100.07668077882813</c:v>
                </c:pt>
                <c:pt idx="26">
                  <c:v>102.18516620129735</c:v>
                </c:pt>
                <c:pt idx="27">
                  <c:v>104.29278400751494</c:v>
                </c:pt>
                <c:pt idx="28">
                  <c:v>106.39952505453419</c:v>
                </c:pt>
                <c:pt idx="29">
                  <c:v>108.50538016066682</c:v>
                </c:pt>
                <c:pt idx="30">
                  <c:v>110.61034022434494</c:v>
                </c:pt>
                <c:pt idx="31">
                  <c:v>112.71439622295964</c:v>
                </c:pt>
                <c:pt idx="32">
                  <c:v>114.81753921174102</c:v>
                </c:pt>
                <c:pt idx="33">
                  <c:v>116.91976032267802</c:v>
                </c:pt>
                <c:pt idx="34">
                  <c:v>119.02105076347559</c:v>
                </c:pt>
                <c:pt idx="35">
                  <c:v>121.1214018165476</c:v>
                </c:pt>
                <c:pt idx="36">
                  <c:v>123.22080483804372</c:v>
                </c:pt>
                <c:pt idx="37">
                  <c:v>125.3192512569081</c:v>
                </c:pt>
                <c:pt idx="38">
                  <c:v>127.4167325739692</c:v>
                </c:pt>
                <c:pt idx="39">
                  <c:v>129.51324036105837</c:v>
                </c:pt>
                <c:pt idx="40">
                  <c:v>131.6087662601563</c:v>
                </c:pt>
                <c:pt idx="41">
                  <c:v>133.70330198256602</c:v>
                </c:pt>
                <c:pt idx="42">
                  <c:v>135.79683930811098</c:v>
                </c:pt>
                <c:pt idx="43">
                  <c:v>137.88937008435713</c:v>
                </c:pt>
                <c:pt idx="44">
                  <c:v>139.98088622585826</c:v>
                </c:pt>
                <c:pt idx="45">
                  <c:v>142.07137971342283</c:v>
                </c:pt>
                <c:pt idx="46">
                  <c:v>144.16084259340221</c:v>
                </c:pt>
                <c:pt idx="47">
                  <c:v>146.24926697699843</c:v>
                </c:pt>
                <c:pt idx="48">
                  <c:v>148.33664503959164</c:v>
                </c:pt>
                <c:pt idx="49">
                  <c:v>150.42296902008547</c:v>
                </c:pt>
              </c:numCache>
            </c:numRef>
          </c:xVal>
          <c:yVal>
            <c:numRef>
              <c:f>Лист1!$D$19:$D$68</c:f>
              <c:numCache>
                <c:formatCode>General</c:formatCode>
                <c:ptCount val="50"/>
                <c:pt idx="0">
                  <c:v>0</c:v>
                </c:pt>
                <c:pt idx="1">
                  <c:v>29.551020408163264</c:v>
                </c:pt>
                <c:pt idx="2">
                  <c:v>59.102040816326529</c:v>
                </c:pt>
                <c:pt idx="3">
                  <c:v>88.65306122448979</c:v>
                </c:pt>
                <c:pt idx="4">
                  <c:v>118.20408163265306</c:v>
                </c:pt>
                <c:pt idx="5">
                  <c:v>147.75510204081633</c:v>
                </c:pt>
                <c:pt idx="6">
                  <c:v>177.30612244897958</c:v>
                </c:pt>
                <c:pt idx="7">
                  <c:v>206.85714285714283</c:v>
                </c:pt>
                <c:pt idx="8">
                  <c:v>236.40816326530609</c:v>
                </c:pt>
                <c:pt idx="9">
                  <c:v>265.95918367346934</c:v>
                </c:pt>
                <c:pt idx="10">
                  <c:v>295.51020408163259</c:v>
                </c:pt>
                <c:pt idx="11">
                  <c:v>325.06122448979585</c:v>
                </c:pt>
                <c:pt idx="12">
                  <c:v>354.6122448979591</c:v>
                </c:pt>
                <c:pt idx="13">
                  <c:v>384.16326530612236</c:v>
                </c:pt>
                <c:pt idx="14">
                  <c:v>413.71428571428561</c:v>
                </c:pt>
                <c:pt idx="15">
                  <c:v>443.26530612244886</c:v>
                </c:pt>
                <c:pt idx="16">
                  <c:v>472.81632653061212</c:v>
                </c:pt>
                <c:pt idx="17">
                  <c:v>502.36734693877537</c:v>
                </c:pt>
                <c:pt idx="18">
                  <c:v>531.91836734693868</c:v>
                </c:pt>
                <c:pt idx="19">
                  <c:v>561.46938775510193</c:v>
                </c:pt>
                <c:pt idx="20">
                  <c:v>591.02040816326519</c:v>
                </c:pt>
                <c:pt idx="21">
                  <c:v>620.57142857142844</c:v>
                </c:pt>
                <c:pt idx="22">
                  <c:v>650.1224489795917</c:v>
                </c:pt>
                <c:pt idx="23">
                  <c:v>679.67346938775495</c:v>
                </c:pt>
                <c:pt idx="24">
                  <c:v>709.2244897959182</c:v>
                </c:pt>
                <c:pt idx="25">
                  <c:v>738.77551020408146</c:v>
                </c:pt>
                <c:pt idx="26">
                  <c:v>768.32653061224471</c:v>
                </c:pt>
                <c:pt idx="27">
                  <c:v>797.87755102040796</c:v>
                </c:pt>
                <c:pt idx="28">
                  <c:v>827.42857142857122</c:v>
                </c:pt>
                <c:pt idx="29">
                  <c:v>856.97959183673447</c:v>
                </c:pt>
                <c:pt idx="30">
                  <c:v>886.53061224489772</c:v>
                </c:pt>
                <c:pt idx="31">
                  <c:v>916.08163265306098</c:v>
                </c:pt>
                <c:pt idx="32">
                  <c:v>945.63265306122423</c:v>
                </c:pt>
                <c:pt idx="33">
                  <c:v>975.18367346938749</c:v>
                </c:pt>
                <c:pt idx="34">
                  <c:v>1004.7346938775507</c:v>
                </c:pt>
                <c:pt idx="35">
                  <c:v>1034.285714285714</c:v>
                </c:pt>
                <c:pt idx="36">
                  <c:v>1063.8367346938774</c:v>
                </c:pt>
                <c:pt idx="37">
                  <c:v>1093.3877551020407</c:v>
                </c:pt>
                <c:pt idx="38">
                  <c:v>1122.9387755102041</c:v>
                </c:pt>
                <c:pt idx="39">
                  <c:v>1152.4897959183675</c:v>
                </c:pt>
                <c:pt idx="40">
                  <c:v>1182.0408163265308</c:v>
                </c:pt>
                <c:pt idx="41">
                  <c:v>1211.5918367346942</c:v>
                </c:pt>
                <c:pt idx="42">
                  <c:v>1241.1428571428576</c:v>
                </c:pt>
                <c:pt idx="43">
                  <c:v>1270.6938775510209</c:v>
                </c:pt>
                <c:pt idx="44">
                  <c:v>1300.2448979591843</c:v>
                </c:pt>
                <c:pt idx="45">
                  <c:v>1329.7959183673477</c:v>
                </c:pt>
                <c:pt idx="46">
                  <c:v>1359.346938775511</c:v>
                </c:pt>
                <c:pt idx="47">
                  <c:v>1388.8979591836744</c:v>
                </c:pt>
                <c:pt idx="48">
                  <c:v>1418.4489795918378</c:v>
                </c:pt>
                <c:pt idx="49">
                  <c:v>1448.0000000000011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59-437C-96AA-A2F4A87D1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288111"/>
        <c:axId val="1597237167"/>
      </c:scatterChart>
      <c:valAx>
        <c:axId val="159628811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7237167"/>
        <c:crosses val="autoZero"/>
        <c:crossBetween val="midCat"/>
      </c:valAx>
      <c:valAx>
        <c:axId val="159723716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 измеренная, 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9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6288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забойного давления от дебита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Лист1!$S$18</c:f>
              <c:strCache>
                <c:ptCount val="1"/>
                <c:pt idx="0">
                  <c:v>P c dQ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Лист1!$R$19:$R$68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xVal>
          <c:yVal>
            <c:numRef>
              <c:f>Лист1!$S$19:$S$68</c:f>
              <c:numCache>
                <c:formatCode>General</c:formatCode>
                <c:ptCount val="50"/>
                <c:pt idx="0">
                  <c:v>150.68024167214568</c:v>
                </c:pt>
                <c:pt idx="1">
                  <c:v>150.67967757177769</c:v>
                </c:pt>
                <c:pt idx="2">
                  <c:v>150.6788555567432</c:v>
                </c:pt>
                <c:pt idx="3">
                  <c:v>150.67779270745791</c:v>
                </c:pt>
                <c:pt idx="4">
                  <c:v>150.67649863849485</c:v>
                </c:pt>
                <c:pt idx="5">
                  <c:v>150.67497961289041</c:v>
                </c:pt>
                <c:pt idx="6">
                  <c:v>150.67324005471531</c:v>
                </c:pt>
                <c:pt idx="7">
                  <c:v>150.67128325808577</c:v>
                </c:pt>
                <c:pt idx="8">
                  <c:v>150.66911176932123</c:v>
                </c:pt>
                <c:pt idx="9">
                  <c:v>150.66672761295217</c:v>
                </c:pt>
                <c:pt idx="10">
                  <c:v>150.66413243460957</c:v>
                </c:pt>
                <c:pt idx="11">
                  <c:v>150.66132759605151</c:v>
                </c:pt>
                <c:pt idx="12">
                  <c:v>150.65831424092514</c:v>
                </c:pt>
                <c:pt idx="13">
                  <c:v>150.65509334176735</c:v>
                </c:pt>
                <c:pt idx="14">
                  <c:v>150.65166573450239</c:v>
                </c:pt>
                <c:pt idx="15">
                  <c:v>150.64803214433698</c:v>
                </c:pt>
                <c:pt idx="16">
                  <c:v>150.64419320557653</c:v>
                </c:pt>
                <c:pt idx="17">
                  <c:v>150.64014947704041</c:v>
                </c:pt>
                <c:pt idx="18">
                  <c:v>150.63590145423274</c:v>
                </c:pt>
                <c:pt idx="19">
                  <c:v>150.63144957907184</c:v>
                </c:pt>
                <c:pt idx="20">
                  <c:v>150.62679424776161</c:v>
                </c:pt>
                <c:pt idx="21">
                  <c:v>150.62193581722113</c:v>
                </c:pt>
                <c:pt idx="22">
                  <c:v>150.61687461038815</c:v>
                </c:pt>
                <c:pt idx="23">
                  <c:v>150.61161092062972</c:v>
                </c:pt>
                <c:pt idx="24">
                  <c:v>150.60614501543759</c:v>
                </c:pt>
                <c:pt idx="25">
                  <c:v>150.60047713954754</c:v>
                </c:pt>
                <c:pt idx="26">
                  <c:v>150.59460751758829</c:v>
                </c:pt>
                <c:pt idx="27">
                  <c:v>150.58853635634475</c:v>
                </c:pt>
                <c:pt idx="28">
                  <c:v>150.58226384670272</c:v>
                </c:pt>
                <c:pt idx="29">
                  <c:v>150.57579016532816</c:v>
                </c:pt>
                <c:pt idx="30">
                  <c:v>150.56911547612387</c:v>
                </c:pt>
                <c:pt idx="31">
                  <c:v>150.56223993149933</c:v>
                </c:pt>
                <c:pt idx="32">
                  <c:v>150.55516367348218</c:v>
                </c:pt>
                <c:pt idx="33">
                  <c:v>150.54788683469448</c:v>
                </c:pt>
                <c:pt idx="34">
                  <c:v>150.54040953921384</c:v>
                </c:pt>
                <c:pt idx="35">
                  <c:v>150.53273190333525</c:v>
                </c:pt>
                <c:pt idx="36">
                  <c:v>150.52485403624775</c:v>
                </c:pt>
                <c:pt idx="37">
                  <c:v>150.51677604063698</c:v>
                </c:pt>
                <c:pt idx="38">
                  <c:v>150.50849801322326</c:v>
                </c:pt>
                <c:pt idx="39">
                  <c:v>150.50002004524367</c:v>
                </c:pt>
                <c:pt idx="40">
                  <c:v>150.49134222288512</c:v>
                </c:pt>
                <c:pt idx="41">
                  <c:v>150.48246462767443</c:v>
                </c:pt>
                <c:pt idx="42">
                  <c:v>150.47338733682943</c:v>
                </c:pt>
                <c:pt idx="43">
                  <c:v>150.46411042357812</c:v>
                </c:pt>
                <c:pt idx="44">
                  <c:v>150.45463395744699</c:v>
                </c:pt>
                <c:pt idx="45">
                  <c:v>150.44495800452293</c:v>
                </c:pt>
                <c:pt idx="46">
                  <c:v>150.43508262769245</c:v>
                </c:pt>
                <c:pt idx="47">
                  <c:v>150.42500788685911</c:v>
                </c:pt>
                <c:pt idx="48">
                  <c:v>150.41473383914254</c:v>
                </c:pt>
                <c:pt idx="49">
                  <c:v>150.40426053906069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AC-49FC-8BBE-3BCD84949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777568"/>
        <c:axId val="1497758016"/>
      </c:scatterChart>
      <c:valAx>
        <c:axId val="149777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7758016"/>
        <c:crosses val="autoZero"/>
        <c:crossBetween val="midCat"/>
      </c:valAx>
      <c:valAx>
        <c:axId val="149775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забойное,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777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забойного давления от температуры Т0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Лист1!$Z$18</c:f>
              <c:strCache>
                <c:ptCount val="1"/>
                <c:pt idx="0">
                  <c:v>P c 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Лист1!$Y$19:$Y$59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Лист1!$Z$19:$Z$59</c:f>
              <c:numCache>
                <c:formatCode>General</c:formatCode>
                <c:ptCount val="41"/>
                <c:pt idx="0">
                  <c:v>151.16136931722335</c:v>
                </c:pt>
                <c:pt idx="1">
                  <c:v>151.12040633980007</c:v>
                </c:pt>
                <c:pt idx="2">
                  <c:v>151.07845778331557</c:v>
                </c:pt>
                <c:pt idx="3">
                  <c:v>151.03554028835788</c:v>
                </c:pt>
                <c:pt idx="4">
                  <c:v>150.99166959104798</c:v>
                </c:pt>
                <c:pt idx="5">
                  <c:v>150.94686062773653</c:v>
                </c:pt>
                <c:pt idx="6">
                  <c:v>150.90112762218862</c:v>
                </c:pt>
                <c:pt idx="7">
                  <c:v>150.85448415905836</c:v>
                </c:pt>
                <c:pt idx="8">
                  <c:v>150.80694324645117</c:v>
                </c:pt>
                <c:pt idx="9">
                  <c:v>150.75851736967442</c:v>
                </c:pt>
                <c:pt idx="10">
                  <c:v>150.70921853778282</c:v>
                </c:pt>
                <c:pt idx="11">
                  <c:v>150.65905832416996</c:v>
                </c:pt>
                <c:pt idx="12">
                  <c:v>150.60804790218771</c:v>
                </c:pt>
                <c:pt idx="13">
                  <c:v>150.5561980765828</c:v>
                </c:pt>
                <c:pt idx="14">
                  <c:v>150.50351931138169</c:v>
                </c:pt>
                <c:pt idx="15">
                  <c:v>150.45002175474283</c:v>
                </c:pt>
                <c:pt idx="16">
                  <c:v>150.39571526120082</c:v>
                </c:pt>
                <c:pt idx="17">
                  <c:v>150.34060941165333</c:v>
                </c:pt>
                <c:pt idx="18">
                  <c:v>150.28471353138724</c:v>
                </c:pt>
                <c:pt idx="19">
                  <c:v>150.22803670639021</c:v>
                </c:pt>
                <c:pt idx="20">
                  <c:v>150.17058779815687</c:v>
                </c:pt>
                <c:pt idx="21">
                  <c:v>150.11237545716824</c:v>
                </c:pt>
                <c:pt idx="22">
                  <c:v>150.0534081351972</c:v>
                </c:pt>
                <c:pt idx="23">
                  <c:v>149.99369409656987</c:v>
                </c:pt>
                <c:pt idx="24">
                  <c:v>149.93324142849718</c:v>
                </c:pt>
                <c:pt idx="25">
                  <c:v>149.87205805057474</c:v>
                </c:pt>
                <c:pt idx="26">
                  <c:v>149.81015172353605</c:v>
                </c:pt>
                <c:pt idx="27">
                  <c:v>149.74753005733496</c:v>
                </c:pt>
                <c:pt idx="28">
                  <c:v>149.68420051862131</c:v>
                </c:pt>
                <c:pt idx="29">
                  <c:v>149.62017043766994</c:v>
                </c:pt>
                <c:pt idx="30">
                  <c:v>149.55544701481173</c:v>
                </c:pt>
                <c:pt idx="31">
                  <c:v>149.49003732641486</c:v>
                </c:pt>
                <c:pt idx="32">
                  <c:v>149.42394833045296</c:v>
                </c:pt>
                <c:pt idx="33">
                  <c:v>149.35718687169972</c:v>
                </c:pt>
                <c:pt idx="34">
                  <c:v>149.28975968657917</c:v>
                </c:pt>
                <c:pt idx="35">
                  <c:v>149.22167340770275</c:v>
                </c:pt>
                <c:pt idx="36">
                  <c:v>149.15293456811636</c:v>
                </c:pt>
                <c:pt idx="37">
                  <c:v>149.08354960528348</c:v>
                </c:pt>
                <c:pt idx="38">
                  <c:v>149.0135248648225</c:v>
                </c:pt>
                <c:pt idx="39">
                  <c:v>148.94286660402</c:v>
                </c:pt>
                <c:pt idx="40">
                  <c:v>148.87158099513442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16-4D79-A52C-BC85AD37C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998464"/>
        <c:axId val="696995136"/>
      </c:scatterChart>
      <c:valAx>
        <c:axId val="69699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 Т0, ◦С</a:t>
                </a:r>
              </a:p>
            </c:rich>
          </c:tx>
          <c:layout>
            <c:manualLayout>
              <c:xMode val="edge"/>
              <c:yMode val="edge"/>
              <c:x val="0.47055446194225714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6995136"/>
        <c:crosses val="autoZero"/>
        <c:crossBetween val="midCat"/>
      </c:valAx>
      <c:valAx>
        <c:axId val="69699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Забойное</a:t>
                </a:r>
                <a:r>
                  <a:rPr lang="ru-RU" baseline="0"/>
                  <a:t> давление ,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699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9525</xdr:colOff>
      <xdr:row>0</xdr:row>
      <xdr:rowOff>0</xdr:rowOff>
    </xdr:from>
    <xdr:to>
      <xdr:col>33</xdr:col>
      <xdr:colOff>314325</xdr:colOff>
      <xdr:row>14</xdr:row>
      <xdr:rowOff>165100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F77F2D4-557D-431C-817E-618B1993C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22225</xdr:colOff>
      <xdr:row>14</xdr:row>
      <xdr:rowOff>180975</xdr:rowOff>
    </xdr:from>
    <xdr:to>
      <xdr:col>33</xdr:col>
      <xdr:colOff>327025</xdr:colOff>
      <xdr:row>29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B64BFA4-D228-4670-A830-3E06484A1A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320675</xdr:colOff>
      <xdr:row>0</xdr:row>
      <xdr:rowOff>0</xdr:rowOff>
    </xdr:from>
    <xdr:to>
      <xdr:col>41</xdr:col>
      <xdr:colOff>15875</xdr:colOff>
      <xdr:row>14</xdr:row>
      <xdr:rowOff>165100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FB54D2D-4A8A-405F-B057-B88BC3FC6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339725</xdr:colOff>
      <xdr:row>15</xdr:row>
      <xdr:rowOff>15875</xdr:rowOff>
    </xdr:from>
    <xdr:to>
      <xdr:col>41</xdr:col>
      <xdr:colOff>34925</xdr:colOff>
      <xdr:row>29</xdr:row>
      <xdr:rowOff>180975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06A172D-8279-48F9-BDE5-5ACE32CB8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decode_js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8"/>
  <sheetViews>
    <sheetView tabSelected="1" workbookViewId="0">
      <selection activeCell="I10" sqref="I10"/>
    </sheetView>
  </sheetViews>
  <sheetFormatPr defaultRowHeight="14.5" x14ac:dyDescent="0.35"/>
  <cols>
    <col min="6" max="6" width="11.6328125" customWidth="1"/>
  </cols>
  <sheetData>
    <row r="1" spans="1:43" x14ac:dyDescent="0.35">
      <c r="A1" t="s">
        <v>1</v>
      </c>
      <c r="AQ1">
        <v>25.5</v>
      </c>
    </row>
    <row r="2" spans="1:43" x14ac:dyDescent="0.35">
      <c r="Q2">
        <f>482/86400</f>
        <v>5.5787037037037038E-3</v>
      </c>
      <c r="AQ2">
        <v>26.684933664718031</v>
      </c>
    </row>
    <row r="3" spans="1:43" x14ac:dyDescent="0.35">
      <c r="AQ3">
        <v>27.869867329436062</v>
      </c>
    </row>
    <row r="4" spans="1:43" x14ac:dyDescent="0.35">
      <c r="A4" t="s">
        <v>0</v>
      </c>
      <c r="AQ4">
        <v>29.054800994154093</v>
      </c>
    </row>
    <row r="5" spans="1:43" x14ac:dyDescent="0.35">
      <c r="A5" t="str" cm="1">
        <f t="array" ref="A5:B13">[1]!decode_json(A1)</f>
        <v>gamma_w</v>
      </c>
      <c r="B5">
        <v>1.1100000000000001</v>
      </c>
      <c r="F5">
        <f>gamma_w</f>
        <v>1.1100000000000001</v>
      </c>
      <c r="M5" t="s">
        <v>10</v>
      </c>
      <c r="AQ5">
        <v>30.239734658872123</v>
      </c>
    </row>
    <row r="6" spans="1:43" x14ac:dyDescent="0.35">
      <c r="A6" t="str">
        <v>h</v>
      </c>
      <c r="B6">
        <v>1448</v>
      </c>
      <c r="H6" t="s">
        <v>15</v>
      </c>
      <c r="I6" t="s">
        <v>14</v>
      </c>
      <c r="J6" t="s">
        <v>12</v>
      </c>
      <c r="K6" t="s">
        <v>13</v>
      </c>
      <c r="M6" t="s">
        <v>11</v>
      </c>
      <c r="AQ6">
        <v>31.424668323590154</v>
      </c>
    </row>
    <row r="7" spans="1:43" x14ac:dyDescent="0.35">
      <c r="A7" t="str">
        <v>d_in</v>
      </c>
      <c r="B7">
        <v>94</v>
      </c>
      <c r="H7">
        <f>1/1000</f>
        <v>1E-3</v>
      </c>
      <c r="I7">
        <f>gamma_w*1000</f>
        <v>1110</v>
      </c>
      <c r="J7">
        <f>(d_in/1000)^2/4*PI()</f>
        <v>6.9397781717798531E-3</v>
      </c>
      <c r="K7">
        <f>q_liq/86400</f>
        <v>5.5787037037037038E-3</v>
      </c>
      <c r="M7">
        <f>I7*K7*d_in/1000/H7/J7</f>
        <v>83876.160020711046</v>
      </c>
      <c r="AQ7">
        <v>32.609601988308185</v>
      </c>
    </row>
    <row r="8" spans="1:43" x14ac:dyDescent="0.35">
      <c r="A8" t="str">
        <v>q_liq</v>
      </c>
      <c r="B8">
        <v>482</v>
      </c>
      <c r="AQ8">
        <v>33.794535653026216</v>
      </c>
    </row>
    <row r="9" spans="1:43" x14ac:dyDescent="0.35">
      <c r="A9" t="str">
        <v>eps</v>
      </c>
      <c r="B9">
        <v>7.7999999999999999E-5</v>
      </c>
      <c r="D9" t="s">
        <v>2</v>
      </c>
      <c r="M9" t="s">
        <v>19</v>
      </c>
      <c r="P9" t="s">
        <v>29</v>
      </c>
      <c r="AQ9">
        <v>34.979469317744247</v>
      </c>
    </row>
    <row r="10" spans="1:43" x14ac:dyDescent="0.35">
      <c r="A10" t="str">
        <v>p_wh</v>
      </c>
      <c r="B10">
        <v>27</v>
      </c>
      <c r="D10" t="s">
        <v>3</v>
      </c>
      <c r="E10" t="s">
        <v>4</v>
      </c>
      <c r="G10" t="s">
        <v>8</v>
      </c>
      <c r="P10">
        <f>50/1166</f>
        <v>4.2881646655231559E-2</v>
      </c>
      <c r="AQ10">
        <v>36.164402982462278</v>
      </c>
    </row>
    <row r="11" spans="1:43" x14ac:dyDescent="0.35">
      <c r="A11" t="str">
        <v>MD</v>
      </c>
      <c r="B11" t="str">
        <v>[0,724,1448]</v>
      </c>
      <c r="D11" cm="1">
        <f t="array" ref="D11:D13">[1]!decode_json(B11)</f>
        <v>0</v>
      </c>
      <c r="E11" cm="1">
        <f t="array" ref="E11:E13">[1]!decode_json(B12)</f>
        <v>0</v>
      </c>
      <c r="G11">
        <f>T0</f>
        <v>25.5</v>
      </c>
      <c r="H11">
        <v>0</v>
      </c>
      <c r="AQ11">
        <v>37.349336647180309</v>
      </c>
    </row>
    <row r="12" spans="1:43" x14ac:dyDescent="0.35">
      <c r="A12" t="str">
        <v>TVD</v>
      </c>
      <c r="B12" t="str">
        <v>[0,677,1166]</v>
      </c>
      <c r="D12">
        <v>724</v>
      </c>
      <c r="E12">
        <v>677</v>
      </c>
      <c r="G12">
        <f>(G11+G13)/2</f>
        <v>50.5</v>
      </c>
      <c r="H12">
        <f>(H11+H13)/2</f>
        <v>583</v>
      </c>
      <c r="AQ12">
        <v>38.534270311898339</v>
      </c>
    </row>
    <row r="13" spans="1:43" x14ac:dyDescent="0.35">
      <c r="A13" t="str">
        <v>T0</v>
      </c>
      <c r="B13">
        <v>25.5</v>
      </c>
      <c r="D13">
        <v>1448</v>
      </c>
      <c r="E13">
        <v>1166</v>
      </c>
      <c r="G13">
        <f>T0+50</f>
        <v>75.5</v>
      </c>
      <c r="H13">
        <v>1166</v>
      </c>
      <c r="AQ13">
        <v>39.71920397661637</v>
      </c>
    </row>
    <row r="14" spans="1:43" x14ac:dyDescent="0.35">
      <c r="AQ14">
        <v>40.904137641334401</v>
      </c>
    </row>
    <row r="15" spans="1:43" x14ac:dyDescent="0.35">
      <c r="AQ15">
        <v>42.089071306052432</v>
      </c>
    </row>
    <row r="16" spans="1:43" x14ac:dyDescent="0.35">
      <c r="Y16">
        <v>25.5</v>
      </c>
      <c r="AQ16">
        <v>43.274004970770463</v>
      </c>
    </row>
    <row r="17" spans="1:43" x14ac:dyDescent="0.35">
      <c r="A17" t="s">
        <v>5</v>
      </c>
      <c r="B17">
        <v>50</v>
      </c>
      <c r="C17" t="s">
        <v>6</v>
      </c>
      <c r="AQ17">
        <v>44.458938635488494</v>
      </c>
    </row>
    <row r="18" spans="1:43" x14ac:dyDescent="0.35">
      <c r="C18" t="s">
        <v>7</v>
      </c>
      <c r="D18" t="s">
        <v>3</v>
      </c>
      <c r="E18" t="s">
        <v>4</v>
      </c>
      <c r="F18" t="s">
        <v>9</v>
      </c>
      <c r="G18" t="s">
        <v>8</v>
      </c>
      <c r="H18" t="s">
        <v>16</v>
      </c>
      <c r="J18" t="s">
        <v>17</v>
      </c>
      <c r="K18" t="s">
        <v>18</v>
      </c>
      <c r="L18" t="s">
        <v>10</v>
      </c>
      <c r="M18" t="s">
        <v>20</v>
      </c>
      <c r="N18" t="s">
        <v>21</v>
      </c>
      <c r="O18" t="s">
        <v>22</v>
      </c>
      <c r="P18" t="s">
        <v>23</v>
      </c>
      <c r="R18" t="s">
        <v>24</v>
      </c>
      <c r="S18" t="s">
        <v>25</v>
      </c>
      <c r="T18" t="s">
        <v>27</v>
      </c>
      <c r="U18" t="s">
        <v>28</v>
      </c>
      <c r="V18" t="s">
        <v>26</v>
      </c>
      <c r="Y18" t="s">
        <v>30</v>
      </c>
      <c r="Z18" t="s">
        <v>31</v>
      </c>
      <c r="AQ18">
        <v>45.643872300206525</v>
      </c>
    </row>
    <row r="19" spans="1:43" x14ac:dyDescent="0.35">
      <c r="C19">
        <v>1</v>
      </c>
      <c r="D19">
        <v>0</v>
      </c>
      <c r="E19" cm="1">
        <f t="array" ref="E19">[1]!crv_interpolation($D$11:$D$13,$E$11:$E$13,D19)</f>
        <v>0</v>
      </c>
      <c r="F19">
        <f>D19-E19</f>
        <v>0</v>
      </c>
      <c r="G19">
        <f>Y16</f>
        <v>25.5</v>
      </c>
      <c r="H19">
        <f>p_wh</f>
        <v>27</v>
      </c>
      <c r="J19">
        <f>109.574*(1.8*(G19+273)-460)^(-1.1217)*(0.9994+0.0058*(H19*101325/1000000)+0.6534*10^-4*(H19*101325/1000000)^2)</f>
        <v>0.8482545550886762</v>
      </c>
      <c r="K19">
        <f>gamma_w*1000/(1+(G19/10000)*(0.269*G19^0.637-0.8))</f>
        <v>1106.2847427795662</v>
      </c>
      <c r="L19">
        <f>K19*$K$7*0.094/J19/$J$7*1000</f>
        <v>98549.921625411589</v>
      </c>
      <c r="M19">
        <f>1/((1.14-2*LN(eps/0.094+21.25/L19^0.9))^2)</f>
        <v>5.0082998420074082E-3</v>
      </c>
      <c r="N19">
        <f>Qinj/Square</f>
        <v>0.80387349071028402</v>
      </c>
      <c r="O19">
        <f>M19*K19*N19*N19/2/0.094</f>
        <v>19.044729553171837</v>
      </c>
      <c r="P19">
        <f>H19</f>
        <v>27</v>
      </c>
      <c r="R19">
        <v>10</v>
      </c>
      <c r="S19">
        <v>150.68024167214568</v>
      </c>
      <c r="T19">
        <f t="shared" ref="T19:T68" si="0">482/86400</f>
        <v>5.5787037037037038E-3</v>
      </c>
      <c r="U19">
        <f>R19/86400</f>
        <v>1.1574074074074075E-4</v>
      </c>
      <c r="V19">
        <f>T19/U19</f>
        <v>48.199999999999996</v>
      </c>
      <c r="Y19">
        <v>10</v>
      </c>
      <c r="Z19">
        <v>151.16136931722335</v>
      </c>
      <c r="AQ19">
        <v>46.828805964924555</v>
      </c>
    </row>
    <row r="20" spans="1:43" x14ac:dyDescent="0.35">
      <c r="C20">
        <v>2</v>
      </c>
      <c r="D20">
        <f t="shared" ref="D20:D51" si="1">D19+(C20-C19)/(n-1)*h</f>
        <v>29.551020408163264</v>
      </c>
      <c r="E20" cm="1">
        <f t="array" ref="E20">[1]!crv_interpolation($D$11:$D$13,$E$11:$E$13,D20)</f>
        <v>27.632653061224488</v>
      </c>
      <c r="F20">
        <f t="shared" ref="F20:F68" si="2">D20-E20</f>
        <v>1.9183673469387763</v>
      </c>
      <c r="G20">
        <f>$G$19+$P$10*E20</f>
        <v>26.684933664718031</v>
      </c>
      <c r="H20">
        <f t="shared" ref="H20:H51" si="3">H19+(gamma_w*1000*9.81*(E20-E19))/101325</f>
        <v>29.969600024169548</v>
      </c>
      <c r="J20">
        <f>109.574*(1.8*(G20+273)-460)^(-1.1217)*(0.9994+0.0058*(P19*101325/1000000)+0.6534*10^-4*(P19*101325/1000000)^2)</f>
        <v>0.82274791135964298</v>
      </c>
      <c r="K20">
        <f>gamma_w*1000/(1+(G20/10000)*(0.269*G20^0.637-0.8))</f>
        <v>1105.929947602689</v>
      </c>
      <c r="L20">
        <f>K20*$K$7*0.094/J20/$J$7*1000</f>
        <v>101572.55823740301</v>
      </c>
      <c r="M20">
        <f t="shared" ref="M20:M50" si="4">1/((1.14-2*LN(eps/0.094+21.25/L20^0.9))^2)</f>
        <v>4.9911002143419661E-3</v>
      </c>
      <c r="N20">
        <f t="shared" ref="N20:N50" si="5">Qinj/Square</f>
        <v>0.80387349071028402</v>
      </c>
      <c r="O20">
        <f t="shared" ref="O20:O68" si="6">M20*K20*N20*N20/2/0.094</f>
        <v>18.973238834624112</v>
      </c>
      <c r="P20">
        <f>P19-(D20-D19)*O19/101325+(E20-E19)*(K20+K19)/2*9.81/101325</f>
        <v>29.953631627843524</v>
      </c>
      <c r="R20">
        <v>20</v>
      </c>
      <c r="S20">
        <v>150.67967757177769</v>
      </c>
      <c r="T20">
        <f t="shared" si="0"/>
        <v>5.5787037037037038E-3</v>
      </c>
      <c r="U20">
        <f t="shared" ref="U20:U68" si="7">R20/86400</f>
        <v>2.3148148148148149E-4</v>
      </c>
      <c r="V20">
        <f t="shared" ref="V20:V68" si="8">T20/U20</f>
        <v>24.099999999999998</v>
      </c>
      <c r="Y20">
        <f>Y19+1</f>
        <v>11</v>
      </c>
      <c r="Z20">
        <v>151.12040633980007</v>
      </c>
      <c r="AQ20">
        <v>48.013739629642586</v>
      </c>
    </row>
    <row r="21" spans="1:43" x14ac:dyDescent="0.35">
      <c r="C21">
        <v>3</v>
      </c>
      <c r="D21">
        <f t="shared" si="1"/>
        <v>59.102040816326529</v>
      </c>
      <c r="E21" cm="1">
        <f t="array" ref="E21">[1]!crv_interpolation($D$11:$D$13,$E$11:$E$13,D21)</f>
        <v>55.265306122448976</v>
      </c>
      <c r="F21">
        <f t="shared" si="2"/>
        <v>3.8367346938775526</v>
      </c>
      <c r="G21">
        <f t="shared" ref="G21:G68" si="9">$G$19+$P$10*E21</f>
        <v>27.869867329436062</v>
      </c>
      <c r="H21">
        <f t="shared" si="3"/>
        <v>32.939200048339096</v>
      </c>
      <c r="J21">
        <f t="shared" ref="J21:J68" si="10">109.574*(1.8*(G21+273)-460)^(-1.1217)*(0.9994+0.0058*(P20*101325/1000000)+0.6534*10^-4*(P20*101325/1000000)^2)</f>
        <v>0.80010764777797783</v>
      </c>
      <c r="K21">
        <f t="shared" ref="K21:K50" si="11">gamma_w*1000/(1+(G21/10000)*(0.269*G21^0.637-0.8))</f>
        <v>1105.5622131999874</v>
      </c>
      <c r="L21">
        <f>K21*$K$7*0.094/J21/$J$7*1000</f>
        <v>104411.97862702236</v>
      </c>
      <c r="M21">
        <f t="shared" si="4"/>
        <v>4.9757039745060693E-3</v>
      </c>
      <c r="N21">
        <f t="shared" si="5"/>
        <v>0.80387349071028402</v>
      </c>
      <c r="O21">
        <f t="shared" si="6"/>
        <v>18.908421992451249</v>
      </c>
      <c r="P21">
        <f>P20-(D21-D20)*O20/101325+(E21-E20)*(K21+K20)/2*9.81/101325</f>
        <v>32.906317608428836</v>
      </c>
      <c r="R21">
        <v>30</v>
      </c>
      <c r="S21">
        <v>150.6788555567432</v>
      </c>
      <c r="T21">
        <f t="shared" si="0"/>
        <v>5.5787037037037038E-3</v>
      </c>
      <c r="U21">
        <f t="shared" si="7"/>
        <v>3.4722222222222224E-4</v>
      </c>
      <c r="V21">
        <f t="shared" si="8"/>
        <v>16.066666666666666</v>
      </c>
      <c r="Y21">
        <f t="shared" ref="Y21:Y59" si="12">Y20+1</f>
        <v>12</v>
      </c>
      <c r="Z21">
        <v>151.07845778331557</v>
      </c>
      <c r="AQ21">
        <v>49.198673294360617</v>
      </c>
    </row>
    <row r="22" spans="1:43" x14ac:dyDescent="0.35">
      <c r="C22">
        <v>4</v>
      </c>
      <c r="D22">
        <f t="shared" si="1"/>
        <v>88.65306122448979</v>
      </c>
      <c r="E22" cm="1">
        <f t="array" ref="E22">[1]!crv_interpolation($D$11:$D$13,$E$11:$E$13,D22)</f>
        <v>82.897959183673464</v>
      </c>
      <c r="F22">
        <f t="shared" si="2"/>
        <v>5.7551020408163254</v>
      </c>
      <c r="G22">
        <f t="shared" si="9"/>
        <v>29.054800994154093</v>
      </c>
      <c r="H22">
        <f t="shared" si="3"/>
        <v>35.908800072508647</v>
      </c>
      <c r="J22">
        <f t="shared" si="10"/>
        <v>0.77869353651918272</v>
      </c>
      <c r="K22">
        <f t="shared" si="11"/>
        <v>1105.1817715784698</v>
      </c>
      <c r="L22">
        <f t="shared" ref="L22:L68" si="13">K22*$K$7*0.094/J22/$J$7*1000</f>
        <v>107246.39536702998</v>
      </c>
      <c r="M22">
        <f t="shared" si="4"/>
        <v>4.961017880633291E-3</v>
      </c>
      <c r="N22">
        <f t="shared" si="5"/>
        <v>0.80387349071028402</v>
      </c>
      <c r="O22">
        <f t="shared" si="6"/>
        <v>18.846125146024047</v>
      </c>
      <c r="P22">
        <f t="shared" ref="P22:P68" si="14">P21-(D22-D21)*O21/101325+(E22-E21)*(K22+K21)/2*9.81/101325</f>
        <v>35.858021689183943</v>
      </c>
      <c r="R22">
        <v>40</v>
      </c>
      <c r="S22">
        <v>150.67779270745791</v>
      </c>
      <c r="T22">
        <f t="shared" si="0"/>
        <v>5.5787037037037038E-3</v>
      </c>
      <c r="U22">
        <f t="shared" si="7"/>
        <v>4.6296296296296298E-4</v>
      </c>
      <c r="V22">
        <f t="shared" si="8"/>
        <v>12.049999999999999</v>
      </c>
      <c r="Y22">
        <f t="shared" si="12"/>
        <v>13</v>
      </c>
      <c r="Z22">
        <v>151.03554028835788</v>
      </c>
      <c r="AQ22">
        <v>50.383606959078655</v>
      </c>
    </row>
    <row r="23" spans="1:43" x14ac:dyDescent="0.35">
      <c r="C23">
        <v>5</v>
      </c>
      <c r="D23">
        <f t="shared" si="1"/>
        <v>118.20408163265306</v>
      </c>
      <c r="E23" cm="1">
        <f t="array" ref="E23">[1]!crv_interpolation($D$11:$D$13,$E$11:$E$13,D23)</f>
        <v>110.53061224489795</v>
      </c>
      <c r="F23">
        <f t="shared" si="2"/>
        <v>7.6734693877551052</v>
      </c>
      <c r="G23">
        <f t="shared" si="9"/>
        <v>30.239734658872123</v>
      </c>
      <c r="H23">
        <f t="shared" si="3"/>
        <v>38.878400096678199</v>
      </c>
      <c r="J23">
        <f t="shared" si="10"/>
        <v>0.75841065595341106</v>
      </c>
      <c r="K23">
        <f t="shared" si="11"/>
        <v>1104.7888434435683</v>
      </c>
      <c r="L23">
        <f t="shared" si="13"/>
        <v>110075.4360027658</v>
      </c>
      <c r="M23">
        <f t="shared" si="4"/>
        <v>4.9469941340639124E-3</v>
      </c>
      <c r="N23">
        <f t="shared" si="5"/>
        <v>0.80387349071028402</v>
      </c>
      <c r="O23">
        <f t="shared" si="6"/>
        <v>18.786169671747309</v>
      </c>
      <c r="P23">
        <f t="shared" si="14"/>
        <v>38.808709434573345</v>
      </c>
      <c r="R23">
        <v>50</v>
      </c>
      <c r="S23">
        <v>150.67649863849485</v>
      </c>
      <c r="T23">
        <f t="shared" si="0"/>
        <v>5.5787037037037038E-3</v>
      </c>
      <c r="U23">
        <f t="shared" si="7"/>
        <v>5.7870370370370367E-4</v>
      </c>
      <c r="V23">
        <f t="shared" si="8"/>
        <v>9.64</v>
      </c>
      <c r="Y23">
        <f t="shared" si="12"/>
        <v>14</v>
      </c>
      <c r="Z23">
        <v>150.99166959104798</v>
      </c>
      <c r="AQ23">
        <v>51.568540623796686</v>
      </c>
    </row>
    <row r="24" spans="1:43" x14ac:dyDescent="0.35">
      <c r="C24">
        <v>6</v>
      </c>
      <c r="D24">
        <f t="shared" si="1"/>
        <v>147.75510204081633</v>
      </c>
      <c r="E24" cm="1">
        <f t="array" ref="E24">[1]!crv_interpolation($D$11:$D$13,$E$11:$E$13,D24)</f>
        <v>138.16326530612244</v>
      </c>
      <c r="F24">
        <f t="shared" si="2"/>
        <v>9.5918367346938851</v>
      </c>
      <c r="G24">
        <f t="shared" si="9"/>
        <v>31.424668323590154</v>
      </c>
      <c r="H24">
        <f t="shared" si="3"/>
        <v>41.84800012084775</v>
      </c>
      <c r="J24">
        <f t="shared" si="10"/>
        <v>0.73917355286694975</v>
      </c>
      <c r="K24">
        <f t="shared" si="11"/>
        <v>1104.3836392791313</v>
      </c>
      <c r="L24">
        <f t="shared" si="13"/>
        <v>112898.74266773395</v>
      </c>
      <c r="M24">
        <f t="shared" si="4"/>
        <v>4.9335891806392444E-3</v>
      </c>
      <c r="N24">
        <f t="shared" si="5"/>
        <v>0.80387349071028402</v>
      </c>
      <c r="O24">
        <f t="shared" si="6"/>
        <v>18.728392925158712</v>
      </c>
      <c r="P24">
        <f t="shared" si="14"/>
        <v>41.758347037940034</v>
      </c>
      <c r="R24">
        <v>60</v>
      </c>
      <c r="S24">
        <v>150.67497961289041</v>
      </c>
      <c r="T24">
        <f t="shared" si="0"/>
        <v>5.5787037037037038E-3</v>
      </c>
      <c r="U24">
        <f t="shared" si="7"/>
        <v>6.9444444444444447E-4</v>
      </c>
      <c r="V24">
        <f t="shared" si="8"/>
        <v>8.0333333333333332</v>
      </c>
      <c r="Y24">
        <f t="shared" si="12"/>
        <v>15</v>
      </c>
      <c r="Z24">
        <v>150.94686062773653</v>
      </c>
      <c r="AQ24">
        <v>52.753474288514717</v>
      </c>
    </row>
    <row r="25" spans="1:43" x14ac:dyDescent="0.35">
      <c r="C25">
        <v>7</v>
      </c>
      <c r="D25">
        <f t="shared" si="1"/>
        <v>177.30612244897958</v>
      </c>
      <c r="E25" cm="1">
        <f t="array" ref="E25">[1]!crv_interpolation($D$11:$D$13,$E$11:$E$13,D25)</f>
        <v>165.79591836734693</v>
      </c>
      <c r="F25">
        <f t="shared" si="2"/>
        <v>11.510204081632651</v>
      </c>
      <c r="G25">
        <f t="shared" si="9"/>
        <v>32.609601988308185</v>
      </c>
      <c r="H25">
        <f t="shared" si="3"/>
        <v>44.817600145017302</v>
      </c>
      <c r="J25">
        <f t="shared" si="10"/>
        <v>0.72090509595077501</v>
      </c>
      <c r="K25">
        <f t="shared" si="11"/>
        <v>1103.9663602873579</v>
      </c>
      <c r="L25">
        <f t="shared" si="13"/>
        <v>115715.97133329617</v>
      </c>
      <c r="M25">
        <f t="shared" si="4"/>
        <v>4.9207632448198249E-3</v>
      </c>
      <c r="N25">
        <f t="shared" si="5"/>
        <v>0.80387349071028402</v>
      </c>
      <c r="O25">
        <f t="shared" si="6"/>
        <v>18.672646485955372</v>
      </c>
      <c r="P25">
        <f t="shared" si="14"/>
        <v>44.706901290756591</v>
      </c>
      <c r="R25">
        <v>70</v>
      </c>
      <c r="S25">
        <v>150.67324005471531</v>
      </c>
      <c r="T25">
        <f t="shared" si="0"/>
        <v>5.5787037037037038E-3</v>
      </c>
      <c r="U25">
        <f t="shared" si="7"/>
        <v>8.1018518518518516E-4</v>
      </c>
      <c r="V25">
        <f t="shared" si="8"/>
        <v>6.8857142857142861</v>
      </c>
      <c r="Y25">
        <f t="shared" si="12"/>
        <v>16</v>
      </c>
      <c r="Z25">
        <v>150.90112762218862</v>
      </c>
      <c r="AQ25">
        <v>53.938407953232748</v>
      </c>
    </row>
    <row r="26" spans="1:43" x14ac:dyDescent="0.35">
      <c r="C26">
        <v>8</v>
      </c>
      <c r="D26">
        <f t="shared" si="1"/>
        <v>206.85714285714283</v>
      </c>
      <c r="E26" cm="1">
        <f t="array" ref="E26">[1]!crv_interpolation($D$11:$D$13,$E$11:$E$13,D26)</f>
        <v>193.42857142857142</v>
      </c>
      <c r="F26">
        <f t="shared" si="2"/>
        <v>13.428571428571416</v>
      </c>
      <c r="G26">
        <f t="shared" si="9"/>
        <v>33.794535653026216</v>
      </c>
      <c r="H26">
        <f t="shared" si="3"/>
        <v>47.787200169186853</v>
      </c>
      <c r="J26">
        <f t="shared" si="10"/>
        <v>0.70353549183381425</v>
      </c>
      <c r="K26">
        <f t="shared" si="11"/>
        <v>1103.5371992112346</v>
      </c>
      <c r="L26">
        <f t="shared" si="13"/>
        <v>118526.79105890008</v>
      </c>
      <c r="M26">
        <f t="shared" si="4"/>
        <v>4.9084799246600962E-3</v>
      </c>
      <c r="N26">
        <f t="shared" si="5"/>
        <v>0.80387349071028402</v>
      </c>
      <c r="O26">
        <f t="shared" si="6"/>
        <v>18.618794632163684</v>
      </c>
      <c r="P26">
        <f t="shared" si="14"/>
        <v>47.654339554745576</v>
      </c>
      <c r="R26">
        <v>80</v>
      </c>
      <c r="S26">
        <v>150.67128325808577</v>
      </c>
      <c r="T26">
        <f t="shared" si="0"/>
        <v>5.5787037037037038E-3</v>
      </c>
      <c r="U26">
        <f t="shared" si="7"/>
        <v>9.2592592592592596E-4</v>
      </c>
      <c r="V26">
        <f t="shared" si="8"/>
        <v>6.0249999999999995</v>
      </c>
      <c r="Y26">
        <f t="shared" si="12"/>
        <v>17</v>
      </c>
      <c r="Z26">
        <v>150.85448415905836</v>
      </c>
      <c r="AQ26">
        <v>54.958816116498049</v>
      </c>
    </row>
    <row r="27" spans="1:43" x14ac:dyDescent="0.35">
      <c r="C27">
        <v>9</v>
      </c>
      <c r="D27">
        <f t="shared" si="1"/>
        <v>236.40816326530609</v>
      </c>
      <c r="E27" cm="1">
        <f t="array" ref="E27">[1]!crv_interpolation($D$11:$D$13,$E$11:$E$13,D27)</f>
        <v>221.0612244897959</v>
      </c>
      <c r="F27">
        <f t="shared" si="2"/>
        <v>15.346938775510182</v>
      </c>
      <c r="G27">
        <f t="shared" si="9"/>
        <v>34.979469317744247</v>
      </c>
      <c r="H27">
        <f t="shared" si="3"/>
        <v>50.756800193356405</v>
      </c>
      <c r="J27">
        <f t="shared" si="10"/>
        <v>0.68700143704712269</v>
      </c>
      <c r="K27">
        <f t="shared" si="11"/>
        <v>1103.0963410577451</v>
      </c>
      <c r="L27">
        <f t="shared" si="13"/>
        <v>121330.88330674153</v>
      </c>
      <c r="M27">
        <f t="shared" si="4"/>
        <v>4.8967058382101544E-3</v>
      </c>
      <c r="N27">
        <f t="shared" si="5"/>
        <v>0.80387349071028402</v>
      </c>
      <c r="O27">
        <f t="shared" si="6"/>
        <v>18.56671300797333</v>
      </c>
      <c r="P27">
        <f t="shared" si="14"/>
        <v>50.600629736512438</v>
      </c>
      <c r="R27">
        <v>90</v>
      </c>
      <c r="S27">
        <v>150.66911176932123</v>
      </c>
      <c r="T27">
        <f t="shared" si="0"/>
        <v>5.5787037037037038E-3</v>
      </c>
      <c r="U27">
        <f t="shared" si="7"/>
        <v>1.0416666666666667E-3</v>
      </c>
      <c r="V27">
        <f t="shared" si="8"/>
        <v>5.3555555555555561</v>
      </c>
      <c r="Y27">
        <f t="shared" si="12"/>
        <v>18</v>
      </c>
      <c r="Z27">
        <v>150.80694324645117</v>
      </c>
      <c r="AQ27">
        <v>55.814698778310635</v>
      </c>
    </row>
    <row r="28" spans="1:43" x14ac:dyDescent="0.35">
      <c r="C28">
        <v>10</v>
      </c>
      <c r="D28">
        <f t="shared" si="1"/>
        <v>265.95918367346934</v>
      </c>
      <c r="E28" cm="1">
        <f t="array" ref="E28">[1]!crv_interpolation($D$11:$D$13,$E$11:$E$13,D28)</f>
        <v>248.69387755102036</v>
      </c>
      <c r="F28">
        <f t="shared" si="2"/>
        <v>17.265306122448976</v>
      </c>
      <c r="G28">
        <f t="shared" si="9"/>
        <v>36.164402982462278</v>
      </c>
      <c r="H28">
        <f t="shared" si="3"/>
        <v>53.726400217525949</v>
      </c>
      <c r="J28">
        <f t="shared" si="10"/>
        <v>0.67124538455436045</v>
      </c>
      <c r="K28">
        <f t="shared" si="11"/>
        <v>1102.6439637367405</v>
      </c>
      <c r="L28">
        <f t="shared" si="13"/>
        <v>124127.9413138103</v>
      </c>
      <c r="M28">
        <f t="shared" si="4"/>
        <v>4.8854103138327278E-3</v>
      </c>
      <c r="N28">
        <f t="shared" si="5"/>
        <v>0.80387349071028402</v>
      </c>
      <c r="O28">
        <f t="shared" si="6"/>
        <v>18.516287456974666</v>
      </c>
      <c r="P28">
        <f t="shared" si="14"/>
        <v>53.545740264388968</v>
      </c>
      <c r="R28">
        <v>100</v>
      </c>
      <c r="S28">
        <v>150.66672761295217</v>
      </c>
      <c r="T28">
        <f t="shared" si="0"/>
        <v>5.5787037037037038E-3</v>
      </c>
      <c r="U28">
        <f t="shared" si="7"/>
        <v>1.1574074074074073E-3</v>
      </c>
      <c r="V28">
        <f t="shared" si="8"/>
        <v>4.82</v>
      </c>
      <c r="Y28">
        <f t="shared" si="12"/>
        <v>19</v>
      </c>
      <c r="Z28">
        <v>150.75851736967442</v>
      </c>
      <c r="AQ28">
        <v>56.670581440123215</v>
      </c>
    </row>
    <row r="29" spans="1:43" x14ac:dyDescent="0.35">
      <c r="C29">
        <v>11</v>
      </c>
      <c r="D29">
        <f t="shared" si="1"/>
        <v>295.51020408163259</v>
      </c>
      <c r="E29" cm="1">
        <f t="array" ref="E29">[1]!crv_interpolation($D$11:$D$13,$E$11:$E$13,D29)</f>
        <v>276.32653061224482</v>
      </c>
      <c r="F29">
        <f t="shared" si="2"/>
        <v>19.18367346938777</v>
      </c>
      <c r="G29">
        <f t="shared" si="9"/>
        <v>37.349336647180309</v>
      </c>
      <c r="H29">
        <f t="shared" si="3"/>
        <v>56.696000241695494</v>
      </c>
      <c r="J29">
        <f t="shared" si="10"/>
        <v>0.65621490723078668</v>
      </c>
      <c r="K29">
        <f t="shared" si="11"/>
        <v>1102.1802386277179</v>
      </c>
      <c r="L29">
        <f t="shared" si="13"/>
        <v>126917.66951517835</v>
      </c>
      <c r="M29">
        <f t="shared" si="4"/>
        <v>4.8745651181588906E-3</v>
      </c>
      <c r="N29">
        <f t="shared" si="5"/>
        <v>0.80387349071028402</v>
      </c>
      <c r="O29">
        <f t="shared" si="6"/>
        <v>18.467412997179782</v>
      </c>
      <c r="P29">
        <f t="shared" si="14"/>
        <v>56.4896400672298</v>
      </c>
      <c r="R29">
        <v>110</v>
      </c>
      <c r="S29">
        <v>150.66413243460957</v>
      </c>
      <c r="T29">
        <f t="shared" si="0"/>
        <v>5.5787037037037038E-3</v>
      </c>
      <c r="U29">
        <f t="shared" si="7"/>
        <v>1.2731481481481483E-3</v>
      </c>
      <c r="V29">
        <f t="shared" si="8"/>
        <v>4.3818181818181818</v>
      </c>
      <c r="Y29">
        <f t="shared" si="12"/>
        <v>20</v>
      </c>
      <c r="Z29">
        <v>150.70921853778282</v>
      </c>
      <c r="AQ29">
        <v>57.526464101935794</v>
      </c>
    </row>
    <row r="30" spans="1:43" x14ac:dyDescent="0.35">
      <c r="C30">
        <v>12</v>
      </c>
      <c r="D30">
        <f t="shared" si="1"/>
        <v>325.06122448979585</v>
      </c>
      <c r="E30" cm="1">
        <f t="array" ref="E30">[1]!crv_interpolation($D$11:$D$13,$E$11:$E$13,D30)</f>
        <v>303.95918367346934</v>
      </c>
      <c r="F30">
        <f t="shared" si="2"/>
        <v>21.102040816326507</v>
      </c>
      <c r="G30">
        <f t="shared" si="9"/>
        <v>38.534270311898339</v>
      </c>
      <c r="H30">
        <f t="shared" si="3"/>
        <v>59.665600265865045</v>
      </c>
      <c r="J30">
        <f t="shared" si="10"/>
        <v>0.64186214369743</v>
      </c>
      <c r="K30">
        <f t="shared" si="11"/>
        <v>1101.7053310846377</v>
      </c>
      <c r="L30">
        <f t="shared" si="13"/>
        <v>129699.78301315451</v>
      </c>
      <c r="M30">
        <f t="shared" si="4"/>
        <v>4.8641442164164975E-3</v>
      </c>
      <c r="N30">
        <f t="shared" si="5"/>
        <v>0.80387349071028402</v>
      </c>
      <c r="O30">
        <f t="shared" si="6"/>
        <v>18.41999291800515</v>
      </c>
      <c r="P30">
        <f t="shared" si="14"/>
        <v>59.432298554941219</v>
      </c>
      <c r="R30">
        <v>120</v>
      </c>
      <c r="S30">
        <v>150.66132759605151</v>
      </c>
      <c r="T30">
        <f t="shared" si="0"/>
        <v>5.5787037037037038E-3</v>
      </c>
      <c r="U30">
        <f t="shared" si="7"/>
        <v>1.3888888888888889E-3</v>
      </c>
      <c r="V30">
        <f t="shared" si="8"/>
        <v>4.0166666666666666</v>
      </c>
      <c r="Y30">
        <f t="shared" si="12"/>
        <v>21</v>
      </c>
      <c r="Z30">
        <v>150.65905832416996</v>
      </c>
      <c r="AQ30">
        <v>58.382346763748373</v>
      </c>
    </row>
    <row r="31" spans="1:43" x14ac:dyDescent="0.35">
      <c r="C31">
        <v>13</v>
      </c>
      <c r="D31">
        <f t="shared" si="1"/>
        <v>354.6122448979591</v>
      </c>
      <c r="E31" cm="1">
        <f t="array" ref="E31">[1]!crv_interpolation($D$11:$D$13,$E$11:$E$13,D31)</f>
        <v>331.5918367346938</v>
      </c>
      <c r="F31">
        <f t="shared" si="2"/>
        <v>23.020408163265301</v>
      </c>
      <c r="G31">
        <f t="shared" si="9"/>
        <v>39.71920397661637</v>
      </c>
      <c r="H31">
        <f t="shared" si="3"/>
        <v>62.635200290034589</v>
      </c>
      <c r="J31">
        <f t="shared" si="10"/>
        <v>0.6281433143704297</v>
      </c>
      <c r="K31">
        <f t="shared" si="11"/>
        <v>1101.2194008872143</v>
      </c>
      <c r="L31">
        <f t="shared" si="13"/>
        <v>132474.00708759658</v>
      </c>
      <c r="M31">
        <f t="shared" si="4"/>
        <v>4.8541235606954078E-3</v>
      </c>
      <c r="N31">
        <f t="shared" si="5"/>
        <v>0.80387349071028402</v>
      </c>
      <c r="O31">
        <f t="shared" si="6"/>
        <v>18.37393798251443</v>
      </c>
      <c r="P31">
        <f t="shared" si="14"/>
        <v>62.373685600552299</v>
      </c>
      <c r="R31">
        <v>130</v>
      </c>
      <c r="S31">
        <v>150.65831424092514</v>
      </c>
      <c r="T31">
        <f t="shared" si="0"/>
        <v>5.5787037037037038E-3</v>
      </c>
      <c r="U31">
        <f t="shared" si="7"/>
        <v>1.5046296296296296E-3</v>
      </c>
      <c r="V31">
        <f t="shared" si="8"/>
        <v>3.7076923076923078</v>
      </c>
      <c r="Y31">
        <f t="shared" si="12"/>
        <v>22</v>
      </c>
      <c r="Z31">
        <v>150.60804790218771</v>
      </c>
      <c r="AQ31">
        <v>59.238229425560952</v>
      </c>
    </row>
    <row r="32" spans="1:43" x14ac:dyDescent="0.35">
      <c r="C32">
        <v>14</v>
      </c>
      <c r="D32">
        <f t="shared" si="1"/>
        <v>384.16326530612236</v>
      </c>
      <c r="E32" cm="1">
        <f t="array" ref="E32">[1]!crv_interpolation($D$11:$D$13,$E$11:$E$13,D32)</f>
        <v>359.22448979591832</v>
      </c>
      <c r="F32">
        <f t="shared" si="2"/>
        <v>24.938775510204039</v>
      </c>
      <c r="G32">
        <f t="shared" si="9"/>
        <v>40.904137641334401</v>
      </c>
      <c r="H32">
        <f t="shared" si="3"/>
        <v>65.604800314204141</v>
      </c>
      <c r="J32">
        <f t="shared" si="10"/>
        <v>0.61501829758507864</v>
      </c>
      <c r="K32">
        <f t="shared" si="11"/>
        <v>1100.722602645759</v>
      </c>
      <c r="L32">
        <f t="shared" si="13"/>
        <v>135240.07674323567</v>
      </c>
      <c r="M32">
        <f t="shared" si="4"/>
        <v>4.8444809023986844E-3</v>
      </c>
      <c r="N32">
        <f t="shared" si="5"/>
        <v>0.80387349071028402</v>
      </c>
      <c r="O32">
        <f t="shared" si="6"/>
        <v>18.329165720797171</v>
      </c>
      <c r="P32">
        <f t="shared" si="14"/>
        <v>65.313771523663945</v>
      </c>
      <c r="R32">
        <v>140</v>
      </c>
      <c r="S32">
        <v>150.65509334176735</v>
      </c>
      <c r="T32">
        <f t="shared" si="0"/>
        <v>5.5787037037037038E-3</v>
      </c>
      <c r="U32">
        <f t="shared" si="7"/>
        <v>1.6203703703703703E-3</v>
      </c>
      <c r="V32">
        <f t="shared" si="8"/>
        <v>3.4428571428571431</v>
      </c>
      <c r="Y32">
        <f t="shared" si="12"/>
        <v>23</v>
      </c>
      <c r="Z32">
        <v>150.5561980765828</v>
      </c>
      <c r="AQ32">
        <v>60.094112087373539</v>
      </c>
    </row>
    <row r="33" spans="3:43" x14ac:dyDescent="0.35">
      <c r="C33">
        <v>15</v>
      </c>
      <c r="D33">
        <f t="shared" si="1"/>
        <v>413.71428571428561</v>
      </c>
      <c r="E33" cm="1">
        <f t="array" ref="E33">[1]!crv_interpolation($D$11:$D$13,$E$11:$E$13,D33)</f>
        <v>386.85714285714278</v>
      </c>
      <c r="F33">
        <f t="shared" si="2"/>
        <v>26.857142857142833</v>
      </c>
      <c r="G33">
        <f t="shared" si="9"/>
        <v>42.089071306052432</v>
      </c>
      <c r="H33">
        <f t="shared" si="3"/>
        <v>68.574400338373692</v>
      </c>
      <c r="J33">
        <f t="shared" si="10"/>
        <v>0.60245025729107116</v>
      </c>
      <c r="K33">
        <f t="shared" si="11"/>
        <v>1100.2150861655239</v>
      </c>
      <c r="L33">
        <f t="shared" si="13"/>
        <v>137997.73629035807</v>
      </c>
      <c r="M33">
        <f t="shared" si="4"/>
        <v>4.8351956256967648E-3</v>
      </c>
      <c r="N33">
        <f t="shared" si="5"/>
        <v>0.80387349071028402</v>
      </c>
      <c r="O33">
        <f t="shared" si="6"/>
        <v>18.285599802494666</v>
      </c>
      <c r="P33">
        <f t="shared" si="14"/>
        <v>68.252527075132875</v>
      </c>
      <c r="R33">
        <v>150</v>
      </c>
      <c r="S33">
        <v>150.65166573450239</v>
      </c>
      <c r="T33">
        <f t="shared" si="0"/>
        <v>5.5787037037037038E-3</v>
      </c>
      <c r="U33">
        <f t="shared" si="7"/>
        <v>1.736111111111111E-3</v>
      </c>
      <c r="V33">
        <f t="shared" si="8"/>
        <v>3.2133333333333334</v>
      </c>
      <c r="Y33">
        <f t="shared" si="12"/>
        <v>24</v>
      </c>
      <c r="Z33">
        <v>150.50351931138169</v>
      </c>
      <c r="AQ33">
        <v>60.949994749186118</v>
      </c>
    </row>
    <row r="34" spans="3:43" x14ac:dyDescent="0.35">
      <c r="C34">
        <v>16</v>
      </c>
      <c r="D34">
        <f t="shared" si="1"/>
        <v>443.26530612244886</v>
      </c>
      <c r="E34" cm="1">
        <f t="array" ref="E34">[1]!crv_interpolation($D$11:$D$13,$E$11:$E$13,D34)</f>
        <v>414.48979591836724</v>
      </c>
      <c r="F34">
        <f t="shared" si="2"/>
        <v>28.775510204081627</v>
      </c>
      <c r="G34">
        <f t="shared" si="9"/>
        <v>43.274004970770463</v>
      </c>
      <c r="H34">
        <f t="shared" si="3"/>
        <v>71.544000362543244</v>
      </c>
      <c r="J34">
        <f t="shared" si="10"/>
        <v>0.59040531516141681</v>
      </c>
      <c r="K34">
        <f t="shared" si="11"/>
        <v>1099.696996775602</v>
      </c>
      <c r="L34">
        <f t="shared" si="13"/>
        <v>140746.73895561614</v>
      </c>
      <c r="M34">
        <f t="shared" si="4"/>
        <v>4.8262485992739829E-3</v>
      </c>
      <c r="N34">
        <f t="shared" si="5"/>
        <v>0.80387349071028402</v>
      </c>
      <c r="O34">
        <f t="shared" si="6"/>
        <v>18.243169478262551</v>
      </c>
      <c r="P34">
        <f t="shared" si="14"/>
        <v>71.189923422865959</v>
      </c>
      <c r="R34">
        <v>160</v>
      </c>
      <c r="S34">
        <v>150.64803214433698</v>
      </c>
      <c r="T34">
        <f t="shared" si="0"/>
        <v>5.5787037037037038E-3</v>
      </c>
      <c r="U34">
        <f t="shared" si="7"/>
        <v>1.8518518518518519E-3</v>
      </c>
      <c r="V34">
        <f t="shared" si="8"/>
        <v>3.0124999999999997</v>
      </c>
      <c r="Y34">
        <f t="shared" si="12"/>
        <v>25</v>
      </c>
      <c r="Z34">
        <v>150.45002175474283</v>
      </c>
      <c r="AQ34">
        <v>61.805877410998697</v>
      </c>
    </row>
    <row r="35" spans="3:43" x14ac:dyDescent="0.35">
      <c r="C35">
        <v>17</v>
      </c>
      <c r="D35">
        <f t="shared" si="1"/>
        <v>472.81632653061212</v>
      </c>
      <c r="E35" cm="1">
        <f t="array" ref="E35">[1]!crv_interpolation($D$11:$D$13,$E$11:$E$13,D35)</f>
        <v>442.12244897959175</v>
      </c>
      <c r="F35">
        <f t="shared" si="2"/>
        <v>30.693877551020364</v>
      </c>
      <c r="G35">
        <f t="shared" si="9"/>
        <v>44.458938635488494</v>
      </c>
      <c r="H35">
        <f t="shared" si="3"/>
        <v>74.513600386712795</v>
      </c>
      <c r="J35">
        <f t="shared" si="10"/>
        <v>0.5788522610687481</v>
      </c>
      <c r="K35">
        <f t="shared" si="11"/>
        <v>1099.1684756266777</v>
      </c>
      <c r="L35">
        <f t="shared" si="13"/>
        <v>143486.84652010567</v>
      </c>
      <c r="M35">
        <f t="shared" si="4"/>
        <v>4.8176220440515121E-3</v>
      </c>
      <c r="N35">
        <f t="shared" si="5"/>
        <v>0.80387349071028402</v>
      </c>
      <c r="O35">
        <f t="shared" si="6"/>
        <v>18.201809081444733</v>
      </c>
      <c r="P35">
        <f t="shared" si="14"/>
        <v>74.12593213861571</v>
      </c>
      <c r="R35">
        <v>170</v>
      </c>
      <c r="S35">
        <v>150.64419320557653</v>
      </c>
      <c r="T35">
        <f t="shared" si="0"/>
        <v>5.5787037037037038E-3</v>
      </c>
      <c r="U35">
        <f t="shared" si="7"/>
        <v>1.9675925925925924E-3</v>
      </c>
      <c r="V35">
        <f t="shared" si="8"/>
        <v>2.835294117647059</v>
      </c>
      <c r="Y35">
        <f t="shared" si="12"/>
        <v>26</v>
      </c>
      <c r="Z35">
        <v>150.39571526120082</v>
      </c>
      <c r="AQ35">
        <v>62.661760072811276</v>
      </c>
    </row>
    <row r="36" spans="3:43" x14ac:dyDescent="0.35">
      <c r="C36">
        <v>18</v>
      </c>
      <c r="D36">
        <f t="shared" si="1"/>
        <v>502.36734693877537</v>
      </c>
      <c r="E36" cm="1">
        <f t="array" ref="E36">[1]!crv_interpolation($D$11:$D$13,$E$11:$E$13,D36)</f>
        <v>469.75510204081621</v>
      </c>
      <c r="F36">
        <f t="shared" si="2"/>
        <v>32.612244897959158</v>
      </c>
      <c r="G36">
        <f t="shared" si="9"/>
        <v>45.643872300206525</v>
      </c>
      <c r="H36">
        <f t="shared" si="3"/>
        <v>77.483200410882347</v>
      </c>
      <c r="J36">
        <f t="shared" si="10"/>
        <v>0.56776229680385271</v>
      </c>
      <c r="K36">
        <f t="shared" si="11"/>
        <v>1098.6296599613049</v>
      </c>
      <c r="L36">
        <f t="shared" si="13"/>
        <v>146217.82898216858</v>
      </c>
      <c r="M36">
        <f t="shared" si="4"/>
        <v>4.8092994149016265E-3</v>
      </c>
      <c r="N36">
        <f t="shared" si="5"/>
        <v>0.80387349071028402</v>
      </c>
      <c r="O36">
        <f t="shared" si="6"/>
        <v>18.161457582479212</v>
      </c>
      <c r="P36">
        <f t="shared" si="14"/>
        <v>77.060525185680874</v>
      </c>
      <c r="R36">
        <v>180</v>
      </c>
      <c r="S36">
        <v>150.64014947704041</v>
      </c>
      <c r="T36">
        <f t="shared" si="0"/>
        <v>5.5787037037037038E-3</v>
      </c>
      <c r="U36">
        <f t="shared" si="7"/>
        <v>2.0833333333333333E-3</v>
      </c>
      <c r="V36">
        <f t="shared" si="8"/>
        <v>2.677777777777778</v>
      </c>
      <c r="Y36">
        <f t="shared" si="12"/>
        <v>27</v>
      </c>
      <c r="Z36">
        <v>150.34060941165333</v>
      </c>
      <c r="AQ36">
        <v>63.517642734623855</v>
      </c>
    </row>
    <row r="37" spans="3:43" x14ac:dyDescent="0.35">
      <c r="C37">
        <v>19</v>
      </c>
      <c r="D37">
        <f t="shared" si="1"/>
        <v>531.91836734693868</v>
      </c>
      <c r="E37" cm="1">
        <f t="array" ref="E37">[1]!crv_interpolation($D$11:$D$13,$E$11:$E$13,D37)</f>
        <v>497.38775510204073</v>
      </c>
      <c r="F37">
        <f t="shared" si="2"/>
        <v>34.530612244897952</v>
      </c>
      <c r="G37">
        <f t="shared" si="9"/>
        <v>46.828805964924555</v>
      </c>
      <c r="H37">
        <f t="shared" si="3"/>
        <v>80.452800435051898</v>
      </c>
      <c r="J37">
        <f t="shared" si="10"/>
        <v>0.55710880867768653</v>
      </c>
      <c r="K37">
        <f t="shared" si="11"/>
        <v>1098.0806833598683</v>
      </c>
      <c r="L37">
        <f t="shared" si="13"/>
        <v>148939.46424265596</v>
      </c>
      <c r="M37">
        <f t="shared" si="4"/>
        <v>4.8012652946466065E-3</v>
      </c>
      <c r="N37">
        <f t="shared" si="5"/>
        <v>0.80387349071028402</v>
      </c>
      <c r="O37">
        <f t="shared" si="6"/>
        <v>18.122058189604445</v>
      </c>
      <c r="P37">
        <f t="shared" si="14"/>
        <v>79.993674907427632</v>
      </c>
      <c r="R37">
        <v>190</v>
      </c>
      <c r="S37">
        <v>150.63590145423274</v>
      </c>
      <c r="T37">
        <f t="shared" si="0"/>
        <v>5.5787037037037038E-3</v>
      </c>
      <c r="U37">
        <f t="shared" si="7"/>
        <v>2.1990740740740742E-3</v>
      </c>
      <c r="V37">
        <f t="shared" si="8"/>
        <v>2.5368421052631578</v>
      </c>
      <c r="Y37">
        <f t="shared" si="12"/>
        <v>28</v>
      </c>
      <c r="Z37">
        <v>150.28471353138724</v>
      </c>
      <c r="AQ37">
        <v>64.373525396436449</v>
      </c>
    </row>
    <row r="38" spans="3:43" x14ac:dyDescent="0.35">
      <c r="C38">
        <v>20</v>
      </c>
      <c r="D38">
        <f t="shared" si="1"/>
        <v>561.46938775510193</v>
      </c>
      <c r="E38" cm="1">
        <f t="array" ref="E38">[1]!crv_interpolation($D$11:$D$13,$E$11:$E$13,D38)</f>
        <v>525.02040816326519</v>
      </c>
      <c r="F38">
        <f t="shared" si="2"/>
        <v>36.448979591836746</v>
      </c>
      <c r="G38">
        <f t="shared" si="9"/>
        <v>48.013739629642586</v>
      </c>
      <c r="H38">
        <f t="shared" si="3"/>
        <v>83.42240045922145</v>
      </c>
      <c r="J38">
        <f t="shared" si="10"/>
        <v>0.54686716528812818</v>
      </c>
      <c r="K38">
        <f t="shared" si="11"/>
        <v>1097.521675964955</v>
      </c>
      <c r="L38">
        <f t="shared" si="13"/>
        <v>151651.53781063261</v>
      </c>
      <c r="M38">
        <f t="shared" si="4"/>
        <v>4.7935052988706522E-3</v>
      </c>
      <c r="N38">
        <f t="shared" si="5"/>
        <v>0.80387349071028402</v>
      </c>
      <c r="O38">
        <f t="shared" si="6"/>
        <v>18.083557990320298</v>
      </c>
      <c r="P38">
        <f t="shared" si="14"/>
        <v>82.925354016556284</v>
      </c>
      <c r="R38">
        <v>200</v>
      </c>
      <c r="S38">
        <v>150.63144957907184</v>
      </c>
      <c r="T38">
        <f t="shared" si="0"/>
        <v>5.5787037037037038E-3</v>
      </c>
      <c r="U38">
        <f t="shared" si="7"/>
        <v>2.3148148148148147E-3</v>
      </c>
      <c r="V38">
        <f t="shared" si="8"/>
        <v>2.41</v>
      </c>
      <c r="Y38">
        <f t="shared" si="12"/>
        <v>29</v>
      </c>
      <c r="Z38">
        <v>150.22803670639021</v>
      </c>
      <c r="AQ38">
        <v>65.229408058249021</v>
      </c>
    </row>
    <row r="39" spans="3:43" x14ac:dyDescent="0.35">
      <c r="C39">
        <v>21</v>
      </c>
      <c r="D39">
        <f t="shared" si="1"/>
        <v>591.02040816326519</v>
      </c>
      <c r="E39" cm="1">
        <f t="array" ref="E39">[1]!crv_interpolation($D$11:$D$13,$E$11:$E$13,D39)</f>
        <v>552.65306122448965</v>
      </c>
      <c r="F39">
        <f t="shared" si="2"/>
        <v>38.36734693877554</v>
      </c>
      <c r="G39">
        <f t="shared" si="9"/>
        <v>49.198673294360617</v>
      </c>
      <c r="H39">
        <f t="shared" si="3"/>
        <v>86.392000483391001</v>
      </c>
      <c r="J39">
        <f t="shared" si="10"/>
        <v>0.53701453726906268</v>
      </c>
      <c r="K39">
        <f t="shared" si="11"/>
        <v>1096.952764686496</v>
      </c>
      <c r="L39">
        <f t="shared" si="13"/>
        <v>154353.84252772137</v>
      </c>
      <c r="M39">
        <f t="shared" si="4"/>
        <v>4.7860059902721987E-3</v>
      </c>
      <c r="N39">
        <f t="shared" si="5"/>
        <v>0.80387349071028402</v>
      </c>
      <c r="O39">
        <f t="shared" si="6"/>
        <v>18.045907628807335</v>
      </c>
      <c r="P39">
        <f t="shared" si="14"/>
        <v>85.855535585047107</v>
      </c>
      <c r="R39">
        <v>210</v>
      </c>
      <c r="S39">
        <v>150.62679424776161</v>
      </c>
      <c r="T39">
        <f t="shared" si="0"/>
        <v>5.5787037037037038E-3</v>
      </c>
      <c r="U39">
        <f t="shared" si="7"/>
        <v>2.4305555555555556E-3</v>
      </c>
      <c r="V39">
        <f t="shared" si="8"/>
        <v>2.2952380952380951</v>
      </c>
      <c r="Y39">
        <f t="shared" si="12"/>
        <v>30</v>
      </c>
      <c r="Z39">
        <v>150.17058779815687</v>
      </c>
      <c r="AQ39">
        <v>66.085290720061607</v>
      </c>
    </row>
    <row r="40" spans="3:43" x14ac:dyDescent="0.35">
      <c r="C40">
        <v>22</v>
      </c>
      <c r="D40">
        <f t="shared" si="1"/>
        <v>620.57142857142844</v>
      </c>
      <c r="E40" cm="1">
        <f t="array" ref="E40">[1]!crv_interpolation($D$11:$D$13,$E$11:$E$13,D40)</f>
        <v>580.28571428571422</v>
      </c>
      <c r="F40">
        <f t="shared" si="2"/>
        <v>40.285714285714221</v>
      </c>
      <c r="G40">
        <f t="shared" si="9"/>
        <v>50.383606959078648</v>
      </c>
      <c r="H40">
        <f t="shared" si="3"/>
        <v>89.361600507560553</v>
      </c>
      <c r="J40">
        <f t="shared" si="10"/>
        <v>0.52752973629038125</v>
      </c>
      <c r="K40">
        <f t="shared" si="11"/>
        <v>1096.3740733897284</v>
      </c>
      <c r="L40">
        <f t="shared" si="13"/>
        <v>157046.17830946657</v>
      </c>
      <c r="M40">
        <f t="shared" si="4"/>
        <v>4.778754801453268E-3</v>
      </c>
      <c r="N40">
        <f t="shared" si="5"/>
        <v>0.80387349071028402</v>
      </c>
      <c r="O40">
        <f t="shared" si="6"/>
        <v>18.009061015145541</v>
      </c>
      <c r="P40">
        <f t="shared" si="14"/>
        <v>88.784193034726172</v>
      </c>
      <c r="R40">
        <v>220</v>
      </c>
      <c r="S40">
        <v>150.62193581722113</v>
      </c>
      <c r="T40">
        <f t="shared" si="0"/>
        <v>5.5787037037037038E-3</v>
      </c>
      <c r="U40">
        <f t="shared" si="7"/>
        <v>2.5462962962962965E-3</v>
      </c>
      <c r="V40">
        <f t="shared" si="8"/>
        <v>2.1909090909090909</v>
      </c>
      <c r="Y40">
        <f t="shared" si="12"/>
        <v>31</v>
      </c>
      <c r="Z40">
        <v>150.11237545716824</v>
      </c>
      <c r="AQ40">
        <v>66.941173381874194</v>
      </c>
    </row>
    <row r="41" spans="3:43" x14ac:dyDescent="0.35">
      <c r="C41">
        <v>23</v>
      </c>
      <c r="D41">
        <f t="shared" si="1"/>
        <v>650.1224489795917</v>
      </c>
      <c r="E41" cm="1">
        <f t="array" ref="E41">[1]!crv_interpolation($D$11:$D$13,$E$11:$E$13,D41)</f>
        <v>607.91836734693868</v>
      </c>
      <c r="F41">
        <f t="shared" si="2"/>
        <v>42.204081632653015</v>
      </c>
      <c r="G41">
        <f t="shared" si="9"/>
        <v>51.568540623796679</v>
      </c>
      <c r="H41">
        <f t="shared" si="3"/>
        <v>92.331200531730104</v>
      </c>
      <c r="J41">
        <f t="shared" si="10"/>
        <v>0.51839307095790155</v>
      </c>
      <c r="K41">
        <f t="shared" si="11"/>
        <v>1095.7857230677662</v>
      </c>
      <c r="L41">
        <f t="shared" si="13"/>
        <v>159728.35190226574</v>
      </c>
      <c r="M41">
        <f t="shared" si="4"/>
        <v>4.7717399651865978E-3</v>
      </c>
      <c r="N41">
        <f t="shared" si="5"/>
        <v>0.80387349071028402</v>
      </c>
      <c r="O41">
        <f t="shared" si="6"/>
        <v>17.972975062716881</v>
      </c>
      <c r="P41">
        <f t="shared" si="14"/>
        <v>91.711300128398079</v>
      </c>
      <c r="R41">
        <v>230</v>
      </c>
      <c r="S41">
        <v>150.61687461038815</v>
      </c>
      <c r="T41">
        <f t="shared" si="0"/>
        <v>5.5787037037037038E-3</v>
      </c>
      <c r="U41">
        <f t="shared" si="7"/>
        <v>2.662037037037037E-3</v>
      </c>
      <c r="V41">
        <f t="shared" si="8"/>
        <v>2.0956521739130434</v>
      </c>
      <c r="Y41">
        <f t="shared" si="12"/>
        <v>32</v>
      </c>
      <c r="Z41">
        <v>150.0534081351972</v>
      </c>
      <c r="AQ41">
        <v>67.79705604368678</v>
      </c>
    </row>
    <row r="42" spans="3:43" x14ac:dyDescent="0.35">
      <c r="C42">
        <v>24</v>
      </c>
      <c r="D42">
        <f t="shared" si="1"/>
        <v>679.67346938775495</v>
      </c>
      <c r="E42" cm="1">
        <f t="array" ref="E42">[1]!crv_interpolation($D$11:$D$13,$E$11:$E$13,D42)</f>
        <v>635.55102040816314</v>
      </c>
      <c r="F42">
        <f t="shared" si="2"/>
        <v>44.122448979591809</v>
      </c>
      <c r="G42">
        <f t="shared" si="9"/>
        <v>52.75347428851471</v>
      </c>
      <c r="H42">
        <f t="shared" si="3"/>
        <v>95.300800555899656</v>
      </c>
      <c r="J42">
        <f t="shared" si="10"/>
        <v>0.50958621758412015</v>
      </c>
      <c r="K42">
        <f t="shared" si="11"/>
        <v>1095.1878320003507</v>
      </c>
      <c r="L42">
        <f t="shared" si="13"/>
        <v>162400.17665456695</v>
      </c>
      <c r="M42">
        <f t="shared" si="4"/>
        <v>4.7649504513245736E-3</v>
      </c>
      <c r="N42">
        <f t="shared" si="5"/>
        <v>0.80387349071028402</v>
      </c>
      <c r="O42">
        <f t="shared" si="6"/>
        <v>17.937609450640366</v>
      </c>
      <c r="P42">
        <f t="shared" si="14"/>
        <v>94.636830961498674</v>
      </c>
      <c r="R42">
        <v>240</v>
      </c>
      <c r="S42">
        <v>150.61161092062972</v>
      </c>
      <c r="T42">
        <f t="shared" si="0"/>
        <v>5.5787037037037038E-3</v>
      </c>
      <c r="U42">
        <f t="shared" si="7"/>
        <v>2.7777777777777779E-3</v>
      </c>
      <c r="V42">
        <f t="shared" si="8"/>
        <v>2.0083333333333333</v>
      </c>
      <c r="Y42">
        <f t="shared" si="12"/>
        <v>33</v>
      </c>
      <c r="Z42">
        <v>149.99369409656987</v>
      </c>
      <c r="AQ42">
        <v>68.652938705499366</v>
      </c>
    </row>
    <row r="43" spans="3:43" x14ac:dyDescent="0.35">
      <c r="C43">
        <v>25</v>
      </c>
      <c r="D43">
        <f t="shared" si="1"/>
        <v>709.2244897959182</v>
      </c>
      <c r="E43" cm="1">
        <f t="array" ref="E43">[1]!crv_interpolation($D$11:$D$13,$E$11:$E$13,D43)</f>
        <v>663.1836734693876</v>
      </c>
      <c r="F43">
        <f t="shared" si="2"/>
        <v>46.040816326530603</v>
      </c>
      <c r="G43">
        <f t="shared" si="9"/>
        <v>53.938407953232741</v>
      </c>
      <c r="H43">
        <f t="shared" si="3"/>
        <v>98.270400580069207</v>
      </c>
      <c r="J43">
        <f t="shared" si="10"/>
        <v>0.50109210407396598</v>
      </c>
      <c r="K43">
        <f t="shared" si="11"/>
        <v>1094.5805159001548</v>
      </c>
      <c r="L43">
        <f t="shared" si="13"/>
        <v>165061.47230115294</v>
      </c>
      <c r="M43">
        <f t="shared" si="4"/>
        <v>4.7583759096195468E-3</v>
      </c>
      <c r="N43">
        <f t="shared" si="5"/>
        <v>0.80387349071028402</v>
      </c>
      <c r="O43">
        <f t="shared" si="6"/>
        <v>17.902926408486181</v>
      </c>
      <c r="P43">
        <f t="shared" si="14"/>
        <v>97.560759954224935</v>
      </c>
      <c r="R43">
        <v>250</v>
      </c>
      <c r="S43">
        <v>150.60614501543759</v>
      </c>
      <c r="T43">
        <f t="shared" si="0"/>
        <v>5.5787037037037038E-3</v>
      </c>
      <c r="U43">
        <f t="shared" si="7"/>
        <v>2.8935185185185184E-3</v>
      </c>
      <c r="V43">
        <f t="shared" si="8"/>
        <v>1.9280000000000002</v>
      </c>
      <c r="Y43">
        <f t="shared" si="12"/>
        <v>34</v>
      </c>
      <c r="Z43">
        <v>149.93324142849718</v>
      </c>
      <c r="AQ43">
        <v>69.508821367311953</v>
      </c>
    </row>
    <row r="44" spans="3:43" x14ac:dyDescent="0.35">
      <c r="C44">
        <v>26</v>
      </c>
      <c r="D44">
        <f t="shared" si="1"/>
        <v>738.77551020408146</v>
      </c>
      <c r="E44" cm="1">
        <f t="array" ref="E44">[1]!crv_interpolation($D$11:$D$13,$E$11:$E$13,D44)</f>
        <v>686.97959183673458</v>
      </c>
      <c r="F44">
        <f t="shared" si="2"/>
        <v>51.795918367346871</v>
      </c>
      <c r="G44">
        <f t="shared" si="9"/>
        <v>54.958816116498056</v>
      </c>
      <c r="H44">
        <f t="shared" si="3"/>
        <v>100.8276780011783</v>
      </c>
      <c r="J44">
        <f t="shared" si="10"/>
        <v>0.49415131574203902</v>
      </c>
      <c r="K44">
        <f t="shared" si="11"/>
        <v>1094.0500580639125</v>
      </c>
      <c r="L44">
        <f t="shared" si="13"/>
        <v>167298.78935866969</v>
      </c>
      <c r="M44">
        <f t="shared" si="4"/>
        <v>4.7529882687126958E-3</v>
      </c>
      <c r="N44">
        <f t="shared" si="5"/>
        <v>0.80387349071028402</v>
      </c>
      <c r="O44">
        <f t="shared" si="6"/>
        <v>17.873989604651985</v>
      </c>
      <c r="P44">
        <f t="shared" si="14"/>
        <v>100.07668077882813</v>
      </c>
      <c r="R44">
        <v>260</v>
      </c>
      <c r="S44">
        <v>150.60047713954754</v>
      </c>
      <c r="T44">
        <f t="shared" si="0"/>
        <v>5.5787037037037038E-3</v>
      </c>
      <c r="U44">
        <f t="shared" si="7"/>
        <v>3.0092592592592593E-3</v>
      </c>
      <c r="V44">
        <f t="shared" si="8"/>
        <v>1.8538461538461539</v>
      </c>
      <c r="Y44">
        <f t="shared" si="12"/>
        <v>35</v>
      </c>
      <c r="Z44">
        <v>149.87205805057474</v>
      </c>
      <c r="AQ44">
        <v>70.364704029124525</v>
      </c>
    </row>
    <row r="45" spans="3:43" x14ac:dyDescent="0.35">
      <c r="C45">
        <v>27</v>
      </c>
      <c r="D45">
        <f t="shared" si="1"/>
        <v>768.32653061224471</v>
      </c>
      <c r="E45" cm="1">
        <f t="array" ref="E45">[1]!crv_interpolation($D$11:$D$13,$E$11:$E$13,D45)</f>
        <v>706.93877551020398</v>
      </c>
      <c r="F45">
        <f t="shared" si="2"/>
        <v>61.387755102040728</v>
      </c>
      <c r="G45">
        <f t="shared" si="9"/>
        <v>55.814698778310628</v>
      </c>
      <c r="H45">
        <f t="shared" si="3"/>
        <v>102.97263281922692</v>
      </c>
      <c r="J45">
        <f t="shared" si="10"/>
        <v>0.4885114714608943</v>
      </c>
      <c r="K45">
        <f t="shared" si="11"/>
        <v>1093.5998553420238</v>
      </c>
      <c r="L45">
        <f t="shared" si="13"/>
        <v>169160.60838726131</v>
      </c>
      <c r="M45">
        <f t="shared" si="4"/>
        <v>4.748598540649844E-3</v>
      </c>
      <c r="N45">
        <f t="shared" si="5"/>
        <v>0.80387349071028402</v>
      </c>
      <c r="O45">
        <f t="shared" si="6"/>
        <v>17.850133311838707</v>
      </c>
      <c r="P45">
        <f t="shared" si="14"/>
        <v>102.18516620129735</v>
      </c>
      <c r="R45">
        <v>270</v>
      </c>
      <c r="S45">
        <v>150.59460751758829</v>
      </c>
      <c r="T45">
        <f t="shared" si="0"/>
        <v>5.5787037037037038E-3</v>
      </c>
      <c r="U45">
        <f t="shared" si="7"/>
        <v>3.1250000000000002E-3</v>
      </c>
      <c r="V45">
        <f t="shared" si="8"/>
        <v>1.7851851851851852</v>
      </c>
      <c r="Y45">
        <f t="shared" si="12"/>
        <v>36</v>
      </c>
      <c r="Z45">
        <v>149.81015172353605</v>
      </c>
      <c r="AQ45">
        <v>71.220586690937111</v>
      </c>
    </row>
    <row r="46" spans="3:43" x14ac:dyDescent="0.35">
      <c r="C46">
        <v>28</v>
      </c>
      <c r="D46">
        <f t="shared" si="1"/>
        <v>797.87755102040796</v>
      </c>
      <c r="E46" cm="1">
        <f t="array" ref="E46">[1]!crv_interpolation($D$11:$D$13,$E$11:$E$13,D46)</f>
        <v>726.89795918367338</v>
      </c>
      <c r="F46">
        <f t="shared" si="2"/>
        <v>70.979591836734585</v>
      </c>
      <c r="G46">
        <f t="shared" si="9"/>
        <v>56.670581440123215</v>
      </c>
      <c r="H46">
        <f t="shared" si="3"/>
        <v>105.11758763727553</v>
      </c>
      <c r="J46">
        <f t="shared" si="10"/>
        <v>0.48287863224679239</v>
      </c>
      <c r="K46">
        <f t="shared" si="11"/>
        <v>1093.1448856510426</v>
      </c>
      <c r="L46">
        <f t="shared" si="13"/>
        <v>171062.69116364716</v>
      </c>
      <c r="M46">
        <f t="shared" si="4"/>
        <v>4.7441990192440978E-3</v>
      </c>
      <c r="N46">
        <f t="shared" si="5"/>
        <v>0.80387349071028402</v>
      </c>
      <c r="O46">
        <f t="shared" si="6"/>
        <v>17.826176070635608</v>
      </c>
      <c r="P46">
        <f t="shared" si="14"/>
        <v>104.29278400751494</v>
      </c>
      <c r="R46">
        <v>280</v>
      </c>
      <c r="S46">
        <v>150.58853635634475</v>
      </c>
      <c r="T46">
        <f t="shared" si="0"/>
        <v>5.5787037037037038E-3</v>
      </c>
      <c r="U46">
        <f t="shared" si="7"/>
        <v>3.2407407407407406E-3</v>
      </c>
      <c r="V46">
        <f t="shared" si="8"/>
        <v>1.7214285714285715</v>
      </c>
      <c r="Y46">
        <f t="shared" si="12"/>
        <v>37</v>
      </c>
      <c r="Z46">
        <v>149.74753005733496</v>
      </c>
      <c r="AQ46">
        <v>72.076469352749697</v>
      </c>
    </row>
    <row r="47" spans="3:43" x14ac:dyDescent="0.35">
      <c r="C47">
        <v>29</v>
      </c>
      <c r="D47">
        <f t="shared" si="1"/>
        <v>827.42857142857122</v>
      </c>
      <c r="E47" cm="1">
        <f t="array" ref="E47">[1]!crv_interpolation($D$11:$D$13,$E$11:$E$13,D47)</f>
        <v>746.85714285714266</v>
      </c>
      <c r="F47">
        <f t="shared" si="2"/>
        <v>80.571428571428555</v>
      </c>
      <c r="G47">
        <f t="shared" si="9"/>
        <v>57.526464101935787</v>
      </c>
      <c r="H47">
        <f t="shared" si="3"/>
        <v>107.26254245532414</v>
      </c>
      <c r="J47">
        <f t="shared" si="10"/>
        <v>0.47738356008047916</v>
      </c>
      <c r="K47">
        <f t="shared" si="11"/>
        <v>1092.6851896284434</v>
      </c>
      <c r="L47">
        <f t="shared" si="13"/>
        <v>172958.99717133256</v>
      </c>
      <c r="M47">
        <f t="shared" si="4"/>
        <v>4.7398960227403187E-3</v>
      </c>
      <c r="N47">
        <f t="shared" si="5"/>
        <v>0.80387349071028402</v>
      </c>
      <c r="O47">
        <f t="shared" si="6"/>
        <v>17.802518124733044</v>
      </c>
      <c r="P47">
        <f t="shared" si="14"/>
        <v>106.39952505453419</v>
      </c>
      <c r="R47">
        <v>290</v>
      </c>
      <c r="S47">
        <v>150.58226384670272</v>
      </c>
      <c r="T47">
        <f t="shared" si="0"/>
        <v>5.5787037037037038E-3</v>
      </c>
      <c r="U47">
        <f t="shared" si="7"/>
        <v>3.3564814814814816E-3</v>
      </c>
      <c r="V47">
        <f t="shared" si="8"/>
        <v>1.6620689655172414</v>
      </c>
      <c r="Y47">
        <f t="shared" si="12"/>
        <v>38</v>
      </c>
      <c r="Z47">
        <v>149.68420051862131</v>
      </c>
      <c r="AQ47">
        <v>72.932352014562284</v>
      </c>
    </row>
    <row r="48" spans="3:43" x14ac:dyDescent="0.35">
      <c r="C48">
        <v>30</v>
      </c>
      <c r="D48">
        <f t="shared" si="1"/>
        <v>856.97959183673447</v>
      </c>
      <c r="E48" cm="1">
        <f t="array" ref="E48">[1]!crv_interpolation($D$11:$D$13,$E$11:$E$13,D48)</f>
        <v>766.81632653061206</v>
      </c>
      <c r="F48">
        <f t="shared" si="2"/>
        <v>90.163265306122412</v>
      </c>
      <c r="G48">
        <f t="shared" si="9"/>
        <v>58.382346763748373</v>
      </c>
      <c r="H48">
        <f t="shared" si="3"/>
        <v>109.40749727337275</v>
      </c>
      <c r="J48">
        <f t="shared" si="10"/>
        <v>0.47202140339479487</v>
      </c>
      <c r="K48">
        <f t="shared" si="11"/>
        <v>1092.2208073530921</v>
      </c>
      <c r="L48">
        <f t="shared" si="13"/>
        <v>174849.46782403384</v>
      </c>
      <c r="M48">
        <f t="shared" si="4"/>
        <v>4.7356865267958945E-3</v>
      </c>
      <c r="N48">
        <f t="shared" si="5"/>
        <v>0.80387349071028402</v>
      </c>
      <c r="O48">
        <f t="shared" si="6"/>
        <v>17.779148524426347</v>
      </c>
      <c r="P48">
        <f t="shared" si="14"/>
        <v>108.50538016066682</v>
      </c>
      <c r="R48">
        <v>300</v>
      </c>
      <c r="S48">
        <v>150.57579016532816</v>
      </c>
      <c r="T48">
        <f t="shared" si="0"/>
        <v>5.5787037037037038E-3</v>
      </c>
      <c r="U48">
        <f t="shared" si="7"/>
        <v>3.472222222222222E-3</v>
      </c>
      <c r="V48">
        <f t="shared" si="8"/>
        <v>1.6066666666666667</v>
      </c>
      <c r="Y48">
        <f t="shared" si="12"/>
        <v>39</v>
      </c>
      <c r="Z48">
        <v>149.62017043766994</v>
      </c>
      <c r="AQ48">
        <v>73.78823467637487</v>
      </c>
    </row>
    <row r="49" spans="3:43" x14ac:dyDescent="0.35">
      <c r="C49">
        <v>31</v>
      </c>
      <c r="D49">
        <f t="shared" si="1"/>
        <v>886.53061224489772</v>
      </c>
      <c r="E49" cm="1">
        <f t="array" ref="E49">[1]!crv_interpolation($D$11:$D$13,$E$11:$E$13,D49)</f>
        <v>786.77551020408146</v>
      </c>
      <c r="F49">
        <f t="shared" si="2"/>
        <v>99.755102040816269</v>
      </c>
      <c r="G49">
        <f t="shared" si="9"/>
        <v>59.238229425560952</v>
      </c>
      <c r="H49">
        <f t="shared" si="3"/>
        <v>111.55245209142137</v>
      </c>
      <c r="J49">
        <f t="shared" si="10"/>
        <v>0.46678753346483226</v>
      </c>
      <c r="K49">
        <f t="shared" si="11"/>
        <v>1091.7517783645972</v>
      </c>
      <c r="L49">
        <f t="shared" si="13"/>
        <v>176734.04603498819</v>
      </c>
      <c r="M49">
        <f t="shared" si="4"/>
        <v>4.7315676327186031E-3</v>
      </c>
      <c r="N49">
        <f t="shared" si="5"/>
        <v>0.80387349071028402</v>
      </c>
      <c r="O49">
        <f t="shared" si="6"/>
        <v>17.756056790595839</v>
      </c>
      <c r="P49">
        <f t="shared" si="14"/>
        <v>110.61034022434494</v>
      </c>
      <c r="R49">
        <v>310</v>
      </c>
      <c r="S49">
        <v>150.56911547612387</v>
      </c>
      <c r="T49">
        <f t="shared" si="0"/>
        <v>5.5787037037037038E-3</v>
      </c>
      <c r="U49">
        <f t="shared" si="7"/>
        <v>3.5879629629629629E-3</v>
      </c>
      <c r="V49">
        <f t="shared" si="8"/>
        <v>1.5548387096774194</v>
      </c>
      <c r="Y49">
        <f t="shared" si="12"/>
        <v>40</v>
      </c>
      <c r="Z49">
        <v>149.55544701481173</v>
      </c>
      <c r="AQ49">
        <v>74.644117338187442</v>
      </c>
    </row>
    <row r="50" spans="3:43" x14ac:dyDescent="0.35">
      <c r="C50">
        <v>32</v>
      </c>
      <c r="D50">
        <f t="shared" si="1"/>
        <v>916.08163265306098</v>
      </c>
      <c r="E50" cm="1">
        <f t="array" ref="E50">[1]!crv_interpolation($D$11:$D$13,$E$11:$E$13,D50)</f>
        <v>806.73469387755085</v>
      </c>
      <c r="F50">
        <f t="shared" si="2"/>
        <v>109.34693877551013</v>
      </c>
      <c r="G50">
        <f t="shared" si="9"/>
        <v>60.094112087373531</v>
      </c>
      <c r="H50">
        <f t="shared" si="3"/>
        <v>113.69740690946999</v>
      </c>
      <c r="J50">
        <f t="shared" si="10"/>
        <v>0.46167753186149713</v>
      </c>
      <c r="K50">
        <f t="shared" si="11"/>
        <v>1091.2781416816777</v>
      </c>
      <c r="L50">
        <f t="shared" si="13"/>
        <v>178612.67617231523</v>
      </c>
      <c r="M50">
        <f t="shared" si="4"/>
        <v>4.7275365610015907E-3</v>
      </c>
      <c r="N50">
        <f t="shared" si="5"/>
        <v>0.80387349071028402</v>
      </c>
      <c r="O50">
        <f t="shared" si="6"/>
        <v>17.733232890381032</v>
      </c>
      <c r="P50">
        <f t="shared" si="14"/>
        <v>112.71439622295964</v>
      </c>
      <c r="R50">
        <v>320</v>
      </c>
      <c r="S50">
        <v>150.56223993149933</v>
      </c>
      <c r="T50">
        <f t="shared" si="0"/>
        <v>5.5787037037037038E-3</v>
      </c>
      <c r="U50">
        <f t="shared" si="7"/>
        <v>3.7037037037037038E-3</v>
      </c>
      <c r="V50">
        <f t="shared" si="8"/>
        <v>1.5062499999999999</v>
      </c>
      <c r="Y50">
        <f t="shared" si="12"/>
        <v>41</v>
      </c>
      <c r="Z50">
        <v>149.49003732641486</v>
      </c>
      <c r="AQ50">
        <v>75.500000000000028</v>
      </c>
    </row>
    <row r="51" spans="3:43" x14ac:dyDescent="0.35">
      <c r="C51">
        <v>33</v>
      </c>
      <c r="D51">
        <f t="shared" si="1"/>
        <v>945.63265306122423</v>
      </c>
      <c r="E51" cm="1">
        <f t="array" ref="E51">[1]!crv_interpolation($D$11:$D$13,$E$11:$E$13,D51)</f>
        <v>826.69387755102025</v>
      </c>
      <c r="F51">
        <f t="shared" si="2"/>
        <v>118.93877551020398</v>
      </c>
      <c r="G51">
        <f t="shared" si="9"/>
        <v>60.949994749186118</v>
      </c>
      <c r="H51">
        <f t="shared" si="3"/>
        <v>115.84236172751861</v>
      </c>
      <c r="J51">
        <f t="shared" si="10"/>
        <v>0.45668717870567793</v>
      </c>
      <c r="K51">
        <f t="shared" ref="K51:K68" si="15">gamma_w*1000/(1+(G51/10000)*(0.269*G51^0.637-0.8))</f>
        <v>1090.7999358196109</v>
      </c>
      <c r="L51">
        <f t="shared" si="13"/>
        <v>180485.30402922491</v>
      </c>
      <c r="M51">
        <f t="shared" ref="M51:M68" si="16">1/((1.14-2*LN(eps/0.094+21.25/L51^0.9))^2)</f>
        <v>4.7235906452271961E-3</v>
      </c>
      <c r="N51">
        <f t="shared" ref="N51:N68" si="17">Qinj/Square</f>
        <v>0.80387349071028402</v>
      </c>
      <c r="O51">
        <f t="shared" si="6"/>
        <v>17.710667214244815</v>
      </c>
      <c r="P51">
        <f t="shared" si="14"/>
        <v>114.81753921174102</v>
      </c>
      <c r="R51">
        <v>330</v>
      </c>
      <c r="S51">
        <v>150.55516367348218</v>
      </c>
      <c r="T51">
        <f t="shared" si="0"/>
        <v>5.5787037037037038E-3</v>
      </c>
      <c r="U51">
        <f t="shared" si="7"/>
        <v>3.8194444444444443E-3</v>
      </c>
      <c r="V51">
        <f t="shared" si="8"/>
        <v>1.4606060606060607</v>
      </c>
      <c r="Y51">
        <f t="shared" si="12"/>
        <v>42</v>
      </c>
      <c r="Z51">
        <v>149.42394833045296</v>
      </c>
    </row>
    <row r="52" spans="3:43" x14ac:dyDescent="0.35">
      <c r="C52">
        <v>34</v>
      </c>
      <c r="D52">
        <f t="shared" ref="D52:D68" si="18">D51+(C52-C51)/(n-1)*h</f>
        <v>975.18367346938749</v>
      </c>
      <c r="E52" cm="1">
        <f t="array" ref="E52">[1]!crv_interpolation($D$11:$D$13,$E$11:$E$13,D52)</f>
        <v>846.65306122448965</v>
      </c>
      <c r="F52">
        <f t="shared" si="2"/>
        <v>128.53061224489784</v>
      </c>
      <c r="G52">
        <f t="shared" si="9"/>
        <v>61.805877410998697</v>
      </c>
      <c r="H52">
        <f t="shared" ref="H52:H68" si="19">H51+(gamma_w*1000*9.81*(E52-E51))/101325</f>
        <v>117.98731654556723</v>
      </c>
      <c r="J52">
        <f t="shared" si="10"/>
        <v>0.45181244169821055</v>
      </c>
      <c r="K52">
        <f t="shared" si="15"/>
        <v>1090.317198806815</v>
      </c>
      <c r="L52">
        <f t="shared" si="13"/>
        <v>182351.87679524644</v>
      </c>
      <c r="M52">
        <f t="shared" si="16"/>
        <v>4.7197273263430697E-3</v>
      </c>
      <c r="N52">
        <f t="shared" si="17"/>
        <v>0.80387349071028402</v>
      </c>
      <c r="O52">
        <f t="shared" si="6"/>
        <v>17.688350554440294</v>
      </c>
      <c r="P52">
        <f t="shared" si="14"/>
        <v>116.91976032267802</v>
      </c>
      <c r="R52">
        <v>340</v>
      </c>
      <c r="S52">
        <v>150.54788683469448</v>
      </c>
      <c r="T52">
        <f t="shared" si="0"/>
        <v>5.5787037037037038E-3</v>
      </c>
      <c r="U52">
        <f t="shared" si="7"/>
        <v>3.9351851851851848E-3</v>
      </c>
      <c r="V52">
        <f t="shared" si="8"/>
        <v>1.4176470588235295</v>
      </c>
      <c r="Y52">
        <f t="shared" si="12"/>
        <v>43</v>
      </c>
      <c r="Z52">
        <v>149.35718687169972</v>
      </c>
    </row>
    <row r="53" spans="3:43" x14ac:dyDescent="0.35">
      <c r="C53">
        <v>35</v>
      </c>
      <c r="D53">
        <f t="shared" si="18"/>
        <v>1004.7346938775507</v>
      </c>
      <c r="E53" cm="1">
        <f t="array" ref="E53">[1]!crv_interpolation($D$11:$D$13,$E$11:$E$13,D53)</f>
        <v>866.61224489795904</v>
      </c>
      <c r="F53">
        <f t="shared" si="2"/>
        <v>138.1224489795917</v>
      </c>
      <c r="G53">
        <f t="shared" si="9"/>
        <v>62.661760072811276</v>
      </c>
      <c r="H53">
        <f t="shared" si="19"/>
        <v>120.13227136361584</v>
      </c>
      <c r="J53">
        <f t="shared" si="10"/>
        <v>0.44704946586666144</v>
      </c>
      <c r="K53">
        <f t="shared" si="15"/>
        <v>1089.8299682006195</v>
      </c>
      <c r="L53">
        <f t="shared" si="13"/>
        <v>184212.34302842212</v>
      </c>
      <c r="M53">
        <f t="shared" si="16"/>
        <v>4.7159441472842097E-3</v>
      </c>
      <c r="N53">
        <f t="shared" si="17"/>
        <v>0.80387349071028402</v>
      </c>
      <c r="O53">
        <f t="shared" si="6"/>
        <v>17.666274084780746</v>
      </c>
      <c r="P53">
        <f t="shared" si="14"/>
        <v>119.02105076347559</v>
      </c>
      <c r="R53">
        <v>350</v>
      </c>
      <c r="S53">
        <v>150.54040953921384</v>
      </c>
      <c r="T53">
        <f t="shared" si="0"/>
        <v>5.5787037037037038E-3</v>
      </c>
      <c r="U53">
        <f t="shared" si="7"/>
        <v>4.0509259259259257E-3</v>
      </c>
      <c r="V53">
        <f t="shared" si="8"/>
        <v>1.3771428571428572</v>
      </c>
      <c r="Y53">
        <f t="shared" si="12"/>
        <v>44</v>
      </c>
      <c r="Z53">
        <v>149.28975968657917</v>
      </c>
    </row>
    <row r="54" spans="3:43" x14ac:dyDescent="0.35">
      <c r="C54">
        <v>36</v>
      </c>
      <c r="D54">
        <f t="shared" si="18"/>
        <v>1034.285714285714</v>
      </c>
      <c r="E54" cm="1">
        <f t="array" ref="E54">[1]!crv_interpolation($D$11:$D$13,$E$11:$E$13,D54)</f>
        <v>886.57142857142833</v>
      </c>
      <c r="F54">
        <f t="shared" si="2"/>
        <v>147.71428571428567</v>
      </c>
      <c r="G54">
        <f t="shared" si="9"/>
        <v>63.517642734623855</v>
      </c>
      <c r="H54">
        <f t="shared" si="19"/>
        <v>122.27722618166445</v>
      </c>
      <c r="J54">
        <f t="shared" si="10"/>
        <v>0.4423945639749966</v>
      </c>
      <c r="K54">
        <f t="shared" si="15"/>
        <v>1089.3382811022782</v>
      </c>
      <c r="L54">
        <f t="shared" si="13"/>
        <v>186066.65262842388</v>
      </c>
      <c r="M54">
        <f t="shared" si="16"/>
        <v>4.7122387479166293E-3</v>
      </c>
      <c r="N54">
        <f t="shared" si="17"/>
        <v>0.80387349071028402</v>
      </c>
      <c r="O54">
        <f t="shared" si="6"/>
        <v>17.644429341621329</v>
      </c>
      <c r="P54">
        <f t="shared" si="14"/>
        <v>121.1214018165476</v>
      </c>
      <c r="R54">
        <v>360</v>
      </c>
      <c r="S54">
        <v>150.53273190333525</v>
      </c>
      <c r="T54">
        <f t="shared" si="0"/>
        <v>5.5787037037037038E-3</v>
      </c>
      <c r="U54">
        <f t="shared" si="7"/>
        <v>4.1666666666666666E-3</v>
      </c>
      <c r="V54">
        <f t="shared" si="8"/>
        <v>1.338888888888889</v>
      </c>
      <c r="Y54">
        <f t="shared" si="12"/>
        <v>45</v>
      </c>
      <c r="Z54">
        <v>149.22167340770275</v>
      </c>
    </row>
    <row r="55" spans="3:43" x14ac:dyDescent="0.35">
      <c r="C55">
        <v>37</v>
      </c>
      <c r="D55">
        <f t="shared" si="18"/>
        <v>1063.8367346938774</v>
      </c>
      <c r="E55" cm="1">
        <f t="array" ref="E55">[1]!crv_interpolation($D$11:$D$13,$E$11:$E$13,D55)</f>
        <v>906.53061224489784</v>
      </c>
      <c r="F55">
        <f t="shared" si="2"/>
        <v>157.30612244897952</v>
      </c>
      <c r="G55">
        <f t="shared" si="9"/>
        <v>64.373525396436435</v>
      </c>
      <c r="H55">
        <f t="shared" si="19"/>
        <v>124.42218099971306</v>
      </c>
      <c r="J55">
        <f t="shared" si="10"/>
        <v>0.43784420754681425</v>
      </c>
      <c r="K55">
        <f t="shared" si="15"/>
        <v>1088.8421741712609</v>
      </c>
      <c r="L55">
        <f t="shared" si="13"/>
        <v>187914.75681053475</v>
      </c>
      <c r="M55">
        <f t="shared" si="16"/>
        <v>4.7086088602803734E-3</v>
      </c>
      <c r="N55">
        <f t="shared" si="17"/>
        <v>0.80387349071028402</v>
      </c>
      <c r="O55">
        <f t="shared" si="6"/>
        <v>17.622808205968301</v>
      </c>
      <c r="P55">
        <f t="shared" si="14"/>
        <v>123.22080483804372</v>
      </c>
      <c r="R55">
        <v>370</v>
      </c>
      <c r="S55">
        <v>150.52485403624775</v>
      </c>
      <c r="T55">
        <f t="shared" si="0"/>
        <v>5.5787037037037038E-3</v>
      </c>
      <c r="U55">
        <f t="shared" si="7"/>
        <v>4.2824074074074075E-3</v>
      </c>
      <c r="V55">
        <f t="shared" si="8"/>
        <v>1.3027027027027027</v>
      </c>
      <c r="Y55">
        <f t="shared" si="12"/>
        <v>46</v>
      </c>
      <c r="Z55">
        <v>149.15293456811636</v>
      </c>
    </row>
    <row r="56" spans="3:43" x14ac:dyDescent="0.35">
      <c r="C56">
        <v>38</v>
      </c>
      <c r="D56">
        <f t="shared" si="18"/>
        <v>1093.3877551020407</v>
      </c>
      <c r="E56" cm="1">
        <f t="array" ref="E56">[1]!crv_interpolation($D$11:$D$13,$E$11:$E$13,D56)</f>
        <v>926.48979591836735</v>
      </c>
      <c r="F56">
        <f t="shared" si="2"/>
        <v>166.89795918367338</v>
      </c>
      <c r="G56">
        <f t="shared" si="9"/>
        <v>65.229408058249021</v>
      </c>
      <c r="H56">
        <f t="shared" si="19"/>
        <v>126.56713581776168</v>
      </c>
      <c r="J56">
        <f t="shared" si="10"/>
        <v>0.4333950184569339</v>
      </c>
      <c r="K56">
        <f t="shared" si="15"/>
        <v>1088.3416836388762</v>
      </c>
      <c r="L56">
        <f t="shared" si="13"/>
        <v>189756.60808045822</v>
      </c>
      <c r="M56">
        <f t="shared" si="16"/>
        <v>4.7050523041112999E-3</v>
      </c>
      <c r="N56">
        <f t="shared" si="17"/>
        <v>0.80387349071028402</v>
      </c>
      <c r="O56">
        <f t="shared" si="6"/>
        <v>17.601402886638397</v>
      </c>
      <c r="P56">
        <f t="shared" si="14"/>
        <v>125.3192512569081</v>
      </c>
      <c r="R56">
        <v>380</v>
      </c>
      <c r="S56">
        <v>150.51677604063698</v>
      </c>
      <c r="T56">
        <f t="shared" si="0"/>
        <v>5.5787037037037038E-3</v>
      </c>
      <c r="U56">
        <f t="shared" si="7"/>
        <v>4.3981481481481484E-3</v>
      </c>
      <c r="V56">
        <f t="shared" si="8"/>
        <v>1.2684210526315789</v>
      </c>
      <c r="Y56">
        <f t="shared" si="12"/>
        <v>47</v>
      </c>
      <c r="Z56">
        <v>149.08354960528348</v>
      </c>
    </row>
    <row r="57" spans="3:43" x14ac:dyDescent="0.35">
      <c r="C57">
        <v>39</v>
      </c>
      <c r="D57">
        <f t="shared" si="18"/>
        <v>1122.9387755102041</v>
      </c>
      <c r="E57" cm="1">
        <f t="array" ref="E57">[1]!crv_interpolation($D$11:$D$13,$E$11:$E$13,D57)</f>
        <v>946.44897959183675</v>
      </c>
      <c r="F57">
        <f t="shared" si="2"/>
        <v>176.48979591836735</v>
      </c>
      <c r="G57">
        <f t="shared" si="9"/>
        <v>66.085290720061607</v>
      </c>
      <c r="H57">
        <f t="shared" si="19"/>
        <v>128.71209063581028</v>
      </c>
      <c r="J57">
        <f t="shared" si="10"/>
        <v>0.42904376104989755</v>
      </c>
      <c r="K57">
        <f t="shared" si="15"/>
        <v>1087.8368453212563</v>
      </c>
      <c r="L57">
        <f t="shared" si="13"/>
        <v>191592.16020991438</v>
      </c>
      <c r="M57">
        <f t="shared" si="16"/>
        <v>4.7015669826226498E-3</v>
      </c>
      <c r="N57">
        <f t="shared" si="17"/>
        <v>0.80387349071028402</v>
      </c>
      <c r="O57">
        <f t="shared" si="6"/>
        <v>17.580205904396607</v>
      </c>
      <c r="P57">
        <f t="shared" si="14"/>
        <v>127.4167325739692</v>
      </c>
      <c r="R57">
        <v>390</v>
      </c>
      <c r="S57">
        <v>150.50849801322326</v>
      </c>
      <c r="T57">
        <f t="shared" si="0"/>
        <v>5.5787037037037038E-3</v>
      </c>
      <c r="U57">
        <f t="shared" si="7"/>
        <v>4.5138888888888885E-3</v>
      </c>
      <c r="V57">
        <f t="shared" si="8"/>
        <v>1.2358974358974359</v>
      </c>
      <c r="Y57">
        <f t="shared" si="12"/>
        <v>48</v>
      </c>
      <c r="Z57">
        <v>149.0135248648225</v>
      </c>
    </row>
    <row r="58" spans="3:43" x14ac:dyDescent="0.35">
      <c r="C58">
        <v>40</v>
      </c>
      <c r="D58">
        <f t="shared" si="18"/>
        <v>1152.4897959183675</v>
      </c>
      <c r="E58" cm="1">
        <f t="array" ref="E58">[1]!crv_interpolation($D$11:$D$13,$E$11:$E$13,D58)</f>
        <v>966.40816326530626</v>
      </c>
      <c r="F58">
        <f t="shared" si="2"/>
        <v>186.08163265306121</v>
      </c>
      <c r="G58">
        <f t="shared" si="9"/>
        <v>66.941173381874194</v>
      </c>
      <c r="H58">
        <f t="shared" si="19"/>
        <v>130.85704545385892</v>
      </c>
      <c r="J58">
        <f t="shared" si="10"/>
        <v>0.42478733474737385</v>
      </c>
      <c r="K58">
        <f t="shared" si="15"/>
        <v>1087.3276946317458</v>
      </c>
      <c r="L58">
        <f t="shared" si="13"/>
        <v>193421.36821297769</v>
      </c>
      <c r="M58">
        <f t="shared" si="16"/>
        <v>4.6981508785289448E-3</v>
      </c>
      <c r="N58">
        <f t="shared" si="17"/>
        <v>0.80387349071028402</v>
      </c>
      <c r="O58">
        <f t="shared" si="6"/>
        <v>17.559210077006743</v>
      </c>
      <c r="P58">
        <f t="shared" si="14"/>
        <v>129.51324036105837</v>
      </c>
      <c r="R58">
        <v>400</v>
      </c>
      <c r="S58">
        <v>150.50002004524367</v>
      </c>
      <c r="T58">
        <f t="shared" si="0"/>
        <v>5.5787037037037038E-3</v>
      </c>
      <c r="U58">
        <f t="shared" si="7"/>
        <v>4.6296296296296294E-3</v>
      </c>
      <c r="V58">
        <f t="shared" si="8"/>
        <v>1.2050000000000001</v>
      </c>
      <c r="Y58">
        <f t="shared" si="12"/>
        <v>49</v>
      </c>
      <c r="Z58">
        <v>148.94286660402</v>
      </c>
    </row>
    <row r="59" spans="3:43" x14ac:dyDescent="0.35">
      <c r="C59">
        <v>41</v>
      </c>
      <c r="D59">
        <f t="shared" si="18"/>
        <v>1182.0408163265308</v>
      </c>
      <c r="E59" cm="1">
        <f t="array" ref="E59">[1]!crv_interpolation($D$11:$D$13,$E$11:$E$13,D59)</f>
        <v>986.36734693877565</v>
      </c>
      <c r="F59">
        <f t="shared" si="2"/>
        <v>195.67346938775518</v>
      </c>
      <c r="G59">
        <f t="shared" si="9"/>
        <v>67.79705604368678</v>
      </c>
      <c r="H59">
        <f t="shared" si="19"/>
        <v>133.00200027190752</v>
      </c>
      <c r="J59">
        <f t="shared" si="10"/>
        <v>0.42062276710951574</v>
      </c>
      <c r="K59">
        <f t="shared" si="15"/>
        <v>1086.8142665927257</v>
      </c>
      <c r="L59">
        <f t="shared" si="13"/>
        <v>195244.18832312775</v>
      </c>
      <c r="M59">
        <f t="shared" si="16"/>
        <v>4.694802050296037E-3</v>
      </c>
      <c r="N59">
        <f t="shared" si="17"/>
        <v>0.80387349071028402</v>
      </c>
      <c r="O59">
        <f t="shared" si="6"/>
        <v>17.538408505133635</v>
      </c>
      <c r="P59">
        <f t="shared" si="14"/>
        <v>131.6087662601563</v>
      </c>
      <c r="R59">
        <v>410</v>
      </c>
      <c r="S59">
        <v>150.49134222288512</v>
      </c>
      <c r="T59">
        <f t="shared" si="0"/>
        <v>5.5787037037037038E-3</v>
      </c>
      <c r="U59">
        <f t="shared" si="7"/>
        <v>4.7453703703703703E-3</v>
      </c>
      <c r="V59">
        <f t="shared" si="8"/>
        <v>1.1756097560975609</v>
      </c>
      <c r="Y59">
        <f t="shared" si="12"/>
        <v>50</v>
      </c>
      <c r="Z59">
        <v>148.87158099513442</v>
      </c>
    </row>
    <row r="60" spans="3:43" x14ac:dyDescent="0.35">
      <c r="C60">
        <v>42</v>
      </c>
      <c r="D60">
        <f t="shared" si="18"/>
        <v>1211.5918367346942</v>
      </c>
      <c r="E60" cm="1">
        <f t="array" ref="E60">[1]!crv_interpolation($D$11:$D$13,$E$11:$E$13,D60)</f>
        <v>1006.3265306122452</v>
      </c>
      <c r="F60">
        <f t="shared" si="2"/>
        <v>205.26530612244903</v>
      </c>
      <c r="G60">
        <f t="shared" si="9"/>
        <v>68.652938705499366</v>
      </c>
      <c r="H60">
        <f t="shared" si="19"/>
        <v>135.14695508995615</v>
      </c>
      <c r="J60">
        <f t="shared" si="10"/>
        <v>0.41654720731817796</v>
      </c>
      <c r="K60">
        <f t="shared" si="15"/>
        <v>1086.2965958469065</v>
      </c>
      <c r="L60">
        <f t="shared" si="13"/>
        <v>197060.57797097147</v>
      </c>
      <c r="M60">
        <f t="shared" si="16"/>
        <v>4.6915186286023928E-3</v>
      </c>
      <c r="N60">
        <f t="shared" si="17"/>
        <v>0.80387349071028402</v>
      </c>
      <c r="O60">
        <f t="shared" si="6"/>
        <v>17.517794559040887</v>
      </c>
      <c r="P60">
        <f t="shared" si="14"/>
        <v>133.70330198256602</v>
      </c>
      <c r="R60">
        <v>420</v>
      </c>
      <c r="S60">
        <v>150.48246462767443</v>
      </c>
      <c r="T60">
        <f t="shared" si="0"/>
        <v>5.5787037037037038E-3</v>
      </c>
      <c r="U60">
        <f t="shared" si="7"/>
        <v>4.8611111111111112E-3</v>
      </c>
      <c r="V60">
        <f t="shared" si="8"/>
        <v>1.1476190476190475</v>
      </c>
    </row>
    <row r="61" spans="3:43" x14ac:dyDescent="0.35">
      <c r="C61">
        <v>43</v>
      </c>
      <c r="D61">
        <f t="shared" si="18"/>
        <v>1241.1428571428576</v>
      </c>
      <c r="E61" cm="1">
        <f t="array" ref="E61">[1]!crv_interpolation($D$11:$D$13,$E$11:$E$13,D61)</f>
        <v>1026.2857142857147</v>
      </c>
      <c r="F61">
        <f t="shared" si="2"/>
        <v>214.85714285714289</v>
      </c>
      <c r="G61">
        <f t="shared" si="9"/>
        <v>69.508821367311953</v>
      </c>
      <c r="H61">
        <f t="shared" si="19"/>
        <v>137.29190990800478</v>
      </c>
      <c r="J61">
        <f t="shared" si="10"/>
        <v>0.41255792005243069</v>
      </c>
      <c r="K61">
        <f t="shared" si="15"/>
        <v>1085.7747166681163</v>
      </c>
      <c r="L61">
        <f t="shared" si="13"/>
        <v>198870.49576261223</v>
      </c>
      <c r="M61">
        <f t="shared" si="16"/>
        <v>4.6882988129977876E-3</v>
      </c>
      <c r="N61">
        <f t="shared" si="17"/>
        <v>0.80387349071028402</v>
      </c>
      <c r="O61">
        <f t="shared" si="6"/>
        <v>17.497361866031916</v>
      </c>
      <c r="P61">
        <f t="shared" si="14"/>
        <v>135.79683930811098</v>
      </c>
      <c r="R61">
        <v>430</v>
      </c>
      <c r="S61">
        <v>150.47338733682943</v>
      </c>
      <c r="T61">
        <f t="shared" si="0"/>
        <v>5.5787037037037038E-3</v>
      </c>
      <c r="U61">
        <f t="shared" si="7"/>
        <v>4.9768518518518521E-3</v>
      </c>
      <c r="V61">
        <f t="shared" si="8"/>
        <v>1.1209302325581394</v>
      </c>
    </row>
    <row r="62" spans="3:43" x14ac:dyDescent="0.35">
      <c r="C62">
        <v>44</v>
      </c>
      <c r="D62">
        <f t="shared" si="18"/>
        <v>1270.6938775510209</v>
      </c>
      <c r="E62" cm="1">
        <f t="array" ref="E62">[1]!crv_interpolation($D$11:$D$13,$E$11:$E$13,D62)</f>
        <v>1046.2448979591841</v>
      </c>
      <c r="F62">
        <f t="shared" si="2"/>
        <v>224.44897959183686</v>
      </c>
      <c r="G62">
        <f t="shared" si="9"/>
        <v>70.364704029124539</v>
      </c>
      <c r="H62">
        <f t="shared" si="19"/>
        <v>139.43686472605339</v>
      </c>
      <c r="J62">
        <f t="shared" si="10"/>
        <v>0.40865227972917756</v>
      </c>
      <c r="K62">
        <f t="shared" si="15"/>
        <v>1085.2486629716173</v>
      </c>
      <c r="L62">
        <f t="shared" si="13"/>
        <v>200673.90145862705</v>
      </c>
      <c r="M62">
        <f t="shared" si="16"/>
        <v>4.6851408687466336E-3</v>
      </c>
      <c r="N62">
        <f t="shared" si="17"/>
        <v>0.80387349071028402</v>
      </c>
      <c r="O62">
        <f t="shared" si="6"/>
        <v>17.47710429858633</v>
      </c>
      <c r="P62">
        <f t="shared" si="14"/>
        <v>137.88937008435713</v>
      </c>
      <c r="R62">
        <v>440</v>
      </c>
      <c r="S62">
        <v>150.46411042357812</v>
      </c>
      <c r="T62">
        <f t="shared" si="0"/>
        <v>5.5787037037037038E-3</v>
      </c>
      <c r="U62">
        <f t="shared" si="7"/>
        <v>5.092592592592593E-3</v>
      </c>
      <c r="V62">
        <f t="shared" si="8"/>
        <v>1.0954545454545455</v>
      </c>
    </row>
    <row r="63" spans="3:43" x14ac:dyDescent="0.35">
      <c r="C63">
        <v>45</v>
      </c>
      <c r="D63">
        <f t="shared" si="18"/>
        <v>1300.2448979591843</v>
      </c>
      <c r="E63" cm="1">
        <f t="array" ref="E63">[1]!crv_interpolation($D$11:$D$13,$E$11:$E$13,D63)</f>
        <v>1066.2040816326535</v>
      </c>
      <c r="F63">
        <f t="shared" si="2"/>
        <v>234.04081632653083</v>
      </c>
      <c r="G63">
        <f t="shared" si="9"/>
        <v>71.220586690937111</v>
      </c>
      <c r="H63">
        <f t="shared" si="19"/>
        <v>141.58181954410199</v>
      </c>
      <c r="J63">
        <f t="shared" si="10"/>
        <v>0.40482776508379037</v>
      </c>
      <c r="K63">
        <f t="shared" si="15"/>
        <v>1084.71846832397</v>
      </c>
      <c r="L63">
        <f t="shared" si="13"/>
        <v>202470.75595362918</v>
      </c>
      <c r="M63">
        <f t="shared" si="16"/>
        <v>4.682043123844102E-3</v>
      </c>
      <c r="N63">
        <f t="shared" si="17"/>
        <v>0.80387349071028402</v>
      </c>
      <c r="O63">
        <f t="shared" si="6"/>
        <v>17.457015963146819</v>
      </c>
      <c r="P63">
        <f t="shared" si="14"/>
        <v>139.98088622585826</v>
      </c>
      <c r="R63">
        <v>450</v>
      </c>
      <c r="S63">
        <v>150.45463395744699</v>
      </c>
      <c r="T63">
        <f t="shared" si="0"/>
        <v>5.5787037037037038E-3</v>
      </c>
      <c r="U63">
        <f t="shared" si="7"/>
        <v>5.208333333333333E-3</v>
      </c>
      <c r="V63">
        <f t="shared" si="8"/>
        <v>1.0711111111111111</v>
      </c>
    </row>
    <row r="64" spans="3:43" x14ac:dyDescent="0.35">
      <c r="C64">
        <v>46</v>
      </c>
      <c r="D64">
        <f t="shared" si="18"/>
        <v>1329.7959183673477</v>
      </c>
      <c r="E64" cm="1">
        <f t="array" ref="E64">[1]!crv_interpolation($D$11:$D$13,$E$11:$E$13,D64)</f>
        <v>1086.1632653061229</v>
      </c>
      <c r="F64">
        <f t="shared" si="2"/>
        <v>243.6326530612248</v>
      </c>
      <c r="G64">
        <f t="shared" si="9"/>
        <v>72.076469352749683</v>
      </c>
      <c r="H64">
        <f t="shared" si="19"/>
        <v>143.72677436215059</v>
      </c>
      <c r="J64">
        <f t="shared" si="10"/>
        <v>0.40108195406762881</v>
      </c>
      <c r="K64">
        <f t="shared" si="15"/>
        <v>1084.1841659524739</v>
      </c>
      <c r="L64">
        <f t="shared" si="13"/>
        <v>204261.02125638686</v>
      </c>
      <c r="M64">
        <f t="shared" si="16"/>
        <v>4.6790039661940615E-3</v>
      </c>
      <c r="N64">
        <f t="shared" si="17"/>
        <v>0.80387349071028402</v>
      </c>
      <c r="O64">
        <f t="shared" si="6"/>
        <v>17.437091189515286</v>
      </c>
      <c r="P64">
        <f t="shared" si="14"/>
        <v>142.07137971342283</v>
      </c>
      <c r="R64">
        <v>460</v>
      </c>
      <c r="S64">
        <v>150.44495800452293</v>
      </c>
      <c r="T64">
        <f t="shared" si="0"/>
        <v>5.5787037037037038E-3</v>
      </c>
      <c r="U64">
        <f t="shared" si="7"/>
        <v>5.324074074074074E-3</v>
      </c>
      <c r="V64">
        <f t="shared" si="8"/>
        <v>1.0478260869565217</v>
      </c>
    </row>
    <row r="65" spans="3:22" x14ac:dyDescent="0.35">
      <c r="C65">
        <v>47</v>
      </c>
      <c r="D65">
        <f t="shared" si="18"/>
        <v>1359.346938775511</v>
      </c>
      <c r="E65" cm="1">
        <f t="array" ref="E65">[1]!crv_interpolation($D$11:$D$13,$E$11:$E$13,D65)</f>
        <v>1106.1224489795925</v>
      </c>
      <c r="F65">
        <f t="shared" si="2"/>
        <v>253.22448979591854</v>
      </c>
      <c r="G65">
        <f t="shared" si="9"/>
        <v>72.932352014562284</v>
      </c>
      <c r="H65">
        <f t="shared" si="19"/>
        <v>145.87172918019922</v>
      </c>
      <c r="J65">
        <f t="shared" si="10"/>
        <v>0.39741251904109021</v>
      </c>
      <c r="K65">
        <f t="shared" si="15"/>
        <v>1083.645788754206</v>
      </c>
      <c r="L65">
        <f t="shared" si="13"/>
        <v>206044.66047047652</v>
      </c>
      <c r="M65">
        <f t="shared" si="16"/>
        <v>4.6760218409386267E-3</v>
      </c>
      <c r="N65">
        <f t="shared" si="17"/>
        <v>0.80387349071028402</v>
      </c>
      <c r="O65">
        <f t="shared" si="6"/>
        <v>17.417324520819786</v>
      </c>
      <c r="P65">
        <f t="shared" si="14"/>
        <v>144.16084259340221</v>
      </c>
      <c r="R65">
        <v>470</v>
      </c>
      <c r="S65">
        <v>150.43508262769245</v>
      </c>
      <c r="T65">
        <f t="shared" si="0"/>
        <v>5.5787037037037038E-3</v>
      </c>
      <c r="U65">
        <f t="shared" si="7"/>
        <v>5.4398148148148149E-3</v>
      </c>
      <c r="V65">
        <f t="shared" si="8"/>
        <v>1.0255319148936171</v>
      </c>
    </row>
    <row r="66" spans="3:22" x14ac:dyDescent="0.35">
      <c r="C66">
        <v>48</v>
      </c>
      <c r="D66">
        <f t="shared" si="18"/>
        <v>1388.8979591836744</v>
      </c>
      <c r="E66" cm="1">
        <f t="array" ref="E66">[1]!crv_interpolation($D$11:$D$13,$E$11:$E$13,D66)</f>
        <v>1126.0816326530619</v>
      </c>
      <c r="F66">
        <f t="shared" si="2"/>
        <v>262.81632653061251</v>
      </c>
      <c r="G66">
        <f t="shared" si="9"/>
        <v>73.788234676374856</v>
      </c>
      <c r="H66">
        <f t="shared" si="19"/>
        <v>148.01668399824783</v>
      </c>
      <c r="J66">
        <f t="shared" si="10"/>
        <v>0.39381722224247545</v>
      </c>
      <c r="K66">
        <f>gamma_w*1000/(1+(G66/10000)*(0.269*G66^0.637-0.8))</f>
        <v>1083.1033693046759</v>
      </c>
      <c r="L66">
        <f t="shared" si="13"/>
        <v>207821.63777543535</v>
      </c>
      <c r="M66">
        <f t="shared" si="16"/>
        <v>4.6730952479298914E-3</v>
      </c>
      <c r="N66">
        <f t="shared" si="17"/>
        <v>0.80387349071028402</v>
      </c>
      <c r="O66">
        <f t="shared" si="6"/>
        <v>17.397710704016617</v>
      </c>
      <c r="P66">
        <f t="shared" si="14"/>
        <v>146.24926697699843</v>
      </c>
      <c r="R66">
        <v>480</v>
      </c>
      <c r="S66">
        <v>150.42500788685911</v>
      </c>
      <c r="T66">
        <f t="shared" si="0"/>
        <v>5.5787037037037038E-3</v>
      </c>
      <c r="U66">
        <f t="shared" si="7"/>
        <v>5.5555555555555558E-3</v>
      </c>
      <c r="V66">
        <f t="shared" si="8"/>
        <v>1.0041666666666667</v>
      </c>
    </row>
    <row r="67" spans="3:22" x14ac:dyDescent="0.35">
      <c r="C67">
        <v>49</v>
      </c>
      <c r="D67">
        <f t="shared" si="18"/>
        <v>1418.4489795918378</v>
      </c>
      <c r="E67" cm="1">
        <f t="array" ref="E67">[1]!crv_interpolation($D$11:$D$13,$E$11:$E$13,D67)</f>
        <v>1146.0408163265313</v>
      </c>
      <c r="F67">
        <f t="shared" si="2"/>
        <v>272.40816326530648</v>
      </c>
      <c r="G67">
        <f t="shared" si="9"/>
        <v>74.644117338187442</v>
      </c>
      <c r="H67">
        <f t="shared" si="19"/>
        <v>150.16163881629643</v>
      </c>
      <c r="J67">
        <f t="shared" si="10"/>
        <v>0.39029391151440174</v>
      </c>
      <c r="K67">
        <f t="shared" si="15"/>
        <v>1082.556939866121</v>
      </c>
      <c r="L67">
        <f t="shared" si="13"/>
        <v>209591.91840840885</v>
      </c>
      <c r="M67">
        <f t="shared" si="16"/>
        <v>4.6702227393350306E-3</v>
      </c>
      <c r="N67">
        <f t="shared" si="17"/>
        <v>0.80387349071028402</v>
      </c>
      <c r="O67">
        <f t="shared" si="6"/>
        <v>17.378244680894511</v>
      </c>
      <c r="P67">
        <f t="shared" si="14"/>
        <v>148.33664503959164</v>
      </c>
      <c r="R67">
        <v>490</v>
      </c>
      <c r="S67">
        <v>150.41473383914254</v>
      </c>
      <c r="T67">
        <f t="shared" si="0"/>
        <v>5.5787037037037038E-3</v>
      </c>
      <c r="U67">
        <f t="shared" si="7"/>
        <v>5.6712962962962967E-3</v>
      </c>
      <c r="V67">
        <f t="shared" si="8"/>
        <v>0.98367346938775502</v>
      </c>
    </row>
    <row r="68" spans="3:22" x14ac:dyDescent="0.35">
      <c r="C68">
        <v>50</v>
      </c>
      <c r="D68">
        <f t="shared" si="18"/>
        <v>1448.0000000000011</v>
      </c>
      <c r="E68" cm="1">
        <f t="array" ref="E68">[1]!crv_interpolation($D$11:$D$13,$E$11:$E$13,D68)</f>
        <v>1166.0000000000007</v>
      </c>
      <c r="F68">
        <f t="shared" si="2"/>
        <v>282.00000000000045</v>
      </c>
      <c r="G68">
        <f t="shared" si="9"/>
        <v>75.500000000000028</v>
      </c>
      <c r="H68">
        <f t="shared" si="19"/>
        <v>152.30659363434503</v>
      </c>
      <c r="J68">
        <f t="shared" si="10"/>
        <v>0.38684051627091959</v>
      </c>
      <c r="K68">
        <f t="shared" si="15"/>
        <v>1082.0065323954586</v>
      </c>
      <c r="L68">
        <f t="shared" si="13"/>
        <v>211355.46864625212</v>
      </c>
      <c r="M68">
        <f t="shared" si="16"/>
        <v>4.6674029173666204E-3</v>
      </c>
      <c r="N68">
        <f t="shared" si="17"/>
        <v>0.80387349071028402</v>
      </c>
      <c r="O68">
        <f t="shared" si="6"/>
        <v>17.358921579550092</v>
      </c>
      <c r="P68">
        <f t="shared" si="14"/>
        <v>150.42296902008547</v>
      </c>
      <c r="R68">
        <v>500</v>
      </c>
      <c r="S68">
        <v>150.40426053906069</v>
      </c>
      <c r="T68">
        <f t="shared" si="0"/>
        <v>5.5787037037037038E-3</v>
      </c>
      <c r="U68">
        <f t="shared" si="7"/>
        <v>5.7870370370370367E-3</v>
      </c>
      <c r="V68">
        <f t="shared" si="8"/>
        <v>0.96400000000000008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12</vt:i4>
      </vt:variant>
    </vt:vector>
  </HeadingPairs>
  <TitlesOfParts>
    <vt:vector size="13" baseType="lpstr">
      <vt:lpstr>Лист1</vt:lpstr>
      <vt:lpstr>d_in</vt:lpstr>
      <vt:lpstr>eps</vt:lpstr>
      <vt:lpstr>gamma_w</vt:lpstr>
      <vt:lpstr>h</vt:lpstr>
      <vt:lpstr>MD</vt:lpstr>
      <vt:lpstr>n</vt:lpstr>
      <vt:lpstr>p_wh</vt:lpstr>
      <vt:lpstr>q_liq</vt:lpstr>
      <vt:lpstr>Qinj</vt:lpstr>
      <vt:lpstr>Square</vt:lpstr>
      <vt:lpstr>T0</vt:lpstr>
      <vt:lpstr>TVD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BudoM</dc:creator>
  <cp:lastModifiedBy>BudoM</cp:lastModifiedBy>
  <dcterms:created xsi:type="dcterms:W3CDTF">2015-06-05T18:19:34Z</dcterms:created>
  <dcterms:modified xsi:type="dcterms:W3CDTF">2021-02-13T17:22:11Z</dcterms:modified>
</cp:coreProperties>
</file>