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По инженерке\Задание 2 Будо М.А\"/>
    </mc:Choice>
  </mc:AlternateContent>
  <xr:revisionPtr revIDLastSave="0" documentId="13_ncr:1_{8E73767A-9E88-4980-91DD-A96CBF08C3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D13" i="2"/>
  <c r="H14" i="2"/>
  <c r="P10" i="2"/>
  <c r="K3" i="2"/>
  <c r="K2" i="2"/>
  <c r="P12" i="2"/>
  <c r="P8" i="2"/>
  <c r="E14" i="2"/>
  <c r="E13" i="2"/>
  <c r="F13" i="2" s="1"/>
  <c r="E12" i="2"/>
  <c r="D14" i="2"/>
  <c r="H13" i="2"/>
  <c r="H12" i="2"/>
  <c r="D12" i="2"/>
  <c r="B12" i="1"/>
  <c r="B11" i="1"/>
  <c r="B10" i="1"/>
  <c r="J6" i="1"/>
  <c r="G106" i="1" a="1"/>
  <c r="A113" i="1" a="1"/>
  <c r="A81" i="2" a="1"/>
  <c r="D27" i="2"/>
  <c r="J27" i="2" a="1"/>
  <c r="C27" i="2"/>
  <c r="D28" i="2"/>
  <c r="D36" i="2"/>
  <c r="D44" i="2"/>
  <c r="D52" i="2"/>
  <c r="D60" i="2"/>
  <c r="D68" i="2"/>
  <c r="D76" i="2"/>
  <c r="D58" i="2"/>
  <c r="D67" i="2"/>
  <c r="D29" i="2"/>
  <c r="D37" i="2"/>
  <c r="D45" i="2"/>
  <c r="D53" i="2"/>
  <c r="D61" i="2"/>
  <c r="D69" i="2"/>
  <c r="D77" i="2"/>
  <c r="D43" i="2"/>
  <c r="D30" i="2"/>
  <c r="D38" i="2"/>
  <c r="D46" i="2"/>
  <c r="D54" i="2"/>
  <c r="D62" i="2"/>
  <c r="D70" i="2"/>
  <c r="D75" i="2"/>
  <c r="D31" i="2"/>
  <c r="D39" i="2"/>
  <c r="D47" i="2"/>
  <c r="D55" i="2"/>
  <c r="D63" i="2"/>
  <c r="D71" i="2"/>
  <c r="D41" i="2"/>
  <c r="D42" i="2"/>
  <c r="D35" i="2"/>
  <c r="D32" i="2"/>
  <c r="D40" i="2"/>
  <c r="D48" i="2"/>
  <c r="D56" i="2"/>
  <c r="D64" i="2"/>
  <c r="D72" i="2"/>
  <c r="D49" i="2"/>
  <c r="D74" i="2"/>
  <c r="D33" i="2"/>
  <c r="D57" i="2"/>
  <c r="D65" i="2"/>
  <c r="D73" i="2"/>
  <c r="D34" i="2"/>
  <c r="D51" i="2"/>
  <c r="D50" i="2"/>
  <c r="D66" i="2"/>
  <c r="D59" i="2"/>
  <c r="C28" i="2"/>
  <c r="C36" i="2"/>
  <c r="C44" i="2"/>
  <c r="C52" i="2"/>
  <c r="C60" i="2"/>
  <c r="C68" i="2"/>
  <c r="C76" i="2"/>
  <c r="C29" i="2"/>
  <c r="C37" i="2"/>
  <c r="C45" i="2"/>
  <c r="C53" i="2"/>
  <c r="C61" i="2"/>
  <c r="C69" i="2"/>
  <c r="C77" i="2"/>
  <c r="C30" i="2"/>
  <c r="C38" i="2"/>
  <c r="C46" i="2"/>
  <c r="C54" i="2"/>
  <c r="C62" i="2"/>
  <c r="C70" i="2"/>
  <c r="C67" i="2"/>
  <c r="C31" i="2"/>
  <c r="C39" i="2"/>
  <c r="C47" i="2"/>
  <c r="C55" i="2"/>
  <c r="C63" i="2"/>
  <c r="C71" i="2"/>
  <c r="C59" i="2"/>
  <c r="C32" i="2"/>
  <c r="C40" i="2"/>
  <c r="C48" i="2"/>
  <c r="C56" i="2"/>
  <c r="C64" i="2"/>
  <c r="C72" i="2"/>
  <c r="C51" i="2"/>
  <c r="C75" i="2"/>
  <c r="C33" i="2"/>
  <c r="C41" i="2"/>
  <c r="C49" i="2"/>
  <c r="C57" i="2"/>
  <c r="C65" i="2"/>
  <c r="C73" i="2"/>
  <c r="C43" i="2"/>
  <c r="C34" i="2"/>
  <c r="C42" i="2"/>
  <c r="C50" i="2"/>
  <c r="C58" i="2"/>
  <c r="C66" i="2"/>
  <c r="C74" i="2"/>
  <c r="C35" i="2"/>
  <c r="B27" i="2" a="1"/>
  <c r="B28" i="2" a="1"/>
  <c r="B32" i="2" a="1"/>
  <c r="B36" i="2" a="1"/>
  <c r="B40" i="2" a="1"/>
  <c r="B44" i="2" a="1"/>
  <c r="B48" i="2" a="1"/>
  <c r="B52" i="2" a="1"/>
  <c r="B56" i="2" a="1"/>
  <c r="B60" i="2" a="1"/>
  <c r="B64" i="2" a="1"/>
  <c r="B68" i="2" a="1"/>
  <c r="B72" i="2" a="1"/>
  <c r="B76" i="2" a="1"/>
  <c r="B46" i="2" a="1"/>
  <c r="B38" i="2" a="1"/>
  <c r="B29" i="2" a="1"/>
  <c r="B33" i="2" a="1"/>
  <c r="B37" i="2" a="1"/>
  <c r="B41" i="2" a="1"/>
  <c r="B45" i="2" a="1"/>
  <c r="B49" i="2" a="1"/>
  <c r="B53" i="2" a="1"/>
  <c r="B57" i="2" a="1"/>
  <c r="B61" i="2" a="1"/>
  <c r="B65" i="2" a="1"/>
  <c r="B69" i="2" a="1"/>
  <c r="B73" i="2" a="1"/>
  <c r="B77" i="2" a="1"/>
  <c r="B34" i="2" a="1"/>
  <c r="B74" i="2" a="1"/>
  <c r="B30" i="2" a="1"/>
  <c r="B50" i="2" a="1"/>
  <c r="B54" i="2" a="1"/>
  <c r="B58" i="2" a="1"/>
  <c r="B62" i="2" a="1"/>
  <c r="B66" i="2" a="1"/>
  <c r="B70" i="2" a="1"/>
  <c r="B31" i="2" a="1"/>
  <c r="B35" i="2" a="1"/>
  <c r="B39" i="2" a="1"/>
  <c r="B43" i="2" a="1"/>
  <c r="B47" i="2" a="1"/>
  <c r="B51" i="2" a="1"/>
  <c r="B55" i="2" a="1"/>
  <c r="B59" i="2" a="1"/>
  <c r="B63" i="2" a="1"/>
  <c r="B67" i="2" a="1"/>
  <c r="B71" i="2" a="1"/>
  <c r="B75" i="2" a="1"/>
  <c r="B42" i="2" a="1"/>
  <c r="S3" i="2" a="1"/>
  <c r="S2" i="2" a="1"/>
  <c r="R3" i="2" a="1"/>
  <c r="R2" i="2" a="1"/>
  <c r="Q3" i="2" a="1"/>
  <c r="Q2" i="2" a="1"/>
  <c r="P3" i="2" a="1"/>
  <c r="P2" i="2" a="1"/>
  <c r="M2" i="2" a="1"/>
  <c r="O3" i="2" a="1"/>
  <c r="B23" i="2" a="1"/>
  <c r="B22" i="2" a="1"/>
  <c r="N3" i="2" a="1"/>
  <c r="N2" i="2" a="1"/>
  <c r="M3" i="2" a="1"/>
  <c r="L3" i="2" a="1"/>
  <c r="L2" i="2" a="1"/>
  <c r="J3" i="2" a="1"/>
  <c r="J2" i="2" a="1"/>
  <c r="G106" i="1" l="1"/>
  <c r="A113" i="1"/>
  <c r="A81" i="2"/>
  <c r="J27" i="2"/>
  <c r="B27" i="2"/>
  <c r="B42" i="2"/>
  <c r="B75" i="2"/>
  <c r="B71" i="2"/>
  <c r="B67" i="2"/>
  <c r="B63" i="2"/>
  <c r="B59" i="2"/>
  <c r="B55" i="2"/>
  <c r="B51" i="2"/>
  <c r="B47" i="2"/>
  <c r="B43" i="2"/>
  <c r="B39" i="2"/>
  <c r="B35" i="2"/>
  <c r="B31" i="2"/>
  <c r="B70" i="2"/>
  <c r="B66" i="2"/>
  <c r="B62" i="2"/>
  <c r="B58" i="2"/>
  <c r="B54" i="2"/>
  <c r="B50" i="2"/>
  <c r="B30" i="2"/>
  <c r="B74" i="2"/>
  <c r="B34" i="2"/>
  <c r="B77" i="2"/>
  <c r="B73" i="2"/>
  <c r="B69" i="2"/>
  <c r="B65" i="2"/>
  <c r="B61" i="2"/>
  <c r="B57" i="2"/>
  <c r="B53" i="2"/>
  <c r="B49" i="2"/>
  <c r="B45" i="2"/>
  <c r="B41" i="2"/>
  <c r="B37" i="2"/>
  <c r="B33" i="2"/>
  <c r="B29" i="2"/>
  <c r="B38" i="2"/>
  <c r="B46" i="2"/>
  <c r="B76" i="2"/>
  <c r="B72" i="2"/>
  <c r="B68" i="2"/>
  <c r="B64" i="2"/>
  <c r="B60" i="2"/>
  <c r="B56" i="2"/>
  <c r="B52" i="2"/>
  <c r="B48" i="2"/>
  <c r="B44" i="2"/>
  <c r="B40" i="2"/>
  <c r="B36" i="2"/>
  <c r="B32" i="2"/>
  <c r="B28" i="2"/>
  <c r="S3" i="2"/>
  <c r="S2" i="2"/>
  <c r="R3" i="2"/>
  <c r="R2" i="2"/>
  <c r="Q3" i="2"/>
  <c r="Q2" i="2"/>
  <c r="P3" i="2"/>
  <c r="P2" i="2"/>
  <c r="M2" i="2"/>
  <c r="O3" i="2"/>
  <c r="B23" i="2"/>
  <c r="B22" i="2"/>
  <c r="N3" i="2"/>
  <c r="N2" i="2"/>
  <c r="M3" i="2"/>
  <c r="L3" i="2"/>
  <c r="L2" i="2"/>
  <c r="J3" i="2"/>
  <c r="J2" i="2"/>
  <c r="P9" i="2"/>
  <c r="F14" i="2"/>
  <c r="D16" i="2"/>
  <c r="F12" i="2"/>
  <c r="O2" i="2" a="1"/>
  <c r="O2" i="2" l="1"/>
  <c r="F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<sst xmlns="http://schemas.openxmlformats.org/spreadsheetml/2006/main" count="631" uniqueCount="257">
  <si>
    <t>Политех</t>
  </si>
  <si>
    <t>Политеховское</t>
  </si>
  <si>
    <t>ГОР</t>
  </si>
  <si>
    <t>XX</t>
  </si>
  <si>
    <t>ФОН</t>
  </si>
  <si>
    <t>фонтанный лифт</t>
  </si>
  <si>
    <t>В работе</t>
  </si>
  <si>
    <t>ЦДНГ-12</t>
  </si>
  <si>
    <t>Нет</t>
  </si>
  <si>
    <t>Нефтяные</t>
  </si>
  <si>
    <t>Действующий</t>
  </si>
  <si>
    <t>Хвостовик</t>
  </si>
  <si>
    <t>Массомер (нефть)</t>
  </si>
  <si>
    <t>ДНС-1</t>
  </si>
  <si>
    <t>ПДФ</t>
  </si>
  <si>
    <t>77</t>
  </si>
  <si>
    <t>НГДУ</t>
  </si>
  <si>
    <t>Месторождение</t>
  </si>
  <si>
    <t>№
скв</t>
  </si>
  <si>
    <t>Тип
скважины</t>
  </si>
  <si>
    <t>Куст</t>
  </si>
  <si>
    <t>Пласт</t>
  </si>
  <si>
    <t>№ ячейки</t>
  </si>
  <si>
    <t>D э/к</t>
  </si>
  <si>
    <t>D нкт</t>
  </si>
  <si>
    <t>D шт</t>
  </si>
  <si>
    <t>Н вдп</t>
  </si>
  <si>
    <t>Удл</t>
  </si>
  <si>
    <t>СЭ</t>
  </si>
  <si>
    <t>Тип насоса</t>
  </si>
  <si>
    <t>Номинальная
производительность</t>
  </si>
  <si>
    <t>Номинальный напор</t>
  </si>
  <si>
    <t>F</t>
  </si>
  <si>
    <t>Коэф-т
сепарации</t>
  </si>
  <si>
    <t>Н сп</t>
  </si>
  <si>
    <t>Р буф</t>
  </si>
  <si>
    <t>Р лин</t>
  </si>
  <si>
    <t>Р пл</t>
  </si>
  <si>
    <t>Р пл на ВДП</t>
  </si>
  <si>
    <t>Н д</t>
  </si>
  <si>
    <t>P затр</t>
  </si>
  <si>
    <t>Р на
приёме</t>
  </si>
  <si>
    <t>Фактический режим</t>
  </si>
  <si>
    <t>Состояние на
конец месяца</t>
  </si>
  <si>
    <t>Р нас</t>
  </si>
  <si>
    <t>ГФ</t>
  </si>
  <si>
    <t>T пл</t>
  </si>
  <si>
    <t>ГРП</t>
  </si>
  <si>
    <t xml:space="preserve">В-сть нефти
в пл.
условиях </t>
  </si>
  <si>
    <t xml:space="preserve">В-сть воды
в пл.
условиях </t>
  </si>
  <si>
    <t>В-ть
жидкости</t>
  </si>
  <si>
    <t>Об. к-т</t>
  </si>
  <si>
    <t>Плот-ть
нефти</t>
  </si>
  <si>
    <t>Плот-ть
воды</t>
  </si>
  <si>
    <t>Н перф</t>
  </si>
  <si>
    <t>k</t>
  </si>
  <si>
    <t>КН</t>
  </si>
  <si>
    <t>К пр</t>
  </si>
  <si>
    <t>Расчёт потенциала (Мин. Тех., Нсп(макс) , не ниже ВДП, Рзаб (утв),  огр Рзаб по скв)</t>
  </si>
  <si>
    <t>Расчёт потенциала (Мин. Тех., без огр, не ниже ВДП)</t>
  </si>
  <si>
    <t>Расчёт потенциала (2. Мин. Тех., Нсп(макс) , не ниже ВДП)</t>
  </si>
  <si>
    <t>Расчёт потенциала (3. Мин. Тех., Нсп(макс) , не ниже ВДП, Рзаб (утв))</t>
  </si>
  <si>
    <t>Нсп мах</t>
  </si>
  <si>
    <t>Содер-жание мех-примесей (КВЧ)</t>
  </si>
  <si>
    <t>Время до
псевдоустановившегося
режима</t>
  </si>
  <si>
    <t>Причина простоя</t>
  </si>
  <si>
    <t>Примечание</t>
  </si>
  <si>
    <t>Дата запуска
после КРС</t>
  </si>
  <si>
    <t>Проверки</t>
  </si>
  <si>
    <t>Дата запуска</t>
  </si>
  <si>
    <t>Дата остановки</t>
  </si>
  <si>
    <t>МРП</t>
  </si>
  <si>
    <t>Радиус
контура
питания</t>
  </si>
  <si>
    <t>Мероприятия</t>
  </si>
  <si>
    <t>№ бригады</t>
  </si>
  <si>
    <t>Цех</t>
  </si>
  <si>
    <t>Код пласта</t>
  </si>
  <si>
    <t>Фонтан
через
насос</t>
  </si>
  <si>
    <t>Нерентабельная</t>
  </si>
  <si>
    <t>Неустановившийся
режим</t>
  </si>
  <si>
    <t>Дата ввода в эксплу-атацию</t>
  </si>
  <si>
    <t>Назначение по проекту</t>
  </si>
  <si>
    <t>Р заб
замерное</t>
  </si>
  <si>
    <t>Группа фонда</t>
  </si>
  <si>
    <t>Нефтенасыщенная
толщина</t>
  </si>
  <si>
    <t>Плот-ть
раствора
глушения</t>
  </si>
  <si>
    <t>Глубина текущего забоя</t>
  </si>
  <si>
    <t>Дополнительное оборудование</t>
  </si>
  <si>
    <t>Тип газосепаратора</t>
  </si>
  <si>
    <t>ПЭД</t>
  </si>
  <si>
    <t>Параметры работы ШГН</t>
  </si>
  <si>
    <t xml:space="preserve">Qтеор </t>
  </si>
  <si>
    <t>Кподачи
насоса</t>
  </si>
  <si>
    <t>ГЗУ</t>
  </si>
  <si>
    <t>Тип ГЗУ</t>
  </si>
  <si>
    <t>ДНС</t>
  </si>
  <si>
    <t>КНС</t>
  </si>
  <si>
    <t>КН закрепленный</t>
  </si>
  <si>
    <t>Рпл начальное</t>
  </si>
  <si>
    <t>Qr характеристический дебит жидкости</t>
  </si>
  <si>
    <t>АПВ</t>
  </si>
  <si>
    <t>Расчёт геологического потенциала</t>
  </si>
  <si>
    <t>Сравнение расчетов потенциала</t>
  </si>
  <si>
    <t>Удл (Нсп)</t>
  </si>
  <si>
    <t>Удл (Нд)</t>
  </si>
  <si>
    <t>Lхвост насоса</t>
  </si>
  <si>
    <t>Удл (Нсп max)</t>
  </si>
  <si>
    <t>К пад</t>
  </si>
  <si>
    <t>Рзаб (геол огр на пласт)</t>
  </si>
  <si>
    <t>Рзаб (геол огр индив)</t>
  </si>
  <si>
    <t>Планируемый режим</t>
  </si>
  <si>
    <t>Режим работы УЭЦН</t>
  </si>
  <si>
    <t>ГДИС</t>
  </si>
  <si>
    <t>Р заб</t>
  </si>
  <si>
    <t>Q нефти</t>
  </si>
  <si>
    <t>Q жид-
кости</t>
  </si>
  <si>
    <t>Обводненность</t>
  </si>
  <si>
    <t>Q пг</t>
  </si>
  <si>
    <t>ГФ пг</t>
  </si>
  <si>
    <t>ИДН</t>
  </si>
  <si>
    <t>JD опт.</t>
  </si>
  <si>
    <t>Skin</t>
  </si>
  <si>
    <t>К пр 
 от стимуляции</t>
  </si>
  <si>
    <t>Общий прирост Q н</t>
  </si>
  <si>
    <t>% прироста Q н</t>
  </si>
  <si>
    <t>Число
ошибок</t>
  </si>
  <si>
    <t>Число
предупреждений</t>
  </si>
  <si>
    <t>dQж при ИДН</t>
  </si>
  <si>
    <t>dQж при ИДН с корр</t>
  </si>
  <si>
    <t>dQн при ИДН</t>
  </si>
  <si>
    <t>dQж при ГРП</t>
  </si>
  <si>
    <t>dQж при ГРП с корр</t>
  </si>
  <si>
    <t>dQн при ГРП</t>
  </si>
  <si>
    <t>Режим</t>
  </si>
  <si>
    <t>Дата установки режима</t>
  </si>
  <si>
    <t>Комментарии</t>
  </si>
  <si>
    <t>Дата ГДИС</t>
  </si>
  <si>
    <t>Коэф. Гидропро- водности</t>
  </si>
  <si>
    <t>Коэф. продук- тивности</t>
  </si>
  <si>
    <t>Проницае- мость</t>
  </si>
  <si>
    <t>Название</t>
  </si>
  <si>
    <t>Код</t>
  </si>
  <si>
    <t>JD факт.</t>
  </si>
  <si>
    <t xml:space="preserve">Дата </t>
  </si>
  <si>
    <t>Фирма</t>
  </si>
  <si>
    <t>Q ж</t>
  </si>
  <si>
    <t>Q ж  с поправкой на
D э/к</t>
  </si>
  <si>
    <t xml:space="preserve">Q н </t>
  </si>
  <si>
    <t>Прирост Q н</t>
  </si>
  <si>
    <t xml:space="preserve">Q ж </t>
  </si>
  <si>
    <t xml:space="preserve">Прирост Q н </t>
  </si>
  <si>
    <t>№бригады</t>
  </si>
  <si>
    <t>Тип</t>
  </si>
  <si>
    <t>Диаметр</t>
  </si>
  <si>
    <t>Глубина спуска</t>
  </si>
  <si>
    <t>Марка</t>
  </si>
  <si>
    <t>Мощность</t>
  </si>
  <si>
    <t>I X\X</t>
  </si>
  <si>
    <t>I ном</t>
  </si>
  <si>
    <t>I раб</t>
  </si>
  <si>
    <t>Число качаний</t>
  </si>
  <si>
    <t>Длина хода плунжера</t>
  </si>
  <si>
    <t>Диаметр плунжера</t>
  </si>
  <si>
    <t>Станок-качалка</t>
  </si>
  <si>
    <t>Траб</t>
  </si>
  <si>
    <t>Тнак</t>
  </si>
  <si>
    <t>Описание</t>
  </si>
  <si>
    <t>мм</t>
  </si>
  <si>
    <t>м</t>
  </si>
  <si>
    <t>м3/сут</t>
  </si>
  <si>
    <t>Гц</t>
  </si>
  <si>
    <t>атм</t>
  </si>
  <si>
    <t>т/сут</t>
  </si>
  <si>
    <t>%</t>
  </si>
  <si>
    <t>м3/т</t>
  </si>
  <si>
    <t>ºC</t>
  </si>
  <si>
    <t>д/м/г</t>
  </si>
  <si>
    <t>сПз</t>
  </si>
  <si>
    <t>м3/м3</t>
  </si>
  <si>
    <t>г/см3</t>
  </si>
  <si>
    <t>мД</t>
  </si>
  <si>
    <t>мДм</t>
  </si>
  <si>
    <t>м3/сут/атм</t>
  </si>
  <si>
    <t>мг/л</t>
  </si>
  <si>
    <t>дней</t>
  </si>
  <si>
    <t>кВт</t>
  </si>
  <si>
    <t>А</t>
  </si>
  <si>
    <t>мин-1</t>
  </si>
  <si>
    <t>час</t>
  </si>
  <si>
    <t>Параметр</t>
  </si>
  <si>
    <t>Значение</t>
  </si>
  <si>
    <t>Единицы измерений</t>
  </si>
  <si>
    <t>Коэф-т сепарации</t>
  </si>
  <si>
    <t>Внутренний диаметр</t>
  </si>
  <si>
    <t>Диаметр штутцера</t>
  </si>
  <si>
    <t>Глубина спуска насоса</t>
  </si>
  <si>
    <t>Буферное давление</t>
  </si>
  <si>
    <t xml:space="preserve">Линейное давление </t>
  </si>
  <si>
    <t>Пластовое давление</t>
  </si>
  <si>
    <t>Давление насыщения</t>
  </si>
  <si>
    <t>Дебет жидкости</t>
  </si>
  <si>
    <t>Объёмная обводнённость</t>
  </si>
  <si>
    <t>Газовый фактор</t>
  </si>
  <si>
    <t>Обводнённость</t>
  </si>
  <si>
    <t>Вязкость нефти в пластовых условиях</t>
  </si>
  <si>
    <t>Вязкость воды в пластовых условиях</t>
  </si>
  <si>
    <t xml:space="preserve">Объёмный коэффициент </t>
  </si>
  <si>
    <t>Плотность нефти</t>
  </si>
  <si>
    <t>Плотность воды</t>
  </si>
  <si>
    <t>Пластовая темепература</t>
  </si>
  <si>
    <t>Доля газа</t>
  </si>
  <si>
    <t>Дебит смеси</t>
  </si>
  <si>
    <t>Вязкость газа</t>
  </si>
  <si>
    <t>Вязкость воды</t>
  </si>
  <si>
    <t>Вязкость нефти</t>
  </si>
  <si>
    <t>Вязкость смеси</t>
  </si>
  <si>
    <t>Плотность газа</t>
  </si>
  <si>
    <t>Плотность смеси</t>
  </si>
  <si>
    <t>Кодировка PVT Стендинг</t>
  </si>
  <si>
    <t>Кодировка PVT Маккейн</t>
  </si>
  <si>
    <t xml:space="preserve">Площадь </t>
  </si>
  <si>
    <t>Скорость газа</t>
  </si>
  <si>
    <t>Скорость жидкости</t>
  </si>
  <si>
    <t xml:space="preserve">Угол </t>
  </si>
  <si>
    <t>Шероховатость</t>
  </si>
  <si>
    <t>К.прод</t>
  </si>
  <si>
    <t>Дебит жидкости</t>
  </si>
  <si>
    <t>IPR</t>
  </si>
  <si>
    <t>VLP</t>
  </si>
  <si>
    <t>Давление на забое</t>
  </si>
  <si>
    <t>Давление буферное</t>
  </si>
  <si>
    <t>A26;$B$13;$B$4;$B$7;0;$B$3;20;;$B$21</t>
  </si>
  <si>
    <t>Режим!AZ$20;$B$8;A26;$B$13;$B$9)</t>
  </si>
  <si>
    <t>(C26;$M$4;$M$5;$L$5;$B$3;A26;$B$13;0;$B$21;10;1)</t>
  </si>
  <si>
    <t>режимы проверка, много и долго</t>
  </si>
  <si>
    <t>черновик</t>
  </si>
  <si>
    <t>Дебит скважины</t>
  </si>
  <si>
    <t>Qliq</t>
  </si>
  <si>
    <t>Pwf vlp</t>
  </si>
  <si>
    <t>p_result_atma</t>
  </si>
  <si>
    <t>t_result_C</t>
  </si>
  <si>
    <t>p_1, atma</t>
  </si>
  <si>
    <t>t_1, C</t>
  </si>
  <si>
    <t>p_2, atma</t>
  </si>
  <si>
    <t>t_2, C</t>
  </si>
  <si>
    <t>c_calibr_grav</t>
  </si>
  <si>
    <t>c_calibr_fric</t>
  </si>
  <si>
    <t>q_gas_sm3day</t>
  </si>
  <si>
    <t>num</t>
  </si>
  <si>
    <t>h,m</t>
  </si>
  <si>
    <t>hvert,m</t>
  </si>
  <si>
    <t>p,atma</t>
  </si>
  <si>
    <t>t,C</t>
  </si>
  <si>
    <t>Hl</t>
  </si>
  <si>
    <t>fpat</t>
  </si>
  <si>
    <t>t_amb, C</t>
  </si>
  <si>
    <t>diam,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</si>
</sst>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_-* #,##0.00_р_._-;\-* #,##0.00_р_._-;_-* &quot;-&quot;??_р_._-;_-@_-"/>
  </numFmts>
  <fonts count="23" x14ac:knownFonts="1">
    <font>
      <sz val="11"/>
      <color theme="1"/>
      <name val="Calibri"/>
      <family val="2"/>
      <scheme val="minor"/>
    </font>
    <font>
      <sz val="8"/>
      <name val="Tahoma"/>
      <family val="2"/>
      <charset val="204"/>
    </font>
    <font>
      <sz val="8"/>
      <name val="Tahoma"/>
      <family val="2"/>
    </font>
    <font>
      <sz val="10"/>
      <name val="Arial Cyr"/>
      <charset val="204"/>
    </font>
    <font>
      <sz val="8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"/>
      <family val="2"/>
      <charset val="204"/>
    </font>
    <font>
      <sz val="10"/>
      <name val="Tahom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medium">
        <color indexed="64"/>
      </right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3" fillId="0" borderId="0"/>
    <xf numFmtId="0" fontId="15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4" borderId="1" applyNumberFormat="0" applyAlignment="0" applyProtection="0"/>
    <xf numFmtId="0" fontId="7" fillId="11" borderId="2" applyNumberFormat="0" applyAlignment="0" applyProtection="0"/>
    <xf numFmtId="0" fontId="8" fillId="11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12" borderId="7" applyNumberFormat="0" applyAlignment="0" applyProtection="0"/>
    <xf numFmtId="0" fontId="14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18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3" fillId="14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0" fontId="22" fillId="3" borderId="0" applyNumberFormat="0" applyBorder="0" applyAlignment="0" applyProtection="0"/>
  </cellStyleXfs>
  <cellXfs count="226">
    <xf numFmtId="0" fontId="0" fillId="0" borderId="0" xfId="0"/>
    <xf numFmtId="2" fontId="2" fillId="15" borderId="11" xfId="1" applyNumberFormat="1" applyFont="1" applyFill="1" applyBorder="1" applyAlignment="1">
      <alignment horizontal="center" vertical="center" wrapText="1"/>
    </xf>
    <xf numFmtId="2" fontId="2" fillId="16" borderId="10" xfId="1" applyNumberFormat="1" applyFont="1" applyFill="1" applyBorder="1" applyAlignment="1">
      <alignment horizontal="center" vertical="center" wrapText="1"/>
    </xf>
    <xf numFmtId="2" fontId="2" fillId="16" borderId="12" xfId="1" applyNumberFormat="1" applyFont="1" applyFill="1" applyBorder="1" applyAlignment="1">
      <alignment horizontal="center" vertical="center" wrapText="1"/>
    </xf>
    <xf numFmtId="2" fontId="2" fillId="16" borderId="13" xfId="1" applyNumberFormat="1" applyFont="1" applyFill="1" applyBorder="1" applyAlignment="1">
      <alignment horizontal="center" vertical="center" wrapText="1"/>
    </xf>
    <xf numFmtId="2" fontId="2" fillId="15" borderId="13" xfId="1" applyNumberFormat="1" applyFont="1" applyFill="1" applyBorder="1" applyAlignment="1">
      <alignment horizontal="center" vertical="center" wrapText="1"/>
    </xf>
    <xf numFmtId="1" fontId="2" fillId="15" borderId="14" xfId="1" applyNumberFormat="1" applyFont="1" applyFill="1" applyBorder="1" applyAlignment="1">
      <alignment horizontal="center" vertical="center" wrapText="1"/>
    </xf>
    <xf numFmtId="1" fontId="2" fillId="15" borderId="15" xfId="1" applyNumberFormat="1" applyFont="1" applyFill="1" applyBorder="1" applyAlignment="1">
      <alignment horizontal="center" vertical="center" wrapText="1"/>
    </xf>
    <xf numFmtId="2" fontId="2" fillId="15" borderId="14" xfId="1" applyNumberFormat="1" applyFont="1" applyFill="1" applyBorder="1" applyAlignment="1">
      <alignment horizontal="center" vertical="center" wrapText="1"/>
    </xf>
    <xf numFmtId="2" fontId="2" fillId="15" borderId="15" xfId="1" applyNumberFormat="1" applyFont="1" applyFill="1" applyBorder="1" applyAlignment="1">
      <alignment horizontal="center" vertical="center" wrapText="1"/>
    </xf>
    <xf numFmtId="2" fontId="2" fillId="15" borderId="16" xfId="1" applyNumberFormat="1" applyFont="1" applyFill="1" applyBorder="1" applyAlignment="1">
      <alignment horizontal="center" vertical="center" wrapText="1"/>
    </xf>
    <xf numFmtId="2" fontId="2" fillId="15" borderId="17" xfId="1" applyNumberFormat="1" applyFont="1" applyFill="1" applyBorder="1" applyAlignment="1">
      <alignment horizontal="center" vertical="center" wrapText="1"/>
    </xf>
    <xf numFmtId="2" fontId="2" fillId="16" borderId="18" xfId="1" applyNumberFormat="1" applyFont="1" applyFill="1" applyBorder="1" applyAlignment="1">
      <alignment horizontal="center" vertical="center" wrapText="1"/>
    </xf>
    <xf numFmtId="2" fontId="2" fillId="16" borderId="19" xfId="1" applyNumberFormat="1" applyFont="1" applyFill="1" applyBorder="1" applyAlignment="1">
      <alignment horizontal="center" vertical="center" wrapText="1"/>
    </xf>
    <xf numFmtId="2" fontId="2" fillId="16" borderId="20" xfId="1" applyNumberFormat="1" applyFont="1" applyFill="1" applyBorder="1" applyAlignment="1">
      <alignment horizontal="center" vertical="center" wrapText="1"/>
    </xf>
    <xf numFmtId="2" fontId="2" fillId="16" borderId="21" xfId="1" applyNumberFormat="1" applyFont="1" applyFill="1" applyBorder="1" applyAlignment="1">
      <alignment horizontal="center" vertical="center" wrapText="1"/>
    </xf>
    <xf numFmtId="2" fontId="2" fillId="15" borderId="22" xfId="1" applyNumberFormat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/>
    </xf>
    <xf numFmtId="0" fontId="2" fillId="15" borderId="32" xfId="1" applyFont="1" applyFill="1" applyBorder="1" applyAlignment="1">
      <alignment horizontal="center"/>
    </xf>
    <xf numFmtId="0" fontId="2" fillId="15" borderId="33" xfId="1" applyFont="1" applyFill="1" applyBorder="1" applyAlignment="1">
      <alignment horizontal="center"/>
    </xf>
    <xf numFmtId="0" fontId="2" fillId="15" borderId="34" xfId="1" applyFont="1" applyFill="1" applyBorder="1" applyAlignment="1">
      <alignment horizontal="center"/>
    </xf>
    <xf numFmtId="0" fontId="2" fillId="15" borderId="35" xfId="1" applyFont="1" applyFill="1" applyBorder="1" applyAlignment="1">
      <alignment horizontal="center"/>
    </xf>
    <xf numFmtId="2" fontId="2" fillId="15" borderId="35" xfId="1" applyNumberFormat="1" applyFont="1" applyFill="1" applyBorder="1" applyAlignment="1">
      <alignment horizontal="center"/>
    </xf>
    <xf numFmtId="2" fontId="2" fillId="15" borderId="33" xfId="1" applyNumberFormat="1" applyFont="1" applyFill="1" applyBorder="1" applyAlignment="1">
      <alignment horizontal="center"/>
    </xf>
    <xf numFmtId="2" fontId="2" fillId="16" borderId="32" xfId="1" applyNumberFormat="1" applyFont="1" applyFill="1" applyBorder="1" applyAlignment="1">
      <alignment horizontal="center"/>
    </xf>
    <xf numFmtId="2" fontId="2" fillId="16" borderId="35" xfId="1" applyNumberFormat="1" applyFont="1" applyFill="1" applyBorder="1" applyAlignment="1">
      <alignment horizontal="center"/>
    </xf>
    <xf numFmtId="2" fontId="2" fillId="15" borderId="34" xfId="1" applyNumberFormat="1" applyFont="1" applyFill="1" applyBorder="1" applyAlignment="1">
      <alignment horizontal="center"/>
    </xf>
    <xf numFmtId="2" fontId="2" fillId="15" borderId="36" xfId="1" applyNumberFormat="1" applyFont="1" applyFill="1" applyBorder="1" applyAlignment="1">
      <alignment horizontal="center"/>
    </xf>
    <xf numFmtId="2" fontId="2" fillId="15" borderId="32" xfId="1" applyNumberFormat="1" applyFont="1" applyFill="1" applyBorder="1" applyAlignment="1">
      <alignment horizontal="center"/>
    </xf>
    <xf numFmtId="2" fontId="2" fillId="16" borderId="33" xfId="1" applyNumberFormat="1" applyFont="1" applyFill="1" applyBorder="1" applyAlignment="1">
      <alignment horizontal="center"/>
    </xf>
    <xf numFmtId="2" fontId="2" fillId="16" borderId="31" xfId="1" applyNumberFormat="1" applyFont="1" applyFill="1" applyBorder="1" applyAlignment="1">
      <alignment horizontal="center"/>
    </xf>
    <xf numFmtId="2" fontId="2" fillId="16" borderId="34" xfId="1" applyNumberFormat="1" applyFont="1" applyFill="1" applyBorder="1" applyAlignment="1">
      <alignment horizontal="center"/>
    </xf>
    <xf numFmtId="2" fontId="2" fillId="16" borderId="36" xfId="1" applyNumberFormat="1" applyFont="1" applyFill="1" applyBorder="1" applyAlignment="1">
      <alignment horizontal="center"/>
    </xf>
    <xf numFmtId="2" fontId="2" fillId="0" borderId="32" xfId="1" applyNumberFormat="1" applyFont="1" applyFill="1" applyBorder="1" applyAlignment="1">
      <alignment horizontal="center"/>
    </xf>
    <xf numFmtId="2" fontId="2" fillId="0" borderId="35" xfId="1" applyNumberFormat="1" applyFont="1" applyFill="1" applyBorder="1" applyAlignment="1">
      <alignment horizontal="center"/>
    </xf>
    <xf numFmtId="2" fontId="2" fillId="0" borderId="33" xfId="1" applyNumberFormat="1" applyFont="1" applyFill="1" applyBorder="1" applyAlignment="1">
      <alignment horizontal="center"/>
    </xf>
    <xf numFmtId="2" fontId="2" fillId="16" borderId="32" xfId="1" applyNumberFormat="1" applyFont="1" applyFill="1" applyBorder="1" applyAlignment="1">
      <alignment horizontal="center" vertical="center" wrapText="1"/>
    </xf>
    <xf numFmtId="2" fontId="2" fillId="17" borderId="35" xfId="1" applyNumberFormat="1" applyFont="1" applyFill="1" applyBorder="1" applyAlignment="1">
      <alignment horizontal="center"/>
    </xf>
    <xf numFmtId="2" fontId="2" fillId="15" borderId="40" xfId="1" applyNumberFormat="1" applyFont="1" applyFill="1" applyBorder="1" applyAlignment="1">
      <alignment horizontal="center"/>
    </xf>
    <xf numFmtId="2" fontId="2" fillId="16" borderId="41" xfId="1" applyNumberFormat="1" applyFont="1" applyFill="1" applyBorder="1" applyAlignment="1">
      <alignment horizontal="center" vertical="center" wrapText="1"/>
    </xf>
    <xf numFmtId="2" fontId="2" fillId="16" borderId="42" xfId="1" applyNumberFormat="1" applyFont="1" applyFill="1" applyBorder="1" applyAlignment="1">
      <alignment vertical="center" wrapText="1"/>
    </xf>
    <xf numFmtId="0" fontId="3" fillId="0" borderId="25" xfId="1" applyBorder="1" applyAlignment="1"/>
    <xf numFmtId="0" fontId="1" fillId="16" borderId="42" xfId="1" applyFont="1" applyFill="1" applyBorder="1" applyAlignment="1"/>
    <xf numFmtId="0" fontId="1" fillId="16" borderId="25" xfId="1" applyFont="1" applyFill="1" applyBorder="1" applyAlignment="1"/>
    <xf numFmtId="0" fontId="1" fillId="16" borderId="29" xfId="1" applyFont="1" applyFill="1" applyBorder="1" applyAlignment="1"/>
    <xf numFmtId="2" fontId="2" fillId="17" borderId="36" xfId="1" applyNumberFormat="1" applyFont="1" applyFill="1" applyBorder="1" applyAlignment="1">
      <alignment horizontal="center"/>
    </xf>
    <xf numFmtId="2" fontId="2" fillId="17" borderId="32" xfId="1" applyNumberFormat="1" applyFont="1" applyFill="1" applyBorder="1" applyAlignment="1">
      <alignment horizontal="center"/>
    </xf>
    <xf numFmtId="2" fontId="2" fillId="20" borderId="35" xfId="1" applyNumberFormat="1" applyFont="1" applyFill="1" applyBorder="1" applyAlignment="1">
      <alignment horizontal="center"/>
    </xf>
    <xf numFmtId="2" fontId="2" fillId="20" borderId="33" xfId="1" applyNumberFormat="1" applyFont="1" applyFill="1" applyBorder="1" applyAlignment="1">
      <alignment horizontal="center"/>
    </xf>
    <xf numFmtId="2" fontId="2" fillId="15" borderId="44" xfId="1" applyNumberFormat="1" applyFont="1" applyFill="1" applyBorder="1" applyAlignment="1">
      <alignment horizontal="center"/>
    </xf>
    <xf numFmtId="2" fontId="2" fillId="15" borderId="43" xfId="1" applyNumberFormat="1" applyFont="1" applyFill="1" applyBorder="1" applyAlignment="1">
      <alignment horizontal="center"/>
    </xf>
    <xf numFmtId="2" fontId="2" fillId="16" borderId="45" xfId="1" applyNumberFormat="1" applyFont="1" applyFill="1" applyBorder="1" applyAlignment="1">
      <alignment horizontal="center"/>
    </xf>
    <xf numFmtId="2" fontId="2" fillId="16" borderId="46" xfId="1" applyNumberFormat="1" applyFont="1" applyFill="1" applyBorder="1" applyAlignment="1">
      <alignment horizontal="center"/>
    </xf>
    <xf numFmtId="2" fontId="2" fillId="16" borderId="47" xfId="1" applyNumberFormat="1" applyFont="1" applyFill="1" applyBorder="1" applyAlignment="1">
      <alignment horizontal="center" vertical="center" wrapText="1"/>
    </xf>
    <xf numFmtId="2" fontId="2" fillId="16" borderId="48" xfId="1" applyNumberFormat="1" applyFont="1" applyFill="1" applyBorder="1" applyAlignment="1">
      <alignment horizontal="center" vertical="center" wrapText="1"/>
    </xf>
    <xf numFmtId="2" fontId="2" fillId="16" borderId="49" xfId="1" applyNumberFormat="1" applyFont="1" applyFill="1" applyBorder="1" applyAlignment="1">
      <alignment horizontal="center" vertical="center" wrapText="1"/>
    </xf>
    <xf numFmtId="2" fontId="2" fillId="20" borderId="36" xfId="1" applyNumberFormat="1" applyFont="1" applyFill="1" applyBorder="1" applyAlignment="1">
      <alignment horizontal="center"/>
    </xf>
    <xf numFmtId="2" fontId="2" fillId="20" borderId="17" xfId="1" applyNumberFormat="1" applyFont="1" applyFill="1" applyBorder="1" applyAlignment="1">
      <alignment vertical="center" wrapText="1"/>
    </xf>
    <xf numFmtId="2" fontId="2" fillId="20" borderId="36" xfId="1" applyNumberFormat="1" applyFont="1" applyFill="1" applyBorder="1" applyAlignment="1"/>
    <xf numFmtId="2" fontId="2" fillId="20" borderId="50" xfId="1" applyNumberFormat="1" applyFont="1" applyFill="1" applyBorder="1" applyAlignment="1">
      <alignment horizontal="center" vertical="center"/>
    </xf>
    <xf numFmtId="2" fontId="2" fillId="16" borderId="34" xfId="1" applyNumberFormat="1" applyFont="1" applyFill="1" applyBorder="1" applyAlignment="1">
      <alignment horizontal="center" vertical="center" wrapText="1"/>
    </xf>
    <xf numFmtId="0" fontId="1" fillId="0" borderId="23" xfId="2" applyFont="1" applyFill="1" applyBorder="1" applyAlignment="1">
      <alignment vertical="center"/>
    </xf>
    <xf numFmtId="0" fontId="1" fillId="0" borderId="23" xfId="2" applyFont="1" applyFill="1" applyBorder="1" applyAlignment="1">
      <alignment horizontal="right" vertical="center"/>
    </xf>
    <xf numFmtId="1" fontId="1" fillId="0" borderId="23" xfId="1" applyNumberFormat="1" applyFont="1" applyFill="1" applyBorder="1" applyAlignment="1">
      <alignment horizontal="center" vertical="center"/>
    </xf>
    <xf numFmtId="164" fontId="1" fillId="0" borderId="23" xfId="1" applyNumberFormat="1" applyFont="1" applyFill="1" applyBorder="1" applyAlignment="1">
      <alignment horizontal="center" vertical="center"/>
    </xf>
    <xf numFmtId="14" fontId="1" fillId="0" borderId="23" xfId="2" applyNumberFormat="1" applyFont="1" applyFill="1" applyBorder="1" applyAlignment="1">
      <alignment vertical="center"/>
    </xf>
    <xf numFmtId="2" fontId="1" fillId="0" borderId="23" xfId="1" applyNumberFormat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14" fontId="1" fillId="0" borderId="23" xfId="1" applyNumberFormat="1" applyFont="1" applyFill="1" applyBorder="1" applyAlignment="1">
      <alignment vertical="center"/>
    </xf>
    <xf numFmtId="0" fontId="1" fillId="0" borderId="23" xfId="1" applyFont="1" applyFill="1" applyBorder="1" applyAlignment="1">
      <alignment vertical="center"/>
    </xf>
    <xf numFmtId="49" fontId="1" fillId="0" borderId="23" xfId="2" applyNumberFormat="1" applyFont="1" applyFill="1" applyBorder="1" applyAlignment="1">
      <alignment vertical="center"/>
    </xf>
    <xf numFmtId="2" fontId="1" fillId="0" borderId="23" xfId="1" applyNumberFormat="1" applyFont="1" applyFill="1" applyBorder="1" applyAlignment="1">
      <alignment horizontal="left" vertical="center"/>
    </xf>
    <xf numFmtId="2" fontId="1" fillId="0" borderId="23" xfId="1" applyNumberFormat="1" applyFont="1" applyFill="1" applyBorder="1" applyAlignment="1">
      <alignment vertical="center"/>
    </xf>
    <xf numFmtId="1" fontId="1" fillId="0" borderId="23" xfId="2" applyNumberFormat="1" applyFont="1" applyFill="1" applyBorder="1" applyAlignment="1">
      <alignment horizontal="right" vertical="center"/>
    </xf>
    <xf numFmtId="1" fontId="1" fillId="0" borderId="23" xfId="2" applyNumberFormat="1" applyFont="1" applyFill="1" applyBorder="1" applyAlignment="1">
      <alignment vertical="center"/>
    </xf>
    <xf numFmtId="164" fontId="1" fillId="0" borderId="23" xfId="2" applyNumberFormat="1" applyFont="1" applyFill="1" applyBorder="1" applyAlignment="1">
      <alignment vertical="center"/>
    </xf>
    <xf numFmtId="2" fontId="1" fillId="0" borderId="23" xfId="2" applyNumberFormat="1" applyFont="1" applyFill="1" applyBorder="1" applyAlignment="1">
      <alignment horizontal="right" vertical="center"/>
    </xf>
    <xf numFmtId="165" fontId="1" fillId="0" borderId="23" xfId="2" applyNumberFormat="1" applyFont="1" applyFill="1" applyBorder="1" applyAlignment="1">
      <alignment horizontal="right" vertical="center"/>
    </xf>
    <xf numFmtId="0" fontId="1" fillId="0" borderId="30" xfId="2" applyFont="1" applyFill="1" applyBorder="1" applyAlignment="1">
      <alignment vertical="center"/>
    </xf>
    <xf numFmtId="1" fontId="2" fillId="0" borderId="37" xfId="2" applyNumberFormat="1" applyFont="1" applyFill="1" applyBorder="1" applyAlignment="1">
      <alignment horizontal="center" vertical="center"/>
    </xf>
    <xf numFmtId="1" fontId="2" fillId="0" borderId="38" xfId="2" applyNumberFormat="1" applyFont="1" applyFill="1" applyBorder="1" applyAlignment="1">
      <alignment horizontal="center" vertical="center"/>
    </xf>
    <xf numFmtId="1" fontId="2" fillId="0" borderId="39" xfId="2" applyNumberFormat="1" applyFont="1" applyFill="1" applyBorder="1" applyAlignment="1">
      <alignment horizontal="center" vertical="center"/>
    </xf>
    <xf numFmtId="0" fontId="1" fillId="0" borderId="23" xfId="1" applyNumberFormat="1" applyFont="1" applyFill="1" applyBorder="1" applyAlignment="1">
      <alignment vertical="center"/>
    </xf>
    <xf numFmtId="0" fontId="1" fillId="0" borderId="23" xfId="1" applyNumberFormat="1" applyFont="1" applyFill="1" applyBorder="1" applyAlignment="1">
      <alignment horizontal="center" vertical="center"/>
    </xf>
    <xf numFmtId="0" fontId="2" fillId="0" borderId="39" xfId="2" applyNumberFormat="1" applyFont="1" applyFill="1" applyBorder="1" applyAlignment="1">
      <alignment horizontal="center" vertical="center"/>
    </xf>
    <xf numFmtId="14" fontId="1" fillId="0" borderId="23" xfId="1" applyNumberFormat="1" applyFont="1" applyFill="1" applyBorder="1" applyAlignment="1">
      <alignment horizontal="center" vertical="center"/>
    </xf>
    <xf numFmtId="1" fontId="1" fillId="0" borderId="37" xfId="1" applyNumberFormat="1" applyFont="1" applyFill="1" applyBorder="1" applyAlignment="1">
      <alignment vertical="center"/>
    </xf>
    <xf numFmtId="2" fontId="2" fillId="16" borderId="13" xfId="1" applyNumberFormat="1" applyFont="1" applyFill="1" applyBorder="1" applyAlignment="1">
      <alignment horizontal="center" vertical="center" wrapText="1"/>
    </xf>
    <xf numFmtId="2" fontId="2" fillId="16" borderId="10" xfId="1" applyNumberFormat="1" applyFont="1" applyFill="1" applyBorder="1" applyAlignment="1">
      <alignment horizontal="center" vertical="center" wrapText="1"/>
    </xf>
    <xf numFmtId="2" fontId="2" fillId="16" borderId="66" xfId="1" applyNumberFormat="1" applyFont="1" applyFill="1" applyBorder="1" applyAlignment="1">
      <alignment horizontal="center" vertical="center" wrapText="1"/>
    </xf>
    <xf numFmtId="2" fontId="2" fillId="16" borderId="41" xfId="1" applyNumberFormat="1" applyFont="1" applyFill="1" applyBorder="1" applyAlignment="1">
      <alignment horizontal="center" vertical="center" wrapText="1"/>
    </xf>
    <xf numFmtId="0" fontId="1" fillId="16" borderId="42" xfId="1" applyFont="1" applyFill="1" applyBorder="1" applyAlignment="1">
      <alignment horizontal="center"/>
    </xf>
    <xf numFmtId="0" fontId="1" fillId="16" borderId="25" xfId="1" applyFont="1" applyFill="1" applyBorder="1" applyAlignment="1">
      <alignment horizontal="center"/>
    </xf>
    <xf numFmtId="0" fontId="1" fillId="16" borderId="29" xfId="1" applyFont="1" applyFill="1" applyBorder="1" applyAlignment="1">
      <alignment horizontal="center"/>
    </xf>
    <xf numFmtId="2" fontId="2" fillId="20" borderId="51" xfId="1" applyNumberFormat="1" applyFont="1" applyFill="1" applyBorder="1" applyAlignment="1">
      <alignment horizontal="center" vertical="center" wrapText="1"/>
    </xf>
    <xf numFmtId="2" fontId="2" fillId="20" borderId="11" xfId="1" applyNumberFormat="1" applyFont="1" applyFill="1" applyBorder="1" applyAlignment="1">
      <alignment horizontal="center" vertical="center" wrapText="1"/>
    </xf>
    <xf numFmtId="2" fontId="2" fillId="15" borderId="59" xfId="1" applyNumberFormat="1" applyFont="1" applyFill="1" applyBorder="1" applyAlignment="1">
      <alignment horizontal="center" vertical="center" wrapText="1"/>
    </xf>
    <xf numFmtId="2" fontId="2" fillId="15" borderId="60" xfId="1" applyNumberFormat="1" applyFont="1" applyFill="1" applyBorder="1" applyAlignment="1">
      <alignment horizontal="center" vertical="center" wrapText="1"/>
    </xf>
    <xf numFmtId="2" fontId="2" fillId="15" borderId="61" xfId="1" applyNumberFormat="1" applyFont="1" applyFill="1" applyBorder="1" applyAlignment="1">
      <alignment horizontal="center" vertical="center" wrapText="1"/>
    </xf>
    <xf numFmtId="2" fontId="2" fillId="15" borderId="54" xfId="1" applyNumberFormat="1" applyFont="1" applyFill="1" applyBorder="1" applyAlignment="1">
      <alignment horizontal="center" vertical="center" wrapText="1"/>
    </xf>
    <xf numFmtId="2" fontId="2" fillId="15" borderId="28" xfId="1" applyNumberFormat="1" applyFont="1" applyFill="1" applyBorder="1" applyAlignment="1">
      <alignment horizontal="center" vertical="center" wrapText="1"/>
    </xf>
    <xf numFmtId="2" fontId="2" fillId="15" borderId="56" xfId="1" applyNumberFormat="1" applyFont="1" applyFill="1" applyBorder="1" applyAlignment="1">
      <alignment horizontal="center" vertical="center" wrapText="1"/>
    </xf>
    <xf numFmtId="2" fontId="2" fillId="15" borderId="81" xfId="1" applyNumberFormat="1" applyFont="1" applyFill="1" applyBorder="1" applyAlignment="1">
      <alignment horizontal="center" vertical="center" wrapText="1"/>
    </xf>
    <xf numFmtId="2" fontId="1" fillId="16" borderId="51" xfId="1" applyNumberFormat="1" applyFont="1" applyFill="1" applyBorder="1" applyAlignment="1">
      <alignment horizontal="center" vertical="center" wrapText="1"/>
    </xf>
    <xf numFmtId="0" fontId="16" fillId="0" borderId="12" xfId="1" applyFont="1" applyBorder="1"/>
    <xf numFmtId="2" fontId="2" fillId="15" borderId="55" xfId="1" applyNumberFormat="1" applyFont="1" applyFill="1" applyBorder="1" applyAlignment="1">
      <alignment horizontal="center" vertical="center" wrapText="1"/>
    </xf>
    <xf numFmtId="2" fontId="2" fillId="15" borderId="57" xfId="1" applyNumberFormat="1" applyFont="1" applyFill="1" applyBorder="1" applyAlignment="1">
      <alignment horizontal="center" vertical="center" wrapText="1"/>
    </xf>
    <xf numFmtId="2" fontId="2" fillId="15" borderId="15" xfId="1" applyNumberFormat="1" applyFont="1" applyFill="1" applyBorder="1" applyAlignment="1">
      <alignment horizontal="center" vertical="center" wrapText="1"/>
    </xf>
    <xf numFmtId="2" fontId="2" fillId="15" borderId="18" xfId="1" applyNumberFormat="1" applyFont="1" applyFill="1" applyBorder="1" applyAlignment="1">
      <alignment horizontal="center" vertical="center" wrapText="1"/>
    </xf>
    <xf numFmtId="2" fontId="2" fillId="15" borderId="62" xfId="1" applyNumberFormat="1" applyFont="1" applyFill="1" applyBorder="1" applyAlignment="1">
      <alignment horizontal="center" vertical="center"/>
    </xf>
    <xf numFmtId="2" fontId="2" fillId="15" borderId="63" xfId="1" applyNumberFormat="1" applyFont="1" applyFill="1" applyBorder="1" applyAlignment="1">
      <alignment horizontal="center" vertical="center"/>
    </xf>
    <xf numFmtId="0" fontId="4" fillId="16" borderId="54" xfId="1" applyFont="1" applyFill="1" applyBorder="1" applyAlignment="1">
      <alignment horizontal="center"/>
    </xf>
    <xf numFmtId="0" fontId="4" fillId="16" borderId="24" xfId="1" applyFont="1" applyFill="1" applyBorder="1" applyAlignment="1">
      <alignment horizontal="center"/>
    </xf>
    <xf numFmtId="0" fontId="4" fillId="16" borderId="28" xfId="1" applyFont="1" applyFill="1" applyBorder="1" applyAlignment="1">
      <alignment horizontal="center"/>
    </xf>
    <xf numFmtId="2" fontId="2" fillId="20" borderId="12" xfId="1" applyNumberFormat="1" applyFont="1" applyFill="1" applyBorder="1" applyAlignment="1">
      <alignment horizontal="center" vertical="center" wrapText="1"/>
    </xf>
    <xf numFmtId="2" fontId="2" fillId="16" borderId="62" xfId="1" applyNumberFormat="1" applyFont="1" applyFill="1" applyBorder="1" applyAlignment="1">
      <alignment horizontal="center" vertical="center" wrapText="1"/>
    </xf>
    <xf numFmtId="2" fontId="2" fillId="16" borderId="63" xfId="1" applyNumberFormat="1" applyFont="1" applyFill="1" applyBorder="1" applyAlignment="1">
      <alignment horizontal="center" vertical="center" wrapText="1"/>
    </xf>
    <xf numFmtId="2" fontId="2" fillId="15" borderId="74" xfId="1" applyNumberFormat="1" applyFont="1" applyFill="1" applyBorder="1" applyAlignment="1">
      <alignment horizontal="center" vertical="center" wrapText="1"/>
    </xf>
    <xf numFmtId="2" fontId="2" fillId="20" borderId="20" xfId="1" applyNumberFormat="1" applyFont="1" applyFill="1" applyBorder="1" applyAlignment="1">
      <alignment horizontal="center" vertical="center" wrapText="1"/>
    </xf>
    <xf numFmtId="2" fontId="2" fillId="17" borderId="66" xfId="1" applyNumberFormat="1" applyFont="1" applyFill="1" applyBorder="1" applyAlignment="1">
      <alignment horizontal="center" vertical="center" wrapText="1"/>
    </xf>
    <xf numFmtId="2" fontId="2" fillId="17" borderId="41" xfId="1" applyNumberFormat="1" applyFont="1" applyFill="1" applyBorder="1" applyAlignment="1">
      <alignment horizontal="center" vertical="center" wrapText="1"/>
    </xf>
    <xf numFmtId="2" fontId="2" fillId="19" borderId="79" xfId="1" applyNumberFormat="1" applyFont="1" applyFill="1" applyBorder="1" applyAlignment="1">
      <alignment horizontal="center" vertical="center" wrapText="1"/>
    </xf>
    <xf numFmtId="2" fontId="2" fillId="19" borderId="80" xfId="1" applyNumberFormat="1" applyFont="1" applyFill="1" applyBorder="1" applyAlignment="1">
      <alignment horizontal="center" vertical="center" wrapText="1"/>
    </xf>
    <xf numFmtId="2" fontId="2" fillId="19" borderId="50" xfId="1" applyNumberFormat="1" applyFont="1" applyFill="1" applyBorder="1" applyAlignment="1">
      <alignment horizontal="center" vertical="center" wrapText="1"/>
    </xf>
    <xf numFmtId="2" fontId="2" fillId="19" borderId="81" xfId="1" applyNumberFormat="1" applyFont="1" applyFill="1" applyBorder="1" applyAlignment="1">
      <alignment horizontal="center" vertical="center" wrapText="1"/>
    </xf>
    <xf numFmtId="2" fontId="2" fillId="15" borderId="13" xfId="1" applyNumberFormat="1" applyFont="1" applyFill="1" applyBorder="1" applyAlignment="1">
      <alignment horizontal="center" vertical="center"/>
    </xf>
    <xf numFmtId="2" fontId="2" fillId="20" borderId="10" xfId="1" applyNumberFormat="1" applyFont="1" applyFill="1" applyBorder="1" applyAlignment="1">
      <alignment horizontal="center" vertical="center"/>
    </xf>
    <xf numFmtId="2" fontId="2" fillId="20" borderId="52" xfId="1" applyNumberFormat="1" applyFont="1" applyFill="1" applyBorder="1" applyAlignment="1">
      <alignment horizontal="center" vertical="center" wrapText="1"/>
    </xf>
    <xf numFmtId="2" fontId="2" fillId="15" borderId="22" xfId="1" applyNumberFormat="1" applyFont="1" applyFill="1" applyBorder="1" applyAlignment="1">
      <alignment horizontal="center" vertical="center"/>
    </xf>
    <xf numFmtId="2" fontId="2" fillId="15" borderId="20" xfId="1" applyNumberFormat="1" applyFont="1" applyFill="1" applyBorder="1" applyAlignment="1">
      <alignment horizontal="center" vertical="center"/>
    </xf>
    <xf numFmtId="2" fontId="2" fillId="16" borderId="67" xfId="1" applyNumberFormat="1" applyFont="1" applyFill="1" applyBorder="1" applyAlignment="1">
      <alignment horizontal="center" vertical="center" wrapText="1"/>
    </xf>
    <xf numFmtId="2" fontId="2" fillId="16" borderId="16" xfId="1" applyNumberFormat="1" applyFont="1" applyFill="1" applyBorder="1" applyAlignment="1">
      <alignment horizontal="center" vertical="center" wrapText="1"/>
    </xf>
    <xf numFmtId="2" fontId="2" fillId="16" borderId="19" xfId="1" applyNumberFormat="1" applyFont="1" applyFill="1" applyBorder="1" applyAlignment="1">
      <alignment horizontal="center" vertical="center" wrapText="1"/>
    </xf>
    <xf numFmtId="2" fontId="2" fillId="15" borderId="24" xfId="1" applyNumberFormat="1" applyFont="1" applyFill="1" applyBorder="1" applyAlignment="1">
      <alignment horizontal="center" vertical="center" wrapText="1"/>
    </xf>
    <xf numFmtId="2" fontId="2" fillId="15" borderId="43" xfId="1" applyNumberFormat="1" applyFont="1" applyFill="1" applyBorder="1" applyAlignment="1">
      <alignment horizontal="center" vertical="center" wrapText="1"/>
    </xf>
    <xf numFmtId="2" fontId="2" fillId="16" borderId="54" xfId="1" applyNumberFormat="1" applyFont="1" applyFill="1" applyBorder="1" applyAlignment="1">
      <alignment horizontal="center" vertical="center" wrapText="1"/>
    </xf>
    <xf numFmtId="0" fontId="3" fillId="0" borderId="24" xfId="1" applyBorder="1"/>
    <xf numFmtId="0" fontId="3" fillId="0" borderId="28" xfId="1" applyBorder="1"/>
    <xf numFmtId="2" fontId="2" fillId="16" borderId="64" xfId="1" applyNumberFormat="1" applyFont="1" applyFill="1" applyBorder="1" applyAlignment="1">
      <alignment horizontal="center" vertical="center" wrapText="1"/>
    </xf>
    <xf numFmtId="2" fontId="2" fillId="16" borderId="65" xfId="1" applyNumberFormat="1" applyFont="1" applyFill="1" applyBorder="1" applyAlignment="1">
      <alignment horizontal="center" vertical="center" wrapText="1"/>
    </xf>
    <xf numFmtId="2" fontId="2" fillId="17" borderId="12" xfId="1" applyNumberFormat="1" applyFont="1" applyFill="1" applyBorder="1" applyAlignment="1">
      <alignment horizontal="center" vertical="center" wrapText="1"/>
    </xf>
    <xf numFmtId="2" fontId="2" fillId="17" borderId="10" xfId="1" applyNumberFormat="1" applyFont="1" applyFill="1" applyBorder="1" applyAlignment="1">
      <alignment horizontal="center" vertical="center" wrapText="1"/>
    </xf>
    <xf numFmtId="0" fontId="4" fillId="17" borderId="26" xfId="1" applyFont="1" applyFill="1" applyBorder="1" applyAlignment="1">
      <alignment horizontal="center"/>
    </xf>
    <xf numFmtId="0" fontId="4" fillId="17" borderId="48" xfId="1" applyFont="1" applyFill="1" applyBorder="1" applyAlignment="1">
      <alignment horizontal="center"/>
    </xf>
    <xf numFmtId="0" fontId="4" fillId="17" borderId="77" xfId="1" applyFont="1" applyFill="1" applyBorder="1" applyAlignment="1">
      <alignment horizontal="center"/>
    </xf>
    <xf numFmtId="2" fontId="2" fillId="16" borderId="78" xfId="1" applyNumberFormat="1" applyFont="1" applyFill="1" applyBorder="1" applyAlignment="1">
      <alignment horizontal="center" vertical="center" wrapText="1"/>
    </xf>
    <xf numFmtId="2" fontId="2" fillId="16" borderId="17" xfId="1" applyNumberFormat="1" applyFont="1" applyFill="1" applyBorder="1" applyAlignment="1">
      <alignment horizontal="center" vertical="center" wrapText="1"/>
    </xf>
    <xf numFmtId="2" fontId="2" fillId="16" borderId="50" xfId="1" applyNumberFormat="1" applyFont="1" applyFill="1" applyBorder="1" applyAlignment="1">
      <alignment horizontal="center" vertical="center" wrapText="1"/>
    </xf>
    <xf numFmtId="2" fontId="2" fillId="17" borderId="62" xfId="1" applyNumberFormat="1" applyFont="1" applyFill="1" applyBorder="1" applyAlignment="1">
      <alignment horizontal="center" vertical="center" wrapText="1"/>
    </xf>
    <xf numFmtId="2" fontId="2" fillId="17" borderId="63" xfId="1" applyNumberFormat="1" applyFont="1" applyFill="1" applyBorder="1" applyAlignment="1">
      <alignment horizontal="center" vertical="center" wrapText="1"/>
    </xf>
    <xf numFmtId="2" fontId="2" fillId="17" borderId="51" xfId="1" applyNumberFormat="1" applyFont="1" applyFill="1" applyBorder="1" applyAlignment="1">
      <alignment horizontal="center" vertical="center" wrapText="1"/>
    </xf>
    <xf numFmtId="1" fontId="2" fillId="15" borderId="62" xfId="1" applyNumberFormat="1" applyFont="1" applyFill="1" applyBorder="1" applyAlignment="1">
      <alignment horizontal="center" vertical="center" wrapText="1"/>
    </xf>
    <xf numFmtId="0" fontId="2" fillId="15" borderId="63" xfId="1" applyFont="1" applyFill="1" applyBorder="1" applyAlignment="1">
      <alignment horizontal="center"/>
    </xf>
    <xf numFmtId="2" fontId="2" fillId="15" borderId="13" xfId="1" applyNumberFormat="1" applyFont="1" applyFill="1" applyBorder="1" applyAlignment="1">
      <alignment horizontal="center" vertical="center" wrapText="1"/>
    </xf>
    <xf numFmtId="2" fontId="2" fillId="15" borderId="10" xfId="1" applyNumberFormat="1" applyFont="1" applyFill="1" applyBorder="1" applyAlignment="1">
      <alignment horizontal="center" vertical="center" wrapText="1"/>
    </xf>
    <xf numFmtId="2" fontId="2" fillId="16" borderId="14" xfId="1" applyNumberFormat="1" applyFont="1" applyFill="1" applyBorder="1" applyAlignment="1">
      <alignment horizontal="center"/>
    </xf>
    <xf numFmtId="2" fontId="2" fillId="16" borderId="13" xfId="1" applyNumberFormat="1" applyFont="1" applyFill="1" applyBorder="1" applyAlignment="1">
      <alignment horizontal="center"/>
    </xf>
    <xf numFmtId="2" fontId="2" fillId="16" borderId="15" xfId="1" applyNumberFormat="1" applyFont="1" applyFill="1" applyBorder="1" applyAlignment="1">
      <alignment horizontal="center"/>
    </xf>
    <xf numFmtId="2" fontId="2" fillId="18" borderId="69" xfId="1" applyNumberFormat="1" applyFont="1" applyFill="1" applyBorder="1" applyAlignment="1">
      <alignment horizontal="center" vertical="center" wrapText="1"/>
    </xf>
    <xf numFmtId="2" fontId="2" fillId="18" borderId="70" xfId="1" applyNumberFormat="1" applyFont="1" applyFill="1" applyBorder="1" applyAlignment="1">
      <alignment horizontal="center" vertical="center" wrapText="1"/>
    </xf>
    <xf numFmtId="2" fontId="2" fillId="18" borderId="56" xfId="1" applyNumberFormat="1" applyFont="1" applyFill="1" applyBorder="1" applyAlignment="1">
      <alignment horizontal="center" vertical="center" wrapText="1"/>
    </xf>
    <xf numFmtId="2" fontId="2" fillId="18" borderId="71" xfId="1" applyNumberFormat="1" applyFont="1" applyFill="1" applyBorder="1" applyAlignment="1">
      <alignment horizontal="center" vertical="center" wrapText="1"/>
    </xf>
    <xf numFmtId="2" fontId="2" fillId="15" borderId="72" xfId="1" applyNumberFormat="1" applyFont="1" applyFill="1" applyBorder="1" applyAlignment="1">
      <alignment horizontal="center" vertical="center" wrapText="1"/>
    </xf>
    <xf numFmtId="2" fontId="2" fillId="15" borderId="73" xfId="1" applyNumberFormat="1" applyFont="1" applyFill="1" applyBorder="1" applyAlignment="1">
      <alignment horizontal="center" vertical="center" wrapText="1"/>
    </xf>
    <xf numFmtId="0" fontId="3" fillId="0" borderId="63" xfId="1" applyBorder="1" applyAlignment="1">
      <alignment horizontal="center" vertical="center" wrapText="1"/>
    </xf>
    <xf numFmtId="2" fontId="2" fillId="15" borderId="67" xfId="1" applyNumberFormat="1" applyFont="1" applyFill="1" applyBorder="1" applyAlignment="1">
      <alignment horizontal="center" vertical="center" wrapText="1"/>
    </xf>
    <xf numFmtId="2" fontId="2" fillId="15" borderId="16" xfId="1" applyNumberFormat="1" applyFont="1" applyFill="1" applyBorder="1" applyAlignment="1">
      <alignment horizontal="center" vertical="center" wrapText="1"/>
    </xf>
    <xf numFmtId="2" fontId="2" fillId="15" borderId="19" xfId="1" applyNumberFormat="1" applyFont="1" applyFill="1" applyBorder="1" applyAlignment="1">
      <alignment horizontal="center" vertical="center" wrapText="1"/>
    </xf>
    <xf numFmtId="0" fontId="3" fillId="15" borderId="24" xfId="1" applyFill="1" applyBorder="1" applyAlignment="1">
      <alignment horizontal="center" vertical="center" wrapText="1"/>
    </xf>
    <xf numFmtId="0" fontId="3" fillId="15" borderId="28" xfId="1" applyFill="1" applyBorder="1" applyAlignment="1">
      <alignment horizontal="center" vertical="center" wrapText="1"/>
    </xf>
    <xf numFmtId="0" fontId="3" fillId="15" borderId="55" xfId="1" applyFill="1" applyBorder="1" applyAlignment="1">
      <alignment horizontal="center" vertical="center" wrapText="1"/>
    </xf>
    <xf numFmtId="0" fontId="3" fillId="15" borderId="0" xfId="1" applyFill="1" applyBorder="1" applyAlignment="1">
      <alignment horizontal="center" vertical="center" wrapText="1"/>
    </xf>
    <xf numFmtId="0" fontId="3" fillId="15" borderId="27" xfId="1" applyFill="1" applyBorder="1" applyAlignment="1">
      <alignment horizontal="center" vertical="center" wrapText="1"/>
    </xf>
    <xf numFmtId="2" fontId="2" fillId="16" borderId="64" xfId="1" applyNumberFormat="1" applyFont="1" applyFill="1" applyBorder="1" applyAlignment="1">
      <alignment horizontal="center" vertical="center"/>
    </xf>
    <xf numFmtId="0" fontId="3" fillId="0" borderId="75" xfId="1" applyBorder="1"/>
    <xf numFmtId="0" fontId="3" fillId="0" borderId="76" xfId="1" applyBorder="1"/>
    <xf numFmtId="1" fontId="2" fillId="15" borderId="64" xfId="1" applyNumberFormat="1" applyFont="1" applyFill="1" applyBorder="1" applyAlignment="1">
      <alignment horizontal="center" vertical="center" wrapText="1"/>
    </xf>
    <xf numFmtId="0" fontId="2" fillId="15" borderId="65" xfId="1" applyFont="1" applyFill="1" applyBorder="1" applyAlignment="1">
      <alignment horizontal="center"/>
    </xf>
    <xf numFmtId="1" fontId="2" fillId="15" borderId="13" xfId="1" applyNumberFormat="1" applyFont="1" applyFill="1" applyBorder="1" applyAlignment="1">
      <alignment horizontal="center" vertical="center" wrapText="1"/>
    </xf>
    <xf numFmtId="0" fontId="2" fillId="15" borderId="10" xfId="1" applyFont="1" applyFill="1" applyBorder="1" applyAlignment="1">
      <alignment horizontal="center"/>
    </xf>
    <xf numFmtId="2" fontId="2" fillId="15" borderId="53" xfId="1" applyNumberFormat="1" applyFont="1" applyFill="1" applyBorder="1" applyAlignment="1">
      <alignment horizontal="center" vertical="center" wrapText="1"/>
    </xf>
    <xf numFmtId="2" fontId="2" fillId="15" borderId="62" xfId="1" applyNumberFormat="1" applyFont="1" applyFill="1" applyBorder="1" applyAlignment="1">
      <alignment horizontal="center" vertical="center" wrapText="1"/>
    </xf>
    <xf numFmtId="2" fontId="2" fillId="15" borderId="63" xfId="1" applyNumberFormat="1" applyFont="1" applyFill="1" applyBorder="1" applyAlignment="1">
      <alignment horizontal="center" vertical="center" wrapText="1"/>
    </xf>
    <xf numFmtId="2" fontId="2" fillId="15" borderId="10" xfId="1" applyNumberFormat="1" applyFont="1" applyFill="1" applyBorder="1" applyAlignment="1">
      <alignment horizontal="center" vertical="center"/>
    </xf>
    <xf numFmtId="0" fontId="3" fillId="0" borderId="11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1" fontId="2" fillId="15" borderId="10" xfId="1" applyNumberFormat="1" applyFont="1" applyFill="1" applyBorder="1" applyAlignment="1">
      <alignment horizontal="center" vertical="center" wrapText="1"/>
    </xf>
    <xf numFmtId="2" fontId="2" fillId="16" borderId="68" xfId="1" applyNumberFormat="1" applyFont="1" applyFill="1" applyBorder="1" applyAlignment="1">
      <alignment horizontal="center" vertical="center"/>
    </xf>
    <xf numFmtId="0" fontId="3" fillId="0" borderId="19" xfId="1" applyBorder="1"/>
    <xf numFmtId="1" fontId="2" fillId="15" borderId="54" xfId="1" applyNumberFormat="1" applyFont="1" applyFill="1" applyBorder="1" applyAlignment="1">
      <alignment horizontal="center" vertical="center" wrapText="1"/>
    </xf>
    <xf numFmtId="0" fontId="3" fillId="0" borderId="28" xfId="1" applyBorder="1" applyAlignment="1">
      <alignment horizontal="center"/>
    </xf>
    <xf numFmtId="0" fontId="3" fillId="0" borderId="57" xfId="1" applyBorder="1" applyAlignment="1">
      <alignment horizontal="center"/>
    </xf>
    <xf numFmtId="0" fontId="3" fillId="0" borderId="58" xfId="1" applyBorder="1" applyAlignment="1">
      <alignment horizontal="center"/>
    </xf>
    <xf numFmtId="2" fontId="2" fillId="16" borderId="53" xfId="1" applyNumberFormat="1" applyFont="1" applyFill="1" applyBorder="1" applyAlignment="1">
      <alignment horizontal="center" vertical="center" wrapText="1"/>
    </xf>
    <xf numFmtId="2" fontId="2" fillId="16" borderId="12" xfId="1" applyNumberFormat="1" applyFont="1" applyFill="1" applyBorder="1" applyAlignment="1">
      <alignment horizontal="center" vertical="center" wrapText="1"/>
    </xf>
    <xf numFmtId="2" fontId="2" fillId="16" borderId="15" xfId="1" applyNumberFormat="1" applyFont="1" applyFill="1" applyBorder="1" applyAlignment="1">
      <alignment horizontal="center" vertical="center" wrapText="1"/>
    </xf>
    <xf numFmtId="2" fontId="2" fillId="16" borderId="18" xfId="1" applyNumberFormat="1" applyFont="1" applyFill="1" applyBorder="1" applyAlignment="1">
      <alignment horizontal="center" vertical="center" wrapText="1"/>
    </xf>
    <xf numFmtId="0" fontId="4" fillId="15" borderId="54" xfId="1" applyFont="1" applyFill="1" applyBorder="1" applyAlignment="1">
      <alignment horizontal="center" vertical="center" wrapText="1"/>
    </xf>
    <xf numFmtId="0" fontId="4" fillId="0" borderId="55" xfId="1" applyFont="1" applyBorder="1" applyAlignment="1">
      <alignment horizontal="center" vertical="center" wrapText="1"/>
    </xf>
    <xf numFmtId="0" fontId="4" fillId="0" borderId="56" xfId="1" applyFont="1" applyBorder="1" applyAlignment="1">
      <alignment horizontal="center" vertical="center" wrapText="1"/>
    </xf>
    <xf numFmtId="0" fontId="3" fillId="0" borderId="24" xfId="1" applyBorder="1" applyAlignment="1">
      <alignment horizontal="center" vertical="center" wrapText="1"/>
    </xf>
    <xf numFmtId="0" fontId="3" fillId="0" borderId="28" xfId="1" applyBorder="1" applyAlignment="1">
      <alignment horizontal="center" vertical="center" wrapText="1"/>
    </xf>
    <xf numFmtId="0" fontId="3" fillId="0" borderId="57" xfId="1" applyBorder="1" applyAlignment="1">
      <alignment horizontal="center" vertical="center" wrapText="1"/>
    </xf>
    <xf numFmtId="0" fontId="3" fillId="0" borderId="43" xfId="1" applyBorder="1" applyAlignment="1">
      <alignment horizontal="center" vertical="center" wrapText="1"/>
    </xf>
    <xf numFmtId="0" fontId="3" fillId="0" borderId="58" xfId="1" applyBorder="1" applyAlignment="1">
      <alignment horizontal="center" vertical="center" wrapText="1"/>
    </xf>
    <xf numFmtId="0" fontId="4" fillId="20" borderId="42" xfId="1" applyFont="1" applyFill="1" applyBorder="1" applyAlignment="1">
      <alignment horizontal="center"/>
    </xf>
    <xf numFmtId="0" fontId="4" fillId="20" borderId="25" xfId="1" applyFont="1" applyFill="1" applyBorder="1" applyAlignment="1">
      <alignment horizontal="center"/>
    </xf>
    <xf numFmtId="0" fontId="4" fillId="20" borderId="29" xfId="1" applyFont="1" applyFill="1" applyBorder="1" applyAlignment="1">
      <alignment horizontal="center"/>
    </xf>
    <xf numFmtId="2" fontId="2" fillId="15" borderId="11" xfId="1" applyNumberFormat="1" applyFont="1" applyFill="1" applyBorder="1" applyAlignment="1">
      <alignment horizontal="center" vertical="center"/>
    </xf>
    <xf numFmtId="2" fontId="2" fillId="15" borderId="12" xfId="1" applyNumberFormat="1" applyFont="1" applyFill="1" applyBorder="1" applyAlignment="1">
      <alignment horizontal="center" vertical="center"/>
    </xf>
    <xf numFmtId="2" fontId="2" fillId="15" borderId="66" xfId="1" applyNumberFormat="1" applyFont="1" applyFill="1" applyBorder="1" applyAlignment="1">
      <alignment horizontal="center" vertical="center" wrapText="1"/>
    </xf>
    <xf numFmtId="2" fontId="2" fillId="15" borderId="41" xfId="1" applyNumberFormat="1" applyFont="1" applyFill="1" applyBorder="1" applyAlignment="1">
      <alignment horizontal="center" vertical="center" wrapText="1"/>
    </xf>
    <xf numFmtId="2" fontId="2" fillId="16" borderId="13" xfId="1" applyNumberFormat="1" applyFont="1" applyFill="1" applyBorder="1" applyAlignment="1">
      <alignment horizontal="center" wrapText="1"/>
    </xf>
    <xf numFmtId="2" fontId="2" fillId="16" borderId="10" xfId="1" applyNumberFormat="1" applyFont="1" applyFill="1" applyBorder="1" applyAlignment="1">
      <alignment horizontal="center"/>
    </xf>
    <xf numFmtId="2" fontId="2" fillId="15" borderId="67" xfId="1" applyNumberFormat="1" applyFont="1" applyFill="1" applyBorder="1" applyAlignment="1">
      <alignment horizontal="center" wrapText="1"/>
    </xf>
    <xf numFmtId="0" fontId="3" fillId="15" borderId="16" xfId="1" applyFill="1" applyBorder="1" applyAlignment="1">
      <alignment horizontal="center"/>
    </xf>
    <xf numFmtId="0" fontId="3" fillId="15" borderId="19" xfId="1" applyFill="1" applyBorder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21" borderId="0" xfId="0" applyFill="1"/>
  </cellXfs>
  <cellStyles count="27">
    <cellStyle name="Normal_Sheet2" xfId="2" xr:uid="{4DFF500C-8B01-49E4-B3E1-5E0F34FC9C31}"/>
    <cellStyle name="Акцент1 2" xfId="3" xr:uid="{F1CC5F26-E593-4126-BD63-59FA9C60DE27}"/>
    <cellStyle name="Акцент2 2" xfId="4" xr:uid="{814D57B2-1E67-49D9-B0E7-933EF96A46F3}"/>
    <cellStyle name="Акцент3 2" xfId="5" xr:uid="{138FA4E9-E6C1-452E-BECB-888E27133164}"/>
    <cellStyle name="Акцент4 2" xfId="6" xr:uid="{1BD0D977-8603-43BA-853A-8FBDF186726D}"/>
    <cellStyle name="Акцент5 2" xfId="7" xr:uid="{7E8B44DC-3C50-45F1-9B51-DF898C4786EE}"/>
    <cellStyle name="Акцент6 2" xfId="8" xr:uid="{295015FE-9113-4032-AC0D-3EBC779A8806}"/>
    <cellStyle name="Ввод  2" xfId="9" xr:uid="{941B59E0-61CD-4468-A2B8-84D116F9DCEC}"/>
    <cellStyle name="Вывод 2" xfId="10" xr:uid="{4CDF54AB-3FB1-4DE2-9F9A-EA67C3AE6C20}"/>
    <cellStyle name="Вычисление 2" xfId="11" xr:uid="{5BFB9FB1-C0D0-4530-85F2-73675C54F047}"/>
    <cellStyle name="Заголовок 1 2" xfId="12" xr:uid="{EFF54584-49D7-425C-AAE2-E87FE998200E}"/>
    <cellStyle name="Заголовок 2 2" xfId="13" xr:uid="{84E3BB88-5621-40CD-8B46-8CD7C37F9CE8}"/>
    <cellStyle name="Заголовок 3 2" xfId="14" xr:uid="{1C06E491-14C5-4F5D-8956-C1616CAF8E06}"/>
    <cellStyle name="Заголовок 4 2" xfId="15" xr:uid="{F5B10F60-AFD3-4917-A314-C6D1723997E2}"/>
    <cellStyle name="Итог 2" xfId="16" xr:uid="{5F9809BF-11C8-4531-9EC2-6EE72C4052B0}"/>
    <cellStyle name="Контрольная ячейка 2" xfId="17" xr:uid="{5A4C93A9-4E87-40AA-9797-8B1266DF8186}"/>
    <cellStyle name="Название 2" xfId="18" xr:uid="{C434D598-5814-499C-B714-DA1F9AB8B464}"/>
    <cellStyle name="Нейтральный 2" xfId="19" xr:uid="{31081BE5-8120-4832-8B1F-531A27390045}"/>
    <cellStyle name="Обычный" xfId="0" builtinId="0"/>
    <cellStyle name="Обычный 2" xfId="1" xr:uid="{FBDA271E-C144-4DBA-846C-555565A3E993}"/>
    <cellStyle name="Плохой 2" xfId="20" xr:uid="{50C1A745-4595-443F-BEBC-68A8B5B54F83}"/>
    <cellStyle name="Пояснение 2" xfId="21" xr:uid="{E152E74B-CAFD-4008-BF41-4E9A511E402B}"/>
    <cellStyle name="Примечание 2" xfId="22" xr:uid="{CEF6916B-8614-4F89-BAD0-837C59F49A2B}"/>
    <cellStyle name="Связанная ячейка 2" xfId="23" xr:uid="{EFB66D13-C2F1-4519-AD54-B52C8D6A5F94}"/>
    <cellStyle name="Текст предупреждения 2" xfId="24" xr:uid="{C5B658D1-E761-4055-8860-AF983F166F94}"/>
    <cellStyle name="Финансовый 2" xfId="25" xr:uid="{B9A5FA76-53E0-4E3B-9050-EFD22E70C0B6}"/>
    <cellStyle name="Хороший 2" xfId="26" xr:uid="{E5AF8430-0F13-489D-9FFE-714C7179A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Pзаб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Лист2!$A$27:$A$77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Лист2!$B$27:$B$77</c:f>
              <c:numCache>
                <c:formatCode>General</c:formatCode>
                <c:ptCount val="51"/>
                <c:pt idx="0">
                  <c:v>299</c:v>
                </c:pt>
                <c:pt idx="1">
                  <c:v>222.07692307692307</c:v>
                </c:pt>
                <c:pt idx="2">
                  <c:v>137.19318458668926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08-4E03-8D09-203AF0C6D7AD}"/>
            </c:ext>
          </c:extLst>
        </c:ser>
        <c:ser>
          <c:idx val="1"/>
          <c:order val="1"/>
          <c:tx>
            <c:v>Рзаб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Лист2!$A$27:$A$77</c:f>
              <c:numCache>
                <c:formatCode>General</c:formatCode>
                <c:ptCount val="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</c:numCache>
            </c:numRef>
          </c:xVal>
          <c:yVal>
            <c:numRef>
              <c:f>Лист2!$D$27:$D$77</c:f>
              <c:numCache>
                <c:formatCode>General</c:formatCode>
                <c:ptCount val="51"/>
                <c:pt idx="0">
                  <c:v>319.57618821806324</c:v>
                </c:pt>
                <c:pt idx="1">
                  <c:v>274.87410966241339</c:v>
                </c:pt>
                <c:pt idx="2">
                  <c:v>246.21894253146144</c:v>
                </c:pt>
                <c:pt idx="3">
                  <c:v>225.39420294997353</c:v>
                </c:pt>
                <c:pt idx="4">
                  <c:v>212.17378568182306</c:v>
                </c:pt>
                <c:pt idx="5">
                  <c:v>205.87620578742803</c:v>
                </c:pt>
                <c:pt idx="6">
                  <c:v>205.78693403351497</c:v>
                </c:pt>
                <c:pt idx="7">
                  <c:v>211.44854147939267</c:v>
                </c:pt>
                <c:pt idx="8">
                  <c:v>221.31982610597433</c:v>
                </c:pt>
                <c:pt idx="9">
                  <c:v>230.34929436029617</c:v>
                </c:pt>
                <c:pt idx="10">
                  <c:v>239.19541956476115</c:v>
                </c:pt>
                <c:pt idx="11">
                  <c:v>247.95454560893344</c:v>
                </c:pt>
                <c:pt idx="12">
                  <c:v>256.50450796221855</c:v>
                </c:pt>
                <c:pt idx="13">
                  <c:v>263.99865561353874</c:v>
                </c:pt>
                <c:pt idx="14">
                  <c:v>271.01756176875739</c:v>
                </c:pt>
                <c:pt idx="15">
                  <c:v>277.89661905696272</c:v>
                </c:pt>
                <c:pt idx="16">
                  <c:v>284.63866403171778</c:v>
                </c:pt>
                <c:pt idx="17">
                  <c:v>291.25097274875276</c:v>
                </c:pt>
                <c:pt idx="18">
                  <c:v>297.73687897161409</c:v>
                </c:pt>
                <c:pt idx="19">
                  <c:v>304.1088725684919</c:v>
                </c:pt>
                <c:pt idx="20">
                  <c:v>310.3782030098638</c:v>
                </c:pt>
                <c:pt idx="21">
                  <c:v>316.55469413104322</c:v>
                </c:pt>
                <c:pt idx="22">
                  <c:v>322.65256100614261</c:v>
                </c:pt>
                <c:pt idx="23">
                  <c:v>328.68216721128584</c:v>
                </c:pt>
                <c:pt idx="24">
                  <c:v>334.65111723978271</c:v>
                </c:pt>
                <c:pt idx="25">
                  <c:v>340.57175992631119</c:v>
                </c:pt>
                <c:pt idx="26">
                  <c:v>346.45137520336101</c:v>
                </c:pt>
                <c:pt idx="27">
                  <c:v>352.30169224910441</c:v>
                </c:pt>
                <c:pt idx="28">
                  <c:v>358.1294720026421</c:v>
                </c:pt>
                <c:pt idx="29">
                  <c:v>363.93994417277122</c:v>
                </c:pt>
                <c:pt idx="30">
                  <c:v>369.74380364070998</c:v>
                </c:pt>
                <c:pt idx="31">
                  <c:v>375.54482077077552</c:v>
                </c:pt>
                <c:pt idx="32">
                  <c:v>381.34761969158939</c:v>
                </c:pt>
                <c:pt idx="33">
                  <c:v>387.38545313119965</c:v>
                </c:pt>
                <c:pt idx="34">
                  <c:v>393.63073061829874</c:v>
                </c:pt>
                <c:pt idx="35">
                  <c:v>399.92590340802798</c:v>
                </c:pt>
                <c:pt idx="36">
                  <c:v>406.27901221698522</c:v>
                </c:pt>
                <c:pt idx="37">
                  <c:v>412.6927401902239</c:v>
                </c:pt>
                <c:pt idx="38">
                  <c:v>419.17141634298201</c:v>
                </c:pt>
                <c:pt idx="39">
                  <c:v>425.71757742970351</c:v>
                </c:pt>
                <c:pt idx="40">
                  <c:v>432.33706140666771</c:v>
                </c:pt>
                <c:pt idx="41">
                  <c:v>439.03056473336369</c:v>
                </c:pt>
                <c:pt idx="42">
                  <c:v>445.71911565506849</c:v>
                </c:pt>
                <c:pt idx="43">
                  <c:v>453.07809132263208</c:v>
                </c:pt>
                <c:pt idx="44">
                  <c:v>460.55379158046122</c:v>
                </c:pt>
                <c:pt idx="45">
                  <c:v>468.1482943848045</c:v>
                </c:pt>
                <c:pt idx="46">
                  <c:v>475.86528109854879</c:v>
                </c:pt>
                <c:pt idx="47">
                  <c:v>483.70838098824288</c:v>
                </c:pt>
                <c:pt idx="48">
                  <c:v>491.67634006015106</c:v>
                </c:pt>
                <c:pt idx="49">
                  <c:v>499.77435899798274</c:v>
                </c:pt>
                <c:pt idx="50">
                  <c:v>508.00117099577096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08-4E03-8D09-203AF0C6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932192"/>
        <c:axId val="471934272"/>
      </c:scatterChart>
      <c:valAx>
        <c:axId val="4719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934272"/>
        <c:crosses val="autoZero"/>
        <c:crossBetween val="midCat"/>
      </c:valAx>
      <c:valAx>
        <c:axId val="4719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193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23</xdr:row>
      <xdr:rowOff>9525</xdr:rowOff>
    </xdr:from>
    <xdr:to>
      <xdr:col>9</xdr:col>
      <xdr:colOff>574675</xdr:colOff>
      <xdr:row>36</xdr:row>
      <xdr:rowOff>174625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93FB83-7F7A-4377-AC97-FD856F573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86;%20&#1080;&#1085;&#1078;&#1077;&#1085;&#1077;&#1088;&#1082;&#1077;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json"/>
      <definedName name="IPR_pwf_atma"/>
      <definedName name="MF_mu_mix_cP"/>
      <definedName name="MF_p_choke_atma"/>
      <definedName name="MF_p_pipeline_atma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13"/>
  <sheetViews>
    <sheetView tabSelected="1" topLeftCell="A88" workbookViewId="0">
      <selection activeCell="G106" sqref="G106"/>
    </sheetView>
  </sheetViews>
  <sheetFormatPr defaultRowHeight="14.5" x14ac:dyDescent="0.35"/>
  <cols>
    <col min="1" max="1" width="23.26953125" customWidth="1"/>
  </cols>
  <sheetData>
    <row r="1" spans="1:180" ht="40.5" thickBot="1" x14ac:dyDescent="0.4">
      <c r="A1" s="176" t="s">
        <v>16</v>
      </c>
      <c r="B1" s="189" t="s">
        <v>17</v>
      </c>
      <c r="C1" s="190"/>
      <c r="D1" s="151" t="s">
        <v>18</v>
      </c>
      <c r="E1" s="178" t="s">
        <v>19</v>
      </c>
      <c r="F1" s="178" t="s">
        <v>20</v>
      </c>
      <c r="G1" s="178" t="s">
        <v>21</v>
      </c>
      <c r="H1" s="178" t="s">
        <v>22</v>
      </c>
      <c r="I1" s="153" t="s">
        <v>23</v>
      </c>
      <c r="J1" s="153" t="s">
        <v>24</v>
      </c>
      <c r="K1" s="94" t="s">
        <v>25</v>
      </c>
      <c r="L1" s="125" t="s">
        <v>26</v>
      </c>
      <c r="M1" s="153" t="s">
        <v>27</v>
      </c>
      <c r="N1" s="153" t="s">
        <v>28</v>
      </c>
      <c r="O1" s="153" t="s">
        <v>29</v>
      </c>
      <c r="P1" s="153" t="s">
        <v>30</v>
      </c>
      <c r="Q1" s="153" t="s">
        <v>31</v>
      </c>
      <c r="R1" s="153" t="s">
        <v>32</v>
      </c>
      <c r="S1" s="94" t="s">
        <v>33</v>
      </c>
      <c r="T1" s="125" t="s">
        <v>34</v>
      </c>
      <c r="U1" s="153" t="s">
        <v>35</v>
      </c>
      <c r="V1" s="153" t="s">
        <v>36</v>
      </c>
      <c r="W1" s="125" t="s">
        <v>37</v>
      </c>
      <c r="X1" s="94" t="s">
        <v>38</v>
      </c>
      <c r="Y1" s="153" t="s">
        <v>39</v>
      </c>
      <c r="Z1" s="153" t="s">
        <v>40</v>
      </c>
      <c r="AA1" s="107" t="s">
        <v>41</v>
      </c>
      <c r="AB1" s="173" t="s">
        <v>42</v>
      </c>
      <c r="AC1" s="174"/>
      <c r="AD1" s="174"/>
      <c r="AE1" s="174"/>
      <c r="AF1" s="174"/>
      <c r="AG1" s="175"/>
      <c r="AH1" s="181" t="s">
        <v>43</v>
      </c>
      <c r="AI1" s="153" t="s">
        <v>44</v>
      </c>
      <c r="AJ1" s="153" t="s">
        <v>45</v>
      </c>
      <c r="AK1" s="210" t="s">
        <v>46</v>
      </c>
      <c r="AL1" s="99" t="s">
        <v>47</v>
      </c>
      <c r="AM1" s="200"/>
      <c r="AN1" s="200"/>
      <c r="AO1" s="201"/>
      <c r="AP1" s="181" t="s">
        <v>48</v>
      </c>
      <c r="AQ1" s="153" t="s">
        <v>49</v>
      </c>
      <c r="AR1" s="87" t="s">
        <v>50</v>
      </c>
      <c r="AS1" s="153" t="s">
        <v>51</v>
      </c>
      <c r="AT1" s="153" t="s">
        <v>52</v>
      </c>
      <c r="AU1" s="153" t="s">
        <v>53</v>
      </c>
      <c r="AV1" s="153" t="s">
        <v>54</v>
      </c>
      <c r="AW1" s="87" t="s">
        <v>55</v>
      </c>
      <c r="AX1" s="87" t="s">
        <v>56</v>
      </c>
      <c r="AY1" s="195" t="s">
        <v>57</v>
      </c>
      <c r="AZ1" s="135" t="s">
        <v>58</v>
      </c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7"/>
      <c r="BN1" s="135" t="s">
        <v>59</v>
      </c>
      <c r="BO1" s="136"/>
      <c r="BP1" s="136"/>
      <c r="BQ1" s="136"/>
      <c r="BR1" s="136"/>
      <c r="BS1" s="136"/>
      <c r="BT1" s="136"/>
      <c r="BU1" s="136"/>
      <c r="BV1" s="136"/>
      <c r="BW1" s="137"/>
      <c r="BX1" s="135" t="s">
        <v>60</v>
      </c>
      <c r="BY1" s="136"/>
      <c r="BZ1" s="136"/>
      <c r="CA1" s="136"/>
      <c r="CB1" s="136"/>
      <c r="CC1" s="136"/>
      <c r="CD1" s="136"/>
      <c r="CE1" s="136"/>
      <c r="CF1" s="136"/>
      <c r="CG1" s="137"/>
      <c r="CH1" s="135" t="s">
        <v>61</v>
      </c>
      <c r="CI1" s="136"/>
      <c r="CJ1" s="136"/>
      <c r="CK1" s="136"/>
      <c r="CL1" s="136"/>
      <c r="CM1" s="136"/>
      <c r="CN1" s="136"/>
      <c r="CO1" s="136"/>
      <c r="CP1" s="136"/>
      <c r="CQ1" s="137"/>
      <c r="CR1" s="214" t="s">
        <v>62</v>
      </c>
      <c r="CS1" s="94" t="s">
        <v>63</v>
      </c>
      <c r="CT1" s="212" t="s">
        <v>64</v>
      </c>
      <c r="CU1" s="94" t="s">
        <v>65</v>
      </c>
      <c r="CV1" s="125" t="s">
        <v>66</v>
      </c>
      <c r="CW1" s="127" t="s">
        <v>67</v>
      </c>
      <c r="CX1" s="155" t="s">
        <v>68</v>
      </c>
      <c r="CY1" s="156"/>
      <c r="CZ1" s="156"/>
      <c r="DA1" s="157"/>
      <c r="DB1" s="165" t="s">
        <v>69</v>
      </c>
      <c r="DC1" s="94" t="s">
        <v>70</v>
      </c>
      <c r="DD1" s="94" t="s">
        <v>71</v>
      </c>
      <c r="DE1" s="94" t="s">
        <v>72</v>
      </c>
      <c r="DF1" s="94" t="s">
        <v>73</v>
      </c>
      <c r="DG1" s="94" t="s">
        <v>74</v>
      </c>
      <c r="DH1" s="94" t="s">
        <v>75</v>
      </c>
      <c r="DI1" s="94" t="s">
        <v>76</v>
      </c>
      <c r="DJ1" s="94" t="s">
        <v>77</v>
      </c>
      <c r="DK1" s="94" t="s">
        <v>78</v>
      </c>
      <c r="DL1" s="94" t="s">
        <v>79</v>
      </c>
      <c r="DM1" s="94" t="s">
        <v>80</v>
      </c>
      <c r="DN1" s="94" t="s">
        <v>81</v>
      </c>
      <c r="DO1" s="94" t="s">
        <v>82</v>
      </c>
      <c r="DP1" s="94" t="s">
        <v>83</v>
      </c>
      <c r="DQ1" s="94" t="s">
        <v>84</v>
      </c>
      <c r="DR1" s="145" t="s">
        <v>85</v>
      </c>
      <c r="DS1" s="94" t="s">
        <v>86</v>
      </c>
      <c r="DT1" s="99" t="s">
        <v>87</v>
      </c>
      <c r="DU1" s="168"/>
      <c r="DV1" s="169"/>
      <c r="DW1" s="197" t="s">
        <v>88</v>
      </c>
      <c r="DX1" s="99" t="s">
        <v>89</v>
      </c>
      <c r="DY1" s="200"/>
      <c r="DZ1" s="200"/>
      <c r="EA1" s="200"/>
      <c r="EB1" s="201"/>
      <c r="EC1" s="99" t="s">
        <v>90</v>
      </c>
      <c r="ED1" s="133"/>
      <c r="EE1" s="133"/>
      <c r="EF1" s="133"/>
      <c r="EG1" s="130" t="s">
        <v>91</v>
      </c>
      <c r="EH1" s="115" t="s">
        <v>92</v>
      </c>
      <c r="EI1" s="94" t="s">
        <v>93</v>
      </c>
      <c r="EJ1" s="94" t="s">
        <v>94</v>
      </c>
      <c r="EK1" s="94" t="s">
        <v>95</v>
      </c>
      <c r="EL1" s="94" t="s">
        <v>96</v>
      </c>
      <c r="EM1" s="94" t="s">
        <v>97</v>
      </c>
      <c r="EN1" s="94" t="s">
        <v>98</v>
      </c>
      <c r="EO1" s="145" t="s">
        <v>99</v>
      </c>
      <c r="EP1" s="99" t="s">
        <v>100</v>
      </c>
      <c r="EQ1" s="100"/>
      <c r="ER1" s="40" t="s">
        <v>101</v>
      </c>
      <c r="ES1" s="41"/>
      <c r="ET1" s="41"/>
      <c r="EU1" s="41"/>
      <c r="EV1" s="41"/>
      <c r="EW1" s="41"/>
      <c r="EX1" s="41"/>
      <c r="EY1" s="111" t="s">
        <v>102</v>
      </c>
      <c r="EZ1" s="112"/>
      <c r="FA1" s="112"/>
      <c r="FB1" s="112"/>
      <c r="FC1" s="112"/>
      <c r="FD1" s="113"/>
      <c r="FE1" s="109" t="s">
        <v>103</v>
      </c>
      <c r="FF1" s="107" t="s">
        <v>104</v>
      </c>
      <c r="FG1" s="96" t="s">
        <v>105</v>
      </c>
      <c r="FH1" s="99" t="s">
        <v>106</v>
      </c>
      <c r="FI1" s="96" t="s">
        <v>107</v>
      </c>
      <c r="FJ1" s="96" t="s">
        <v>108</v>
      </c>
      <c r="FK1" s="96" t="s">
        <v>109</v>
      </c>
      <c r="FL1" s="142" t="s">
        <v>110</v>
      </c>
      <c r="FM1" s="143"/>
      <c r="FN1" s="144"/>
      <c r="FO1" s="144"/>
      <c r="FP1" s="144"/>
      <c r="FQ1" s="205" t="s">
        <v>111</v>
      </c>
      <c r="FR1" s="206"/>
      <c r="FS1" s="206"/>
      <c r="FT1" s="207"/>
      <c r="FU1" s="205" t="s">
        <v>112</v>
      </c>
      <c r="FV1" s="206"/>
      <c r="FW1" s="206"/>
      <c r="FX1" s="207"/>
    </row>
    <row r="2" spans="1:180" ht="15" thickBot="1" x14ac:dyDescent="0.4">
      <c r="A2" s="177"/>
      <c r="B2" s="191"/>
      <c r="C2" s="192"/>
      <c r="D2" s="152"/>
      <c r="E2" s="179"/>
      <c r="F2" s="179"/>
      <c r="G2" s="186"/>
      <c r="H2" s="186"/>
      <c r="I2" s="154"/>
      <c r="J2" s="154"/>
      <c r="K2" s="184"/>
      <c r="L2" s="183"/>
      <c r="M2" s="154"/>
      <c r="N2" s="154"/>
      <c r="O2" s="154"/>
      <c r="P2" s="154"/>
      <c r="Q2" s="154"/>
      <c r="R2" s="154"/>
      <c r="S2" s="95"/>
      <c r="T2" s="183"/>
      <c r="U2" s="154"/>
      <c r="V2" s="154"/>
      <c r="W2" s="183"/>
      <c r="X2" s="95"/>
      <c r="Y2" s="154"/>
      <c r="Z2" s="154"/>
      <c r="AA2" s="108"/>
      <c r="AB2" s="187" t="s">
        <v>113</v>
      </c>
      <c r="AC2" s="193" t="s">
        <v>114</v>
      </c>
      <c r="AD2" s="180" t="s">
        <v>115</v>
      </c>
      <c r="AE2" s="117" t="s">
        <v>116</v>
      </c>
      <c r="AF2" s="162" t="s">
        <v>117</v>
      </c>
      <c r="AG2" s="117" t="s">
        <v>118</v>
      </c>
      <c r="AH2" s="182"/>
      <c r="AI2" s="154"/>
      <c r="AJ2" s="154"/>
      <c r="AK2" s="211"/>
      <c r="AL2" s="202"/>
      <c r="AM2" s="203"/>
      <c r="AN2" s="203"/>
      <c r="AO2" s="204"/>
      <c r="AP2" s="182"/>
      <c r="AQ2" s="154"/>
      <c r="AR2" s="88"/>
      <c r="AS2" s="154"/>
      <c r="AT2" s="154"/>
      <c r="AU2" s="154"/>
      <c r="AV2" s="154"/>
      <c r="AW2" s="88"/>
      <c r="AX2" s="88"/>
      <c r="AY2" s="196"/>
      <c r="AZ2" s="138" t="s">
        <v>113</v>
      </c>
      <c r="BA2" s="91" t="s">
        <v>119</v>
      </c>
      <c r="BB2" s="92"/>
      <c r="BC2" s="92"/>
      <c r="BD2" s="93"/>
      <c r="BE2" s="115" t="s">
        <v>120</v>
      </c>
      <c r="BF2" s="87" t="s">
        <v>121</v>
      </c>
      <c r="BG2" s="89" t="s">
        <v>122</v>
      </c>
      <c r="BH2" s="91" t="s">
        <v>47</v>
      </c>
      <c r="BI2" s="92"/>
      <c r="BJ2" s="92"/>
      <c r="BK2" s="93"/>
      <c r="BL2" s="115" t="s">
        <v>123</v>
      </c>
      <c r="BM2" s="195" t="s">
        <v>124</v>
      </c>
      <c r="BN2" s="138" t="s">
        <v>113</v>
      </c>
      <c r="BO2" s="91" t="s">
        <v>119</v>
      </c>
      <c r="BP2" s="92"/>
      <c r="BQ2" s="93"/>
      <c r="BR2" s="115" t="s">
        <v>120</v>
      </c>
      <c r="BS2" s="87" t="s">
        <v>121</v>
      </c>
      <c r="BT2" s="89" t="s">
        <v>122</v>
      </c>
      <c r="BU2" s="91" t="s">
        <v>47</v>
      </c>
      <c r="BV2" s="92"/>
      <c r="BW2" s="93"/>
      <c r="BX2" s="138" t="s">
        <v>113</v>
      </c>
      <c r="BY2" s="91" t="s">
        <v>119</v>
      </c>
      <c r="BZ2" s="92"/>
      <c r="CA2" s="93"/>
      <c r="CB2" s="115" t="s">
        <v>120</v>
      </c>
      <c r="CC2" s="87" t="s">
        <v>121</v>
      </c>
      <c r="CD2" s="89" t="s">
        <v>122</v>
      </c>
      <c r="CE2" s="91" t="s">
        <v>47</v>
      </c>
      <c r="CF2" s="92"/>
      <c r="CG2" s="93"/>
      <c r="CH2" s="138" t="s">
        <v>113</v>
      </c>
      <c r="CI2" s="91" t="s">
        <v>119</v>
      </c>
      <c r="CJ2" s="92"/>
      <c r="CK2" s="93"/>
      <c r="CL2" s="115" t="s">
        <v>120</v>
      </c>
      <c r="CM2" s="87" t="s">
        <v>121</v>
      </c>
      <c r="CN2" s="89" t="s">
        <v>122</v>
      </c>
      <c r="CO2" s="91" t="s">
        <v>47</v>
      </c>
      <c r="CP2" s="92"/>
      <c r="CQ2" s="93"/>
      <c r="CR2" s="215"/>
      <c r="CS2" s="95"/>
      <c r="CT2" s="213"/>
      <c r="CU2" s="208"/>
      <c r="CV2" s="126"/>
      <c r="CW2" s="128"/>
      <c r="CX2" s="158" t="s">
        <v>125</v>
      </c>
      <c r="CY2" s="159"/>
      <c r="CZ2" s="121" t="s">
        <v>126</v>
      </c>
      <c r="DA2" s="122"/>
      <c r="DB2" s="166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146"/>
      <c r="DS2" s="95"/>
      <c r="DT2" s="170"/>
      <c r="DU2" s="171"/>
      <c r="DV2" s="172"/>
      <c r="DW2" s="198"/>
      <c r="DX2" s="202"/>
      <c r="DY2" s="203"/>
      <c r="DZ2" s="203"/>
      <c r="EA2" s="203"/>
      <c r="EB2" s="204"/>
      <c r="EC2" s="106"/>
      <c r="ED2" s="134"/>
      <c r="EE2" s="134"/>
      <c r="EF2" s="134"/>
      <c r="EG2" s="131"/>
      <c r="EH2" s="164"/>
      <c r="EI2" s="95"/>
      <c r="EJ2" s="95"/>
      <c r="EK2" s="95"/>
      <c r="EL2" s="95"/>
      <c r="EM2" s="95"/>
      <c r="EN2" s="95"/>
      <c r="EO2" s="146"/>
      <c r="EP2" s="101"/>
      <c r="EQ2" s="102"/>
      <c r="ER2" s="138" t="s">
        <v>113</v>
      </c>
      <c r="ES2" s="42" t="s">
        <v>119</v>
      </c>
      <c r="ET2" s="43"/>
      <c r="EU2" s="43"/>
      <c r="EV2" s="44"/>
      <c r="EW2" s="42" t="s">
        <v>47</v>
      </c>
      <c r="EX2" s="43"/>
      <c r="EY2" s="103" t="s">
        <v>127</v>
      </c>
      <c r="EZ2" s="103" t="s">
        <v>128</v>
      </c>
      <c r="FA2" s="103" t="s">
        <v>129</v>
      </c>
      <c r="FB2" s="103" t="s">
        <v>130</v>
      </c>
      <c r="FC2" s="103" t="s">
        <v>131</v>
      </c>
      <c r="FD2" s="103" t="s">
        <v>132</v>
      </c>
      <c r="FE2" s="110"/>
      <c r="FF2" s="108"/>
      <c r="FG2" s="97"/>
      <c r="FH2" s="105"/>
      <c r="FI2" s="97"/>
      <c r="FJ2" s="97"/>
      <c r="FK2" s="97"/>
      <c r="FL2" s="148" t="s">
        <v>115</v>
      </c>
      <c r="FM2" s="140" t="s">
        <v>116</v>
      </c>
      <c r="FN2" s="119" t="s">
        <v>114</v>
      </c>
      <c r="FO2" s="150" t="s">
        <v>117</v>
      </c>
      <c r="FP2" s="119" t="s">
        <v>118</v>
      </c>
      <c r="FQ2" s="94" t="s">
        <v>133</v>
      </c>
      <c r="FR2" s="94" t="s">
        <v>134</v>
      </c>
      <c r="FS2" s="57"/>
      <c r="FT2" s="127" t="s">
        <v>135</v>
      </c>
      <c r="FU2" s="94" t="s">
        <v>136</v>
      </c>
      <c r="FV2" s="94" t="s">
        <v>137</v>
      </c>
      <c r="FW2" s="94" t="s">
        <v>138</v>
      </c>
      <c r="FX2" s="127" t="s">
        <v>139</v>
      </c>
    </row>
    <row r="3" spans="1:180" ht="40.5" thickBot="1" x14ac:dyDescent="0.4">
      <c r="A3" s="177"/>
      <c r="B3" s="6" t="s">
        <v>140</v>
      </c>
      <c r="C3" s="7" t="s">
        <v>141</v>
      </c>
      <c r="D3" s="152"/>
      <c r="E3" s="179"/>
      <c r="F3" s="179"/>
      <c r="G3" s="186"/>
      <c r="H3" s="186"/>
      <c r="I3" s="154"/>
      <c r="J3" s="154"/>
      <c r="K3" s="185"/>
      <c r="L3" s="183"/>
      <c r="M3" s="154"/>
      <c r="N3" s="154"/>
      <c r="O3" s="154"/>
      <c r="P3" s="154"/>
      <c r="Q3" s="154"/>
      <c r="R3" s="154"/>
      <c r="S3" s="114"/>
      <c r="T3" s="183"/>
      <c r="U3" s="154"/>
      <c r="V3" s="154"/>
      <c r="W3" s="183"/>
      <c r="X3" s="114"/>
      <c r="Y3" s="154"/>
      <c r="Z3" s="154"/>
      <c r="AA3" s="108"/>
      <c r="AB3" s="188"/>
      <c r="AC3" s="194"/>
      <c r="AD3" s="114"/>
      <c r="AE3" s="118"/>
      <c r="AF3" s="163"/>
      <c r="AG3" s="118"/>
      <c r="AH3" s="182"/>
      <c r="AI3" s="154"/>
      <c r="AJ3" s="154"/>
      <c r="AK3" s="211"/>
      <c r="AL3" s="8" t="s">
        <v>121</v>
      </c>
      <c r="AM3" s="4" t="s">
        <v>142</v>
      </c>
      <c r="AN3" s="5" t="s">
        <v>143</v>
      </c>
      <c r="AO3" s="9" t="s">
        <v>144</v>
      </c>
      <c r="AP3" s="182"/>
      <c r="AQ3" s="154"/>
      <c r="AR3" s="88"/>
      <c r="AS3" s="154"/>
      <c r="AT3" s="154"/>
      <c r="AU3" s="154"/>
      <c r="AV3" s="154"/>
      <c r="AW3" s="88"/>
      <c r="AX3" s="88"/>
      <c r="AY3" s="196"/>
      <c r="AZ3" s="139"/>
      <c r="BA3" s="13" t="s">
        <v>145</v>
      </c>
      <c r="BB3" s="3" t="s">
        <v>146</v>
      </c>
      <c r="BC3" s="3" t="s">
        <v>147</v>
      </c>
      <c r="BD3" s="14" t="s">
        <v>148</v>
      </c>
      <c r="BE3" s="116"/>
      <c r="BF3" s="88"/>
      <c r="BG3" s="90"/>
      <c r="BH3" s="15" t="s">
        <v>149</v>
      </c>
      <c r="BI3" s="2" t="s">
        <v>146</v>
      </c>
      <c r="BJ3" s="2" t="s">
        <v>147</v>
      </c>
      <c r="BK3" s="12" t="s">
        <v>150</v>
      </c>
      <c r="BL3" s="116"/>
      <c r="BM3" s="196"/>
      <c r="BN3" s="139"/>
      <c r="BO3" s="53" t="s">
        <v>145</v>
      </c>
      <c r="BP3" s="54" t="s">
        <v>146</v>
      </c>
      <c r="BQ3" s="55" t="s">
        <v>147</v>
      </c>
      <c r="BR3" s="116"/>
      <c r="BS3" s="88"/>
      <c r="BT3" s="90"/>
      <c r="BU3" s="15" t="s">
        <v>149</v>
      </c>
      <c r="BV3" s="2" t="s">
        <v>146</v>
      </c>
      <c r="BW3" s="12" t="s">
        <v>147</v>
      </c>
      <c r="BX3" s="139"/>
      <c r="BY3" s="53" t="s">
        <v>145</v>
      </c>
      <c r="BZ3" s="54" t="s">
        <v>146</v>
      </c>
      <c r="CA3" s="55" t="s">
        <v>147</v>
      </c>
      <c r="CB3" s="116"/>
      <c r="CC3" s="88"/>
      <c r="CD3" s="90"/>
      <c r="CE3" s="15" t="s">
        <v>149</v>
      </c>
      <c r="CF3" s="2" t="s">
        <v>146</v>
      </c>
      <c r="CG3" s="12" t="s">
        <v>147</v>
      </c>
      <c r="CH3" s="139"/>
      <c r="CI3" s="53" t="s">
        <v>145</v>
      </c>
      <c r="CJ3" s="54" t="s">
        <v>146</v>
      </c>
      <c r="CK3" s="55" t="s">
        <v>147</v>
      </c>
      <c r="CL3" s="116"/>
      <c r="CM3" s="88"/>
      <c r="CN3" s="90"/>
      <c r="CO3" s="15" t="s">
        <v>149</v>
      </c>
      <c r="CP3" s="2" t="s">
        <v>146</v>
      </c>
      <c r="CQ3" s="12" t="s">
        <v>147</v>
      </c>
      <c r="CR3" s="216"/>
      <c r="CS3" s="114"/>
      <c r="CT3" s="213"/>
      <c r="CU3" s="209"/>
      <c r="CV3" s="126"/>
      <c r="CW3" s="129"/>
      <c r="CX3" s="160"/>
      <c r="CY3" s="161"/>
      <c r="CZ3" s="123"/>
      <c r="DA3" s="124"/>
      <c r="DB3" s="167"/>
      <c r="DC3" s="114"/>
      <c r="DD3" s="114"/>
      <c r="DE3" s="114"/>
      <c r="DF3" s="95"/>
      <c r="DG3" s="95" t="s">
        <v>151</v>
      </c>
      <c r="DH3" s="95"/>
      <c r="DI3" s="95"/>
      <c r="DJ3" s="95"/>
      <c r="DK3" s="95"/>
      <c r="DL3" s="95"/>
      <c r="DM3" s="95"/>
      <c r="DN3" s="95"/>
      <c r="DO3" s="95"/>
      <c r="DP3" s="95"/>
      <c r="DQ3" s="114"/>
      <c r="DR3" s="146"/>
      <c r="DS3" s="95"/>
      <c r="DT3" s="8" t="s">
        <v>152</v>
      </c>
      <c r="DU3" s="5" t="s">
        <v>153</v>
      </c>
      <c r="DV3" s="9" t="s">
        <v>154</v>
      </c>
      <c r="DW3" s="199"/>
      <c r="DX3" s="10" t="s">
        <v>155</v>
      </c>
      <c r="DY3" s="11" t="s">
        <v>156</v>
      </c>
      <c r="DZ3" s="11" t="s">
        <v>157</v>
      </c>
      <c r="EA3" s="11" t="s">
        <v>158</v>
      </c>
      <c r="EB3" s="16" t="s">
        <v>159</v>
      </c>
      <c r="EC3" s="10" t="s">
        <v>160</v>
      </c>
      <c r="ED3" s="1" t="s">
        <v>161</v>
      </c>
      <c r="EE3" s="1" t="s">
        <v>162</v>
      </c>
      <c r="EF3" s="11" t="s">
        <v>163</v>
      </c>
      <c r="EG3" s="132"/>
      <c r="EH3" s="164"/>
      <c r="EI3" s="95"/>
      <c r="EJ3" s="114"/>
      <c r="EK3" s="95"/>
      <c r="EL3" s="95"/>
      <c r="EM3" s="114"/>
      <c r="EN3" s="114"/>
      <c r="EO3" s="147"/>
      <c r="EP3" s="10" t="s">
        <v>164</v>
      </c>
      <c r="EQ3" s="16" t="s">
        <v>165</v>
      </c>
      <c r="ER3" s="139"/>
      <c r="ES3" s="13" t="s">
        <v>145</v>
      </c>
      <c r="ET3" s="3" t="s">
        <v>146</v>
      </c>
      <c r="EU3" s="3" t="s">
        <v>147</v>
      </c>
      <c r="EV3" s="14" t="s">
        <v>148</v>
      </c>
      <c r="EW3" s="15" t="s">
        <v>149</v>
      </c>
      <c r="EX3" s="39" t="s">
        <v>146</v>
      </c>
      <c r="EY3" s="104"/>
      <c r="EZ3" s="104"/>
      <c r="FA3" s="104"/>
      <c r="FB3" s="104"/>
      <c r="FC3" s="104"/>
      <c r="FD3" s="104"/>
      <c r="FE3" s="110"/>
      <c r="FF3" s="108"/>
      <c r="FG3" s="98"/>
      <c r="FH3" s="106"/>
      <c r="FI3" s="98"/>
      <c r="FJ3" s="98"/>
      <c r="FK3" s="98"/>
      <c r="FL3" s="149"/>
      <c r="FM3" s="141"/>
      <c r="FN3" s="120"/>
      <c r="FO3" s="140"/>
      <c r="FP3" s="120"/>
      <c r="FQ3" s="114"/>
      <c r="FR3" s="114"/>
      <c r="FS3" s="59" t="s">
        <v>166</v>
      </c>
      <c r="FT3" s="118"/>
      <c r="FU3" s="114"/>
      <c r="FV3" s="114"/>
      <c r="FW3" s="114"/>
      <c r="FX3" s="118"/>
    </row>
    <row r="4" spans="1:180" ht="15" thickBot="1" x14ac:dyDescent="0.4">
      <c r="A4" s="17"/>
      <c r="B4" s="18"/>
      <c r="C4" s="19"/>
      <c r="D4" s="20"/>
      <c r="E4" s="21"/>
      <c r="F4" s="21"/>
      <c r="G4" s="21"/>
      <c r="H4" s="21"/>
      <c r="I4" s="22" t="s">
        <v>167</v>
      </c>
      <c r="J4" s="22" t="s">
        <v>167</v>
      </c>
      <c r="K4" s="22" t="s">
        <v>167</v>
      </c>
      <c r="L4" s="22" t="s">
        <v>168</v>
      </c>
      <c r="M4" s="22" t="s">
        <v>168</v>
      </c>
      <c r="N4" s="22"/>
      <c r="O4" s="22"/>
      <c r="P4" s="22" t="s">
        <v>169</v>
      </c>
      <c r="Q4" s="22" t="s">
        <v>168</v>
      </c>
      <c r="R4" s="22" t="s">
        <v>170</v>
      </c>
      <c r="S4" s="22"/>
      <c r="T4" s="22" t="s">
        <v>168</v>
      </c>
      <c r="U4" s="22" t="s">
        <v>171</v>
      </c>
      <c r="V4" s="22" t="s">
        <v>171</v>
      </c>
      <c r="W4" s="22" t="s">
        <v>171</v>
      </c>
      <c r="X4" s="22" t="s">
        <v>171</v>
      </c>
      <c r="Y4" s="22" t="s">
        <v>168</v>
      </c>
      <c r="Z4" s="22" t="s">
        <v>171</v>
      </c>
      <c r="AA4" s="23" t="s">
        <v>171</v>
      </c>
      <c r="AB4" s="24" t="s">
        <v>171</v>
      </c>
      <c r="AC4" s="25" t="s">
        <v>172</v>
      </c>
      <c r="AD4" s="22" t="s">
        <v>169</v>
      </c>
      <c r="AE4" s="23" t="s">
        <v>173</v>
      </c>
      <c r="AF4" s="23" t="s">
        <v>169</v>
      </c>
      <c r="AG4" s="23" t="s">
        <v>174</v>
      </c>
      <c r="AH4" s="26"/>
      <c r="AI4" s="22" t="s">
        <v>171</v>
      </c>
      <c r="AJ4" s="22" t="s">
        <v>174</v>
      </c>
      <c r="AK4" s="27" t="s">
        <v>175</v>
      </c>
      <c r="AL4" s="28"/>
      <c r="AM4" s="25"/>
      <c r="AN4" s="22" t="s">
        <v>176</v>
      </c>
      <c r="AO4" s="23"/>
      <c r="AP4" s="26" t="s">
        <v>177</v>
      </c>
      <c r="AQ4" s="22" t="s">
        <v>177</v>
      </c>
      <c r="AR4" s="25" t="s">
        <v>177</v>
      </c>
      <c r="AS4" s="22" t="s">
        <v>178</v>
      </c>
      <c r="AT4" s="22" t="s">
        <v>179</v>
      </c>
      <c r="AU4" s="22" t="s">
        <v>179</v>
      </c>
      <c r="AV4" s="22" t="s">
        <v>168</v>
      </c>
      <c r="AW4" s="25" t="s">
        <v>180</v>
      </c>
      <c r="AX4" s="25" t="s">
        <v>181</v>
      </c>
      <c r="AY4" s="29" t="s">
        <v>182</v>
      </c>
      <c r="AZ4" s="30" t="s">
        <v>171</v>
      </c>
      <c r="BA4" s="24" t="s">
        <v>169</v>
      </c>
      <c r="BB4" s="25" t="s">
        <v>169</v>
      </c>
      <c r="BC4" s="25" t="s">
        <v>172</v>
      </c>
      <c r="BD4" s="29" t="s">
        <v>172</v>
      </c>
      <c r="BE4" s="31"/>
      <c r="BF4" s="25"/>
      <c r="BG4" s="32" t="s">
        <v>182</v>
      </c>
      <c r="BH4" s="24" t="s">
        <v>169</v>
      </c>
      <c r="BI4" s="25" t="s">
        <v>169</v>
      </c>
      <c r="BJ4" s="25" t="s">
        <v>172</v>
      </c>
      <c r="BK4" s="29" t="s">
        <v>172</v>
      </c>
      <c r="BL4" s="31" t="s">
        <v>172</v>
      </c>
      <c r="BM4" s="29" t="s">
        <v>173</v>
      </c>
      <c r="BN4" s="30" t="s">
        <v>171</v>
      </c>
      <c r="BO4" s="51" t="s">
        <v>169</v>
      </c>
      <c r="BP4" s="52" t="s">
        <v>169</v>
      </c>
      <c r="BQ4" s="52" t="s">
        <v>172</v>
      </c>
      <c r="BR4" s="31"/>
      <c r="BS4" s="25"/>
      <c r="BT4" s="32" t="s">
        <v>182</v>
      </c>
      <c r="BU4" s="24" t="s">
        <v>169</v>
      </c>
      <c r="BV4" s="25" t="s">
        <v>169</v>
      </c>
      <c r="BW4" s="29" t="s">
        <v>172</v>
      </c>
      <c r="BX4" s="30" t="s">
        <v>171</v>
      </c>
      <c r="BY4" s="51" t="s">
        <v>169</v>
      </c>
      <c r="BZ4" s="52" t="s">
        <v>169</v>
      </c>
      <c r="CA4" s="52" t="s">
        <v>172</v>
      </c>
      <c r="CB4" s="31"/>
      <c r="CC4" s="25"/>
      <c r="CD4" s="32" t="s">
        <v>182</v>
      </c>
      <c r="CE4" s="24" t="s">
        <v>169</v>
      </c>
      <c r="CF4" s="25" t="s">
        <v>169</v>
      </c>
      <c r="CG4" s="29" t="s">
        <v>172</v>
      </c>
      <c r="CH4" s="30" t="s">
        <v>171</v>
      </c>
      <c r="CI4" s="51" t="s">
        <v>169</v>
      </c>
      <c r="CJ4" s="52" t="s">
        <v>169</v>
      </c>
      <c r="CK4" s="52" t="s">
        <v>172</v>
      </c>
      <c r="CL4" s="31"/>
      <c r="CM4" s="25"/>
      <c r="CN4" s="32" t="s">
        <v>182</v>
      </c>
      <c r="CO4" s="24" t="s">
        <v>169</v>
      </c>
      <c r="CP4" s="25" t="s">
        <v>169</v>
      </c>
      <c r="CQ4" s="29" t="s">
        <v>172</v>
      </c>
      <c r="CR4" s="26" t="s">
        <v>168</v>
      </c>
      <c r="CS4" s="22" t="s">
        <v>183</v>
      </c>
      <c r="CT4" s="25" t="s">
        <v>184</v>
      </c>
      <c r="CU4" s="22"/>
      <c r="CV4" s="22"/>
      <c r="CW4" s="22" t="s">
        <v>176</v>
      </c>
      <c r="CX4" s="33"/>
      <c r="CY4" s="34"/>
      <c r="CZ4" s="34"/>
      <c r="DA4" s="35"/>
      <c r="DB4" s="28" t="s">
        <v>176</v>
      </c>
      <c r="DC4" s="22"/>
      <c r="DD4" s="22"/>
      <c r="DE4" s="22" t="s">
        <v>168</v>
      </c>
      <c r="DF4" s="22"/>
      <c r="DG4" s="22"/>
      <c r="DH4" s="22"/>
      <c r="DI4" s="22"/>
      <c r="DJ4" s="22"/>
      <c r="DK4" s="22"/>
      <c r="DL4" s="22"/>
      <c r="DM4" s="22" t="s">
        <v>176</v>
      </c>
      <c r="DN4" s="22"/>
      <c r="DO4" s="22" t="s">
        <v>171</v>
      </c>
      <c r="DP4" s="22"/>
      <c r="DQ4" s="22" t="s">
        <v>168</v>
      </c>
      <c r="DR4" s="32" t="s">
        <v>179</v>
      </c>
      <c r="DS4" s="22" t="s">
        <v>168</v>
      </c>
      <c r="DT4" s="28"/>
      <c r="DU4" s="22" t="s">
        <v>167</v>
      </c>
      <c r="DV4" s="23" t="s">
        <v>168</v>
      </c>
      <c r="DW4" s="27"/>
      <c r="DX4" s="28"/>
      <c r="DY4" s="22" t="s">
        <v>185</v>
      </c>
      <c r="DZ4" s="22" t="s">
        <v>186</v>
      </c>
      <c r="EA4" s="22" t="s">
        <v>186</v>
      </c>
      <c r="EB4" s="23" t="s">
        <v>186</v>
      </c>
      <c r="EC4" s="28" t="s">
        <v>187</v>
      </c>
      <c r="ED4" s="22" t="s">
        <v>168</v>
      </c>
      <c r="EE4" s="22" t="s">
        <v>167</v>
      </c>
      <c r="EF4" s="27"/>
      <c r="EG4" s="36" t="s">
        <v>169</v>
      </c>
      <c r="EH4" s="60"/>
      <c r="EI4" s="26"/>
      <c r="EJ4" s="26"/>
      <c r="EK4" s="22"/>
      <c r="EL4" s="22"/>
      <c r="EM4" s="27" t="s">
        <v>181</v>
      </c>
      <c r="EN4" s="22" t="s">
        <v>171</v>
      </c>
      <c r="EO4" s="32" t="s">
        <v>169</v>
      </c>
      <c r="EP4" s="28" t="s">
        <v>188</v>
      </c>
      <c r="EQ4" s="23" t="s">
        <v>188</v>
      </c>
      <c r="ER4" s="30" t="s">
        <v>171</v>
      </c>
      <c r="ES4" s="24" t="s">
        <v>169</v>
      </c>
      <c r="ET4" s="25" t="s">
        <v>169</v>
      </c>
      <c r="EU4" s="25" t="s">
        <v>172</v>
      </c>
      <c r="EV4" s="29" t="s">
        <v>172</v>
      </c>
      <c r="EW4" s="24" t="s">
        <v>169</v>
      </c>
      <c r="EX4" s="32" t="s">
        <v>169</v>
      </c>
      <c r="EY4" s="25" t="s">
        <v>169</v>
      </c>
      <c r="EZ4" s="25" t="s">
        <v>169</v>
      </c>
      <c r="FA4" s="32" t="s">
        <v>172</v>
      </c>
      <c r="FB4" s="25" t="s">
        <v>169</v>
      </c>
      <c r="FC4" s="25" t="s">
        <v>169</v>
      </c>
      <c r="FD4" s="32" t="s">
        <v>172</v>
      </c>
      <c r="FE4" s="26" t="s">
        <v>168</v>
      </c>
      <c r="FF4" s="23" t="s">
        <v>168</v>
      </c>
      <c r="FG4" s="49" t="s">
        <v>168</v>
      </c>
      <c r="FH4" s="38" t="s">
        <v>168</v>
      </c>
      <c r="FI4" s="50"/>
      <c r="FJ4" s="50"/>
      <c r="FK4" s="50"/>
      <c r="FL4" s="46" t="s">
        <v>169</v>
      </c>
      <c r="FM4" s="37" t="s">
        <v>173</v>
      </c>
      <c r="FN4" s="45" t="s">
        <v>172</v>
      </c>
      <c r="FO4" s="45"/>
      <c r="FP4" s="45" t="s">
        <v>174</v>
      </c>
      <c r="FQ4" s="47"/>
      <c r="FR4" s="47"/>
      <c r="FS4" s="58"/>
      <c r="FT4" s="48"/>
      <c r="FU4" s="47"/>
      <c r="FV4" s="47"/>
      <c r="FW4" s="56"/>
      <c r="FX4" s="48"/>
    </row>
    <row r="5" spans="1:180" x14ac:dyDescent="0.35">
      <c r="A5" s="78" t="s">
        <v>0</v>
      </c>
      <c r="B5" s="61" t="s">
        <v>1</v>
      </c>
      <c r="C5" s="61">
        <v>9999</v>
      </c>
      <c r="D5" s="61">
        <v>2</v>
      </c>
      <c r="E5" s="61" t="s">
        <v>2</v>
      </c>
      <c r="F5" s="61">
        <v>1</v>
      </c>
      <c r="G5" s="61" t="s">
        <v>3</v>
      </c>
      <c r="H5" s="61"/>
      <c r="I5" s="73">
        <v>159.6</v>
      </c>
      <c r="J5" s="62">
        <v>89</v>
      </c>
      <c r="K5" s="74">
        <v>10</v>
      </c>
      <c r="L5" s="73">
        <v>3857.7</v>
      </c>
      <c r="M5" s="73">
        <v>553.74</v>
      </c>
      <c r="N5" s="61" t="s">
        <v>4</v>
      </c>
      <c r="O5" s="61" t="s">
        <v>5</v>
      </c>
      <c r="P5" s="62"/>
      <c r="Q5" s="61"/>
      <c r="R5" s="75"/>
      <c r="S5" s="62">
        <v>0.7</v>
      </c>
      <c r="T5" s="62">
        <v>3474</v>
      </c>
      <c r="U5" s="73">
        <v>57</v>
      </c>
      <c r="V5" s="73">
        <v>23.84</v>
      </c>
      <c r="W5" s="73">
        <v>299</v>
      </c>
      <c r="X5" s="73">
        <v>299</v>
      </c>
      <c r="Y5" s="73">
        <v>0</v>
      </c>
      <c r="Z5" s="73">
        <v>0</v>
      </c>
      <c r="AA5" s="74"/>
      <c r="AB5" s="72"/>
      <c r="AC5" s="63">
        <v>8.6897146500000009</v>
      </c>
      <c r="AD5" s="62">
        <v>19.149999999999999</v>
      </c>
      <c r="AE5" s="63">
        <v>42.85</v>
      </c>
      <c r="AF5" s="83">
        <v>4006.09</v>
      </c>
      <c r="AG5" s="63">
        <v>461.01513816682115</v>
      </c>
      <c r="AH5" s="61" t="s">
        <v>6</v>
      </c>
      <c r="AI5" s="77">
        <v>213.3</v>
      </c>
      <c r="AJ5" s="77">
        <v>461</v>
      </c>
      <c r="AK5" s="62">
        <v>110</v>
      </c>
      <c r="AL5" s="61"/>
      <c r="AM5" s="64">
        <v>0.13453803824122304</v>
      </c>
      <c r="AN5" s="65"/>
      <c r="AO5" s="61"/>
      <c r="AP5" s="76">
        <v>0.2</v>
      </c>
      <c r="AQ5" s="76">
        <v>0.5</v>
      </c>
      <c r="AR5" s="66">
        <v>0.32106851602131897</v>
      </c>
      <c r="AS5" s="77">
        <v>1.5330000000000001</v>
      </c>
      <c r="AT5" s="77">
        <v>0.79400000000000004</v>
      </c>
      <c r="AU5" s="77">
        <v>1.0090000000000001</v>
      </c>
      <c r="AV5" s="62">
        <v>599.20000000000005</v>
      </c>
      <c r="AW5" s="63">
        <v>1.336963869513445E-2</v>
      </c>
      <c r="AX5" s="63">
        <v>8.0110875061245626</v>
      </c>
      <c r="AY5" s="66">
        <v>0.125044875014521</v>
      </c>
      <c r="AZ5" s="63">
        <v>138</v>
      </c>
      <c r="BA5" s="63">
        <v>19.150799251482116</v>
      </c>
      <c r="BB5" s="63">
        <v>19.150799251482116</v>
      </c>
      <c r="BC5" s="63">
        <v>8.6900773271442908</v>
      </c>
      <c r="BD5" s="63">
        <v>3.6000000000000002E-4</v>
      </c>
      <c r="BE5" s="66"/>
      <c r="BF5" s="63"/>
      <c r="BG5" s="66"/>
      <c r="BH5" s="63"/>
      <c r="BI5" s="63"/>
      <c r="BJ5" s="63"/>
      <c r="BK5" s="63"/>
      <c r="BL5" s="63"/>
      <c r="BM5" s="63">
        <v>18.335570000000001</v>
      </c>
      <c r="BN5" s="63">
        <v>97.144188278718516</v>
      </c>
      <c r="BO5" s="63">
        <v>22.661262072649173</v>
      </c>
      <c r="BP5" s="63">
        <v>22.661262072649173</v>
      </c>
      <c r="BQ5" s="63">
        <v>10.283023551968087</v>
      </c>
      <c r="BR5" s="66"/>
      <c r="BS5" s="63"/>
      <c r="BT5" s="66"/>
      <c r="BU5" s="63"/>
      <c r="BV5" s="63"/>
      <c r="BW5" s="63"/>
      <c r="BX5" s="63">
        <v>138</v>
      </c>
      <c r="BY5" s="63">
        <v>19.150799251482116</v>
      </c>
      <c r="BZ5" s="63">
        <v>19.150799251482116</v>
      </c>
      <c r="CA5" s="63">
        <v>8.6900773271442908</v>
      </c>
      <c r="CB5" s="66"/>
      <c r="CC5" s="63"/>
      <c r="CD5" s="66"/>
      <c r="CE5" s="63"/>
      <c r="CF5" s="63"/>
      <c r="CG5" s="63"/>
      <c r="CH5" s="63">
        <v>138</v>
      </c>
      <c r="CI5" s="63">
        <v>19.150799251482116</v>
      </c>
      <c r="CJ5" s="63">
        <v>19.150799251482116</v>
      </c>
      <c r="CK5" s="63">
        <v>8.6900773271442908</v>
      </c>
      <c r="CL5" s="66"/>
      <c r="CM5" s="63"/>
      <c r="CN5" s="66"/>
      <c r="CO5" s="63"/>
      <c r="CP5" s="63"/>
      <c r="CQ5" s="63"/>
      <c r="CR5" s="67">
        <v>2552</v>
      </c>
      <c r="CS5" s="61">
        <v>27.4</v>
      </c>
      <c r="CT5" s="63">
        <v>3048.5626798023109</v>
      </c>
      <c r="CU5" s="61"/>
      <c r="CV5" s="61"/>
      <c r="CW5" s="68">
        <v>43859.647638888891</v>
      </c>
      <c r="CX5" s="69">
        <v>0</v>
      </c>
      <c r="CY5" s="69"/>
      <c r="CZ5" s="69">
        <v>0</v>
      </c>
      <c r="DA5" s="69"/>
      <c r="DB5" s="68">
        <v>43859</v>
      </c>
      <c r="DC5" s="68">
        <v>43837</v>
      </c>
      <c r="DD5" s="82">
        <v>1637</v>
      </c>
      <c r="DE5" s="62">
        <v>250</v>
      </c>
      <c r="DF5" s="61"/>
      <c r="DG5" s="69">
        <v>1</v>
      </c>
      <c r="DH5" s="61" t="s">
        <v>7</v>
      </c>
      <c r="DI5" s="69" t="s">
        <v>15</v>
      </c>
      <c r="DJ5" s="70" t="s">
        <v>8</v>
      </c>
      <c r="DK5" s="69" t="s">
        <v>8</v>
      </c>
      <c r="DL5" s="69" t="s">
        <v>8</v>
      </c>
      <c r="DM5" s="68">
        <v>42586</v>
      </c>
      <c r="DN5" s="69" t="s">
        <v>9</v>
      </c>
      <c r="DO5" s="74">
        <v>138</v>
      </c>
      <c r="DP5" s="69" t="s">
        <v>10</v>
      </c>
      <c r="DQ5" s="69">
        <v>4</v>
      </c>
      <c r="DR5" s="71">
        <v>0.95022336832165033</v>
      </c>
      <c r="DS5" s="62">
        <v>3857.68</v>
      </c>
      <c r="DT5" s="62" t="s">
        <v>11</v>
      </c>
      <c r="DU5" s="62">
        <v>99.2</v>
      </c>
      <c r="DV5" s="62">
        <v>4481</v>
      </c>
      <c r="DW5" s="69"/>
      <c r="DX5" s="69"/>
      <c r="DY5" s="69"/>
      <c r="DZ5" s="69"/>
      <c r="EA5" s="69"/>
      <c r="EB5" s="69"/>
      <c r="EC5" s="61"/>
      <c r="ED5" s="61"/>
      <c r="EE5" s="62"/>
      <c r="EF5" s="69"/>
      <c r="EG5" s="71"/>
      <c r="EH5" s="64">
        <v>0</v>
      </c>
      <c r="EI5" s="69"/>
      <c r="EJ5" s="69" t="s">
        <v>12</v>
      </c>
      <c r="EK5" s="69" t="s">
        <v>13</v>
      </c>
      <c r="EL5" s="69"/>
      <c r="EM5" s="72"/>
      <c r="EN5" s="67">
        <v>450</v>
      </c>
      <c r="EO5" s="63">
        <v>511.21548792592705</v>
      </c>
      <c r="EP5" s="69"/>
      <c r="EQ5" s="69"/>
      <c r="ER5" s="63">
        <v>97.144188278718516</v>
      </c>
      <c r="ES5" s="63">
        <v>22.661262072649173</v>
      </c>
      <c r="ET5" s="63">
        <v>22.661262072649173</v>
      </c>
      <c r="EU5" s="63">
        <v>10.283023551968087</v>
      </c>
      <c r="EV5" s="63">
        <v>1.5933089019680864</v>
      </c>
      <c r="EW5" s="63"/>
      <c r="EX5" s="63"/>
      <c r="EY5" s="63">
        <v>7.9925148211756891E-4</v>
      </c>
      <c r="EZ5" s="63">
        <v>7.9925148211756891E-4</v>
      </c>
      <c r="FA5" s="63">
        <v>-452.32506083967684</v>
      </c>
      <c r="FB5" s="63">
        <v>-19.149999999999999</v>
      </c>
      <c r="FC5" s="63">
        <v>-19.149999999999999</v>
      </c>
      <c r="FD5" s="63">
        <v>-461.01513816682115</v>
      </c>
      <c r="FE5" s="79">
        <v>305.35000000000002</v>
      </c>
      <c r="FF5" s="80">
        <v>0</v>
      </c>
      <c r="FG5" s="80"/>
      <c r="FH5" s="81">
        <v>192.14</v>
      </c>
      <c r="FI5" s="84">
        <v>1</v>
      </c>
      <c r="FJ5" s="84"/>
      <c r="FK5" s="84"/>
      <c r="FL5" s="62">
        <v>19.149999999999999</v>
      </c>
      <c r="FM5" s="63">
        <v>42.85</v>
      </c>
      <c r="FN5" s="63">
        <v>8.6897146500000009</v>
      </c>
      <c r="FO5" s="83">
        <v>4006.09</v>
      </c>
      <c r="FP5" s="63">
        <v>461.01513816682115</v>
      </c>
      <c r="FQ5" s="63" t="s">
        <v>14</v>
      </c>
      <c r="FR5" s="85"/>
      <c r="FS5" s="86"/>
      <c r="FT5" s="63"/>
      <c r="FU5" s="63"/>
      <c r="FV5" s="85"/>
      <c r="FW5" s="86"/>
      <c r="FX5" s="63"/>
    </row>
    <row r="6" spans="1:180" x14ac:dyDescent="0.35">
      <c r="J6">
        <f>(89-2*6.5)/1000</f>
        <v>7.5999999999999998E-2</v>
      </c>
    </row>
    <row r="8" spans="1:180" x14ac:dyDescent="0.35">
      <c r="A8" t="s">
        <v>189</v>
      </c>
      <c r="B8" t="s">
        <v>190</v>
      </c>
      <c r="C8" t="s">
        <v>191</v>
      </c>
      <c r="F8" s="225" t="s">
        <v>235</v>
      </c>
      <c r="G8" s="225" t="s">
        <v>235</v>
      </c>
      <c r="H8" s="225" t="s">
        <v>235</v>
      </c>
      <c r="I8" s="225" t="s">
        <v>235</v>
      </c>
      <c r="J8" s="225" t="s">
        <v>235</v>
      </c>
      <c r="K8" s="225" t="s">
        <v>235</v>
      </c>
      <c r="L8" s="225" t="s">
        <v>235</v>
      </c>
      <c r="M8" s="225" t="s">
        <v>235</v>
      </c>
    </row>
    <row r="9" spans="1:180" x14ac:dyDescent="0.35">
      <c r="A9" t="s">
        <v>192</v>
      </c>
      <c r="B9">
        <v>0.7</v>
      </c>
      <c r="F9" s="225" t="s">
        <v>235</v>
      </c>
      <c r="G9" s="225" t="s">
        <v>235</v>
      </c>
      <c r="H9" s="225" t="s">
        <v>235</v>
      </c>
      <c r="I9" s="225" t="s">
        <v>235</v>
      </c>
      <c r="J9" s="225" t="s">
        <v>235</v>
      </c>
      <c r="K9" s="225" t="s">
        <v>235</v>
      </c>
      <c r="L9" s="225" t="s">
        <v>235</v>
      </c>
      <c r="M9" s="225" t="s">
        <v>235</v>
      </c>
    </row>
    <row r="10" spans="1:180" x14ac:dyDescent="0.35">
      <c r="A10" t="s">
        <v>193</v>
      </c>
      <c r="B10">
        <f>J6</f>
        <v>7.5999999999999998E-2</v>
      </c>
      <c r="C10" t="s">
        <v>167</v>
      </c>
      <c r="F10" s="225" t="s">
        <v>235</v>
      </c>
      <c r="G10" s="225" t="s">
        <v>235</v>
      </c>
      <c r="H10" s="225" t="s">
        <v>235</v>
      </c>
      <c r="I10" s="225" t="s">
        <v>235</v>
      </c>
      <c r="J10" s="225" t="s">
        <v>235</v>
      </c>
      <c r="K10" s="225" t="s">
        <v>235</v>
      </c>
      <c r="L10" s="225" t="s">
        <v>235</v>
      </c>
      <c r="M10" s="225" t="s">
        <v>235</v>
      </c>
    </row>
    <row r="11" spans="1:180" x14ac:dyDescent="0.35">
      <c r="A11" t="s">
        <v>194</v>
      </c>
      <c r="B11" s="217">
        <f>K5</f>
        <v>10</v>
      </c>
      <c r="C11" t="s">
        <v>167</v>
      </c>
      <c r="F11" s="225" t="s">
        <v>235</v>
      </c>
      <c r="G11" s="225" t="s">
        <v>235</v>
      </c>
      <c r="H11" s="225" t="s">
        <v>235</v>
      </c>
      <c r="I11" s="225" t="s">
        <v>235</v>
      </c>
      <c r="J11" s="225" t="s">
        <v>235</v>
      </c>
      <c r="K11" s="225" t="s">
        <v>235</v>
      </c>
      <c r="L11" s="225" t="s">
        <v>235</v>
      </c>
      <c r="M11" s="225" t="s">
        <v>235</v>
      </c>
    </row>
    <row r="12" spans="1:180" x14ac:dyDescent="0.35">
      <c r="A12" t="s">
        <v>195</v>
      </c>
      <c r="B12" s="217">
        <f>L5</f>
        <v>3857.7</v>
      </c>
      <c r="C12" t="s">
        <v>168</v>
      </c>
      <c r="F12" s="225" t="s">
        <v>235</v>
      </c>
      <c r="G12" s="225" t="s">
        <v>235</v>
      </c>
      <c r="H12" s="225" t="s">
        <v>235</v>
      </c>
      <c r="I12" s="225" t="s">
        <v>235</v>
      </c>
      <c r="J12" s="225" t="s">
        <v>235</v>
      </c>
      <c r="K12" s="225" t="s">
        <v>235</v>
      </c>
      <c r="L12" s="225" t="s">
        <v>235</v>
      </c>
      <c r="M12" s="225" t="s">
        <v>235</v>
      </c>
    </row>
    <row r="13" spans="1:180" x14ac:dyDescent="0.35">
      <c r="A13" t="s">
        <v>196</v>
      </c>
      <c r="B13" s="217">
        <v>57</v>
      </c>
      <c r="C13" t="s">
        <v>171</v>
      </c>
      <c r="F13" s="225" t="s">
        <v>235</v>
      </c>
      <c r="G13" s="225" t="s">
        <v>235</v>
      </c>
      <c r="H13" s="225" t="s">
        <v>235</v>
      </c>
      <c r="I13" s="225" t="s">
        <v>235</v>
      </c>
      <c r="J13" s="225" t="s">
        <v>235</v>
      </c>
      <c r="K13" s="225" t="s">
        <v>235</v>
      </c>
      <c r="L13" s="225" t="s">
        <v>235</v>
      </c>
      <c r="M13" s="225" t="s">
        <v>235</v>
      </c>
    </row>
    <row r="14" spans="1:180" x14ac:dyDescent="0.35">
      <c r="A14" t="s">
        <v>197</v>
      </c>
      <c r="B14" s="217">
        <v>24</v>
      </c>
      <c r="C14" t="s">
        <v>171</v>
      </c>
      <c r="F14" s="225" t="s">
        <v>235</v>
      </c>
      <c r="G14" s="225" t="s">
        <v>235</v>
      </c>
      <c r="H14" s="225" t="s">
        <v>235</v>
      </c>
      <c r="I14" s="225" t="s">
        <v>235</v>
      </c>
      <c r="J14" s="225" t="s">
        <v>235</v>
      </c>
      <c r="K14" s="225" t="s">
        <v>235</v>
      </c>
      <c r="L14" s="225" t="s">
        <v>235</v>
      </c>
      <c r="M14" s="225" t="s">
        <v>235</v>
      </c>
    </row>
    <row r="15" spans="1:180" x14ac:dyDescent="0.35">
      <c r="A15" t="s">
        <v>198</v>
      </c>
      <c r="B15" s="217">
        <v>299</v>
      </c>
      <c r="C15" t="s">
        <v>171</v>
      </c>
      <c r="F15" s="225" t="s">
        <v>235</v>
      </c>
      <c r="G15" s="225" t="s">
        <v>235</v>
      </c>
      <c r="H15" s="225" t="s">
        <v>235</v>
      </c>
      <c r="I15" s="225" t="s">
        <v>235</v>
      </c>
      <c r="J15" s="225" t="s">
        <v>235</v>
      </c>
      <c r="K15" s="225" t="s">
        <v>235</v>
      </c>
      <c r="L15" s="225" t="s">
        <v>235</v>
      </c>
      <c r="M15" s="225" t="s">
        <v>235</v>
      </c>
    </row>
    <row r="16" spans="1:180" x14ac:dyDescent="0.35">
      <c r="A16" t="s">
        <v>199</v>
      </c>
      <c r="B16" s="217">
        <v>213</v>
      </c>
      <c r="C16" t="s">
        <v>171</v>
      </c>
      <c r="F16" s="225" t="s">
        <v>235</v>
      </c>
      <c r="G16" s="225" t="s">
        <v>235</v>
      </c>
      <c r="H16" s="225" t="s">
        <v>235</v>
      </c>
      <c r="I16" s="225" t="s">
        <v>235</v>
      </c>
      <c r="J16" s="225" t="s">
        <v>235</v>
      </c>
      <c r="K16" s="225" t="s">
        <v>235</v>
      </c>
      <c r="L16" s="225" t="s">
        <v>235</v>
      </c>
      <c r="M16" s="225" t="s">
        <v>235</v>
      </c>
    </row>
    <row r="17" spans="1:13" x14ac:dyDescent="0.35">
      <c r="A17" t="s">
        <v>200</v>
      </c>
      <c r="B17" s="217">
        <v>19.149999999999999</v>
      </c>
      <c r="C17" t="s">
        <v>169</v>
      </c>
      <c r="F17" s="225" t="s">
        <v>235</v>
      </c>
      <c r="G17" s="225" t="s">
        <v>235</v>
      </c>
      <c r="H17" s="225" t="s">
        <v>235</v>
      </c>
      <c r="I17" s="225" t="s">
        <v>235</v>
      </c>
      <c r="J17" s="225" t="s">
        <v>235</v>
      </c>
      <c r="K17" s="225" t="s">
        <v>235</v>
      </c>
      <c r="L17" s="225" t="s">
        <v>235</v>
      </c>
      <c r="M17" s="225" t="s">
        <v>235</v>
      </c>
    </row>
    <row r="18" spans="1:13" x14ac:dyDescent="0.35">
      <c r="A18" t="s">
        <v>201</v>
      </c>
      <c r="B18" s="217">
        <v>4006.09</v>
      </c>
      <c r="C18" t="s">
        <v>169</v>
      </c>
      <c r="F18" s="225" t="s">
        <v>235</v>
      </c>
      <c r="G18" s="225" t="s">
        <v>235</v>
      </c>
      <c r="H18" s="225" t="s">
        <v>235</v>
      </c>
      <c r="I18" s="225" t="s">
        <v>235</v>
      </c>
      <c r="J18" s="225" t="s">
        <v>235</v>
      </c>
      <c r="K18" s="225" t="s">
        <v>235</v>
      </c>
      <c r="L18" s="225" t="s">
        <v>235</v>
      </c>
      <c r="M18" s="225" t="s">
        <v>235</v>
      </c>
    </row>
    <row r="19" spans="1:13" x14ac:dyDescent="0.35">
      <c r="A19" t="s">
        <v>202</v>
      </c>
      <c r="B19" s="217">
        <v>461</v>
      </c>
      <c r="C19" t="s">
        <v>174</v>
      </c>
      <c r="D19" s="219"/>
      <c r="E19" s="220"/>
      <c r="F19" s="225" t="s">
        <v>235</v>
      </c>
      <c r="G19" s="225" t="s">
        <v>235</v>
      </c>
      <c r="H19" s="225" t="s">
        <v>235</v>
      </c>
      <c r="I19" s="225" t="s">
        <v>235</v>
      </c>
      <c r="J19" s="225" t="s">
        <v>235</v>
      </c>
      <c r="K19" s="225" t="s">
        <v>235</v>
      </c>
      <c r="L19" s="225" t="s">
        <v>235</v>
      </c>
      <c r="M19" s="225" t="s">
        <v>235</v>
      </c>
    </row>
    <row r="20" spans="1:13" x14ac:dyDescent="0.35">
      <c r="A20" t="s">
        <v>203</v>
      </c>
      <c r="B20" s="217">
        <v>43</v>
      </c>
      <c r="C20" t="s">
        <v>173</v>
      </c>
      <c r="E20" s="220"/>
      <c r="F20" s="225" t="s">
        <v>235</v>
      </c>
      <c r="G20" s="225" t="s">
        <v>235</v>
      </c>
      <c r="H20" s="225" t="s">
        <v>235</v>
      </c>
      <c r="I20" s="225" t="s">
        <v>235</v>
      </c>
      <c r="J20" s="225" t="s">
        <v>235</v>
      </c>
      <c r="K20" s="225" t="s">
        <v>235</v>
      </c>
      <c r="L20" s="225" t="s">
        <v>235</v>
      </c>
      <c r="M20" s="225" t="s">
        <v>235</v>
      </c>
    </row>
    <row r="21" spans="1:13" x14ac:dyDescent="0.35">
      <c r="A21" t="s">
        <v>204</v>
      </c>
      <c r="B21" s="218">
        <v>0.2</v>
      </c>
      <c r="C21" t="s">
        <v>177</v>
      </c>
      <c r="E21" s="220"/>
      <c r="F21" s="225" t="s">
        <v>235</v>
      </c>
      <c r="G21" s="225" t="s">
        <v>235</v>
      </c>
      <c r="H21" s="225" t="s">
        <v>235</v>
      </c>
      <c r="I21" s="225" t="s">
        <v>235</v>
      </c>
      <c r="J21" s="225" t="s">
        <v>235</v>
      </c>
      <c r="K21" s="225" t="s">
        <v>235</v>
      </c>
      <c r="L21" s="225" t="s">
        <v>235</v>
      </c>
      <c r="M21" s="225" t="s">
        <v>235</v>
      </c>
    </row>
    <row r="22" spans="1:13" x14ac:dyDescent="0.35">
      <c r="A22" t="s">
        <v>205</v>
      </c>
      <c r="B22" s="218">
        <v>0.5</v>
      </c>
      <c r="C22" t="s">
        <v>177</v>
      </c>
      <c r="F22" s="225" t="s">
        <v>235</v>
      </c>
      <c r="G22" s="225" t="s">
        <v>235</v>
      </c>
      <c r="H22" s="225" t="s">
        <v>235</v>
      </c>
      <c r="I22" s="225" t="s">
        <v>235</v>
      </c>
      <c r="J22" s="225" t="s">
        <v>235</v>
      </c>
      <c r="K22" s="225" t="s">
        <v>235</v>
      </c>
      <c r="L22" s="225" t="s">
        <v>235</v>
      </c>
      <c r="M22" s="225" t="s">
        <v>235</v>
      </c>
    </row>
    <row r="23" spans="1:13" x14ac:dyDescent="0.35">
      <c r="A23" t="s">
        <v>206</v>
      </c>
      <c r="B23">
        <v>1.5329999999999999</v>
      </c>
      <c r="C23" t="s">
        <v>178</v>
      </c>
      <c r="F23" s="225" t="s">
        <v>235</v>
      </c>
      <c r="G23" s="225" t="s">
        <v>235</v>
      </c>
      <c r="H23" s="225" t="s">
        <v>235</v>
      </c>
      <c r="I23" s="225" t="s">
        <v>235</v>
      </c>
      <c r="J23" s="225" t="s">
        <v>235</v>
      </c>
      <c r="K23" s="225" t="s">
        <v>235</v>
      </c>
      <c r="L23" s="225" t="s">
        <v>235</v>
      </c>
      <c r="M23" s="225" t="s">
        <v>235</v>
      </c>
    </row>
    <row r="24" spans="1:13" x14ac:dyDescent="0.35">
      <c r="A24" t="s">
        <v>207</v>
      </c>
      <c r="B24">
        <v>0.79400000000000004</v>
      </c>
      <c r="C24" t="s">
        <v>179</v>
      </c>
      <c r="F24" s="225" t="s">
        <v>235</v>
      </c>
      <c r="G24" s="225" t="s">
        <v>235</v>
      </c>
      <c r="H24" s="225" t="s">
        <v>235</v>
      </c>
      <c r="I24" s="225" t="s">
        <v>235</v>
      </c>
      <c r="J24" s="225" t="s">
        <v>235</v>
      </c>
      <c r="K24" s="225" t="s">
        <v>235</v>
      </c>
      <c r="L24" s="225" t="s">
        <v>235</v>
      </c>
      <c r="M24" s="225" t="s">
        <v>235</v>
      </c>
    </row>
    <row r="25" spans="1:13" x14ac:dyDescent="0.35">
      <c r="A25" t="s">
        <v>208</v>
      </c>
      <c r="B25">
        <v>1.0089999999999999</v>
      </c>
      <c r="C25" t="s">
        <v>179</v>
      </c>
    </row>
    <row r="26" spans="1:13" x14ac:dyDescent="0.35">
      <c r="A26" t="s">
        <v>209</v>
      </c>
      <c r="B26">
        <v>110</v>
      </c>
      <c r="C26" t="s">
        <v>175</v>
      </c>
    </row>
    <row r="42" spans="1:11" x14ac:dyDescent="0.35"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216</v>
      </c>
      <c r="I42" t="s">
        <v>208</v>
      </c>
      <c r="J42" t="s">
        <v>207</v>
      </c>
      <c r="K42" t="s">
        <v>217</v>
      </c>
    </row>
    <row r="43" spans="1:11" x14ac:dyDescent="0.35">
      <c r="A43" t="s">
        <v>218</v>
      </c>
      <c r="B43">
        <v>30.667415744584186</v>
      </c>
      <c r="C43">
        <v>78.977662426264118</v>
      </c>
      <c r="D43">
        <v>1.242997379694734E-2</v>
      </c>
      <c r="E43">
        <v>1.0522652378595934</v>
      </c>
      <c r="F43">
        <v>2.7438527256894534</v>
      </c>
      <c r="G43">
        <v>0.17036944258571898</v>
      </c>
      <c r="H43">
        <v>59.579990486091035</v>
      </c>
      <c r="I43">
        <v>1008.0796695859193</v>
      </c>
      <c r="J43">
        <v>746.20857583690429</v>
      </c>
      <c r="K43">
        <v>244.11137319960213</v>
      </c>
    </row>
    <row r="44" spans="1:11" x14ac:dyDescent="0.35">
      <c r="A44" t="s">
        <v>219</v>
      </c>
      <c r="B44">
        <v>42.71770922118003</v>
      </c>
      <c r="C44">
        <v>79.458365714597875</v>
      </c>
      <c r="D44">
        <v>1.242997379694734E-2</v>
      </c>
      <c r="E44">
        <v>1.0522652378595934</v>
      </c>
      <c r="F44">
        <v>1.3915985510928925</v>
      </c>
      <c r="G44">
        <v>0.15824538419052975</v>
      </c>
      <c r="H44">
        <v>59.579990486091035</v>
      </c>
      <c r="I44">
        <v>1008.0796695859193</v>
      </c>
      <c r="J44">
        <v>716.55200660484832</v>
      </c>
      <c r="K44">
        <v>251.98409556752449</v>
      </c>
    </row>
    <row r="46" spans="1:11" x14ac:dyDescent="0.35">
      <c r="B46" t="s">
        <v>218</v>
      </c>
      <c r="C46" t="s">
        <v>219</v>
      </c>
    </row>
    <row r="47" spans="1:11" x14ac:dyDescent="0.35">
      <c r="A47" t="s">
        <v>210</v>
      </c>
      <c r="B47">
        <v>30.667415744584186</v>
      </c>
      <c r="C47">
        <v>42.71770922118003</v>
      </c>
    </row>
    <row r="48" spans="1:11" x14ac:dyDescent="0.35">
      <c r="A48" t="s">
        <v>211</v>
      </c>
      <c r="B48">
        <v>78.977662426264118</v>
      </c>
      <c r="C48">
        <v>79.458365714597875</v>
      </c>
    </row>
    <row r="49" spans="1:17" x14ac:dyDescent="0.35">
      <c r="A49" t="s">
        <v>212</v>
      </c>
      <c r="B49">
        <v>1.242997379694734E-2</v>
      </c>
      <c r="C49">
        <v>1.242997379694734E-2</v>
      </c>
    </row>
    <row r="50" spans="1:17" x14ac:dyDescent="0.35">
      <c r="A50" t="s">
        <v>213</v>
      </c>
      <c r="B50">
        <v>1.0522652378595934</v>
      </c>
      <c r="C50">
        <v>1.0522652378595934</v>
      </c>
    </row>
    <row r="51" spans="1:17" x14ac:dyDescent="0.35">
      <c r="A51" t="s">
        <v>214</v>
      </c>
      <c r="B51">
        <v>2.7438527256894534</v>
      </c>
      <c r="C51">
        <v>1.3915985510928925</v>
      </c>
    </row>
    <row r="52" spans="1:17" x14ac:dyDescent="0.35">
      <c r="A52" t="s">
        <v>215</v>
      </c>
      <c r="B52">
        <v>0.17036944258571898</v>
      </c>
      <c r="C52">
        <v>0.15824538419052975</v>
      </c>
    </row>
    <row r="53" spans="1:17" x14ac:dyDescent="0.35">
      <c r="A53" t="s">
        <v>216</v>
      </c>
      <c r="B53">
        <v>59.579990486091035</v>
      </c>
      <c r="C53">
        <v>59.579990486091035</v>
      </c>
    </row>
    <row r="54" spans="1:17" x14ac:dyDescent="0.35">
      <c r="A54" t="s">
        <v>208</v>
      </c>
      <c r="B54">
        <v>1008.0796695859193</v>
      </c>
      <c r="C54">
        <v>1008.0796695859193</v>
      </c>
    </row>
    <row r="55" spans="1:17" x14ac:dyDescent="0.35">
      <c r="A55" t="s">
        <v>207</v>
      </c>
      <c r="B55">
        <v>746.20857583690429</v>
      </c>
      <c r="C55">
        <v>716.55200660484832</v>
      </c>
    </row>
    <row r="56" spans="1:17" x14ac:dyDescent="0.35">
      <c r="A56" t="s">
        <v>217</v>
      </c>
      <c r="B56">
        <v>244.11137319960213</v>
      </c>
      <c r="C56">
        <v>251.98409556752449</v>
      </c>
    </row>
    <row r="58" spans="1:17" x14ac:dyDescent="0.35">
      <c r="I58">
        <v>246.51532539726489</v>
      </c>
      <c r="J58">
        <v>110</v>
      </c>
      <c r="K58">
        <v>24</v>
      </c>
      <c r="L58">
        <v>20</v>
      </c>
      <c r="M58">
        <v>246.51532539726489</v>
      </c>
      <c r="N58">
        <v>110</v>
      </c>
      <c r="O58">
        <v>1</v>
      </c>
      <c r="P58">
        <v>1</v>
      </c>
      <c r="Q58">
        <v>5032.0455000000002</v>
      </c>
    </row>
    <row r="59" spans="1:17" x14ac:dyDescent="0.35">
      <c r="A59" s="222" t="s">
        <v>237</v>
      </c>
      <c r="B59" t="s">
        <v>238</v>
      </c>
      <c r="I59" t="s">
        <v>239</v>
      </c>
      <c r="J59" t="s">
        <v>240</v>
      </c>
      <c r="K59" t="s">
        <v>241</v>
      </c>
      <c r="L59" t="s">
        <v>242</v>
      </c>
      <c r="M59" t="s">
        <v>243</v>
      </c>
      <c r="N59" t="s">
        <v>244</v>
      </c>
      <c r="O59" t="s">
        <v>245</v>
      </c>
      <c r="P59" t="s">
        <v>246</v>
      </c>
      <c r="Q59" t="s">
        <v>247</v>
      </c>
    </row>
    <row r="60" spans="1:17" x14ac:dyDescent="0.35">
      <c r="A60">
        <v>0</v>
      </c>
      <c r="B60">
        <v>319.57618821806324</v>
      </c>
      <c r="I60" t="s">
        <v>248</v>
      </c>
      <c r="J60" t="s">
        <v>249</v>
      </c>
      <c r="K60" t="s">
        <v>250</v>
      </c>
      <c r="L60" t="s">
        <v>251</v>
      </c>
      <c r="M60" t="s">
        <v>252</v>
      </c>
      <c r="N60" t="s">
        <v>253</v>
      </c>
      <c r="O60" t="s">
        <v>254</v>
      </c>
      <c r="P60" t="s">
        <v>255</v>
      </c>
      <c r="Q60" t="s">
        <v>256</v>
      </c>
    </row>
    <row r="61" spans="1:17" x14ac:dyDescent="0.35">
      <c r="A61">
        <v>10</v>
      </c>
      <c r="B61">
        <v>274.87410966241339</v>
      </c>
      <c r="I61">
        <v>1</v>
      </c>
      <c r="J61">
        <v>0</v>
      </c>
      <c r="K61">
        <v>0</v>
      </c>
      <c r="L61">
        <v>24</v>
      </c>
      <c r="M61">
        <v>20</v>
      </c>
      <c r="N61">
        <v>0.36915607313280396</v>
      </c>
      <c r="O61">
        <v>103</v>
      </c>
      <c r="P61">
        <v>20</v>
      </c>
      <c r="Q61">
        <v>7.5999999999999998E-2</v>
      </c>
    </row>
    <row r="62" spans="1:17" x14ac:dyDescent="0.35">
      <c r="A62">
        <v>20</v>
      </c>
      <c r="B62">
        <v>246.21894253146144</v>
      </c>
      <c r="I62">
        <v>2</v>
      </c>
      <c r="J62">
        <v>203.05263157894737</v>
      </c>
      <c r="K62">
        <v>203.05263157894737</v>
      </c>
      <c r="L62">
        <v>30.575505237330287</v>
      </c>
      <c r="M62">
        <v>24.736842105263158</v>
      </c>
      <c r="N62">
        <v>0.50508263783224028</v>
      </c>
      <c r="O62">
        <v>103</v>
      </c>
      <c r="P62">
        <v>24.736842105263158</v>
      </c>
      <c r="Q62">
        <v>7.5999999999999998E-2</v>
      </c>
    </row>
    <row r="63" spans="1:17" x14ac:dyDescent="0.35">
      <c r="A63">
        <v>30</v>
      </c>
      <c r="B63">
        <v>225.39420294997353</v>
      </c>
      <c r="I63">
        <v>3</v>
      </c>
      <c r="J63">
        <v>406.10526315789474</v>
      </c>
      <c r="K63">
        <v>406.10526315789474</v>
      </c>
      <c r="L63">
        <v>39.239173016732529</v>
      </c>
      <c r="M63">
        <v>29.473684210526315</v>
      </c>
      <c r="N63">
        <v>0.55939287144479544</v>
      </c>
      <c r="O63">
        <v>103</v>
      </c>
      <c r="P63">
        <v>29.473684210526315</v>
      </c>
      <c r="Q63">
        <v>7.5999999999999998E-2</v>
      </c>
    </row>
    <row r="64" spans="1:17" x14ac:dyDescent="0.35">
      <c r="A64">
        <v>40</v>
      </c>
      <c r="B64">
        <v>212.17378568182306</v>
      </c>
      <c r="I64">
        <v>4</v>
      </c>
      <c r="J64">
        <v>609.15789473684208</v>
      </c>
      <c r="K64">
        <v>609.15789473684208</v>
      </c>
      <c r="L64">
        <v>48.85371238975533</v>
      </c>
      <c r="M64">
        <v>34.210526315789473</v>
      </c>
      <c r="N64">
        <v>0.60868257290691119</v>
      </c>
      <c r="O64">
        <v>103</v>
      </c>
      <c r="P64">
        <v>34.210526315789473</v>
      </c>
      <c r="Q64">
        <v>7.5999999999999998E-2</v>
      </c>
    </row>
    <row r="65" spans="1:17" x14ac:dyDescent="0.35">
      <c r="A65">
        <v>50</v>
      </c>
      <c r="B65">
        <v>205.87620578742803</v>
      </c>
      <c r="I65">
        <v>5</v>
      </c>
      <c r="J65">
        <v>812.21052631578948</v>
      </c>
      <c r="K65">
        <v>812.21052631578948</v>
      </c>
      <c r="L65">
        <v>59.277319365522203</v>
      </c>
      <c r="M65">
        <v>38.94736842105263</v>
      </c>
      <c r="N65">
        <v>0.65209688289945644</v>
      </c>
      <c r="O65">
        <v>103</v>
      </c>
      <c r="P65">
        <v>38.94736842105263</v>
      </c>
      <c r="Q65">
        <v>7.5999999999999998E-2</v>
      </c>
    </row>
    <row r="66" spans="1:17" x14ac:dyDescent="0.35">
      <c r="A66">
        <v>60</v>
      </c>
      <c r="B66">
        <v>205.78693403351497</v>
      </c>
      <c r="I66">
        <v>6</v>
      </c>
      <c r="J66">
        <v>1015.2631578947369</v>
      </c>
      <c r="K66">
        <v>1015.2631578947369</v>
      </c>
      <c r="L66">
        <v>70.365782121302558</v>
      </c>
      <c r="M66">
        <v>43.684210526315788</v>
      </c>
      <c r="N66">
        <v>0.68941143316781339</v>
      </c>
      <c r="O66">
        <v>103</v>
      </c>
      <c r="P66">
        <v>43.684210526315788</v>
      </c>
      <c r="Q66">
        <v>7.5999999999999998E-2</v>
      </c>
    </row>
    <row r="67" spans="1:17" x14ac:dyDescent="0.35">
      <c r="A67">
        <v>70</v>
      </c>
      <c r="B67">
        <v>211.44854147939267</v>
      </c>
      <c r="I67">
        <v>7</v>
      </c>
      <c r="J67">
        <v>1218.3157894736842</v>
      </c>
      <c r="K67">
        <v>1218.3157894736842</v>
      </c>
      <c r="L67">
        <v>81.982641821402069</v>
      </c>
      <c r="M67">
        <v>48.421052631578945</v>
      </c>
      <c r="N67">
        <v>0.720840689036644</v>
      </c>
      <c r="O67">
        <v>103</v>
      </c>
      <c r="P67">
        <v>48.421052631578945</v>
      </c>
      <c r="Q67">
        <v>7.5999999999999998E-2</v>
      </c>
    </row>
    <row r="68" spans="1:17" x14ac:dyDescent="0.35">
      <c r="A68">
        <v>80</v>
      </c>
      <c r="B68">
        <v>221.31982610597433</v>
      </c>
      <c r="I68">
        <v>8</v>
      </c>
      <c r="J68">
        <v>1421.3684210526317</v>
      </c>
      <c r="K68">
        <v>1421.3684210526317</v>
      </c>
      <c r="L68">
        <v>94.00653011826067</v>
      </c>
      <c r="M68">
        <v>53.15789473684211</v>
      </c>
      <c r="N68">
        <v>0.74696680158719764</v>
      </c>
      <c r="O68">
        <v>103</v>
      </c>
      <c r="P68">
        <v>53.15789473684211</v>
      </c>
      <c r="Q68">
        <v>7.5999999999999998E-2</v>
      </c>
    </row>
    <row r="69" spans="1:17" x14ac:dyDescent="0.35">
      <c r="A69">
        <v>90</v>
      </c>
      <c r="B69">
        <v>230.34929436029617</v>
      </c>
      <c r="I69">
        <v>9</v>
      </c>
      <c r="J69">
        <v>1624.421052631579</v>
      </c>
      <c r="K69">
        <v>1624.421052631579</v>
      </c>
      <c r="L69">
        <v>106.3350023773509</v>
      </c>
      <c r="M69">
        <v>57.89473684210526</v>
      </c>
      <c r="N69">
        <v>0.76854424978707159</v>
      </c>
      <c r="O69">
        <v>103</v>
      </c>
      <c r="P69">
        <v>57.89473684210526</v>
      </c>
      <c r="Q69">
        <v>7.5999999999999998E-2</v>
      </c>
    </row>
    <row r="70" spans="1:17" x14ac:dyDescent="0.35">
      <c r="A70">
        <v>100</v>
      </c>
      <c r="B70">
        <v>239.19541956476115</v>
      </c>
      <c r="I70">
        <v>10</v>
      </c>
      <c r="J70">
        <v>1827.4736842105262</v>
      </c>
      <c r="K70">
        <v>1827.4736842105262</v>
      </c>
      <c r="L70">
        <v>118.88502890799123</v>
      </c>
      <c r="M70">
        <v>62.631578947368418</v>
      </c>
      <c r="N70">
        <v>0.78635940343530775</v>
      </c>
      <c r="O70">
        <v>103</v>
      </c>
      <c r="P70">
        <v>62.631578947368418</v>
      </c>
      <c r="Q70">
        <v>7.5999999999999998E-2</v>
      </c>
    </row>
    <row r="71" spans="1:17" x14ac:dyDescent="0.35">
      <c r="A71">
        <v>110</v>
      </c>
      <c r="B71">
        <v>247.95454560893344</v>
      </c>
      <c r="I71">
        <v>11</v>
      </c>
      <c r="J71">
        <v>2030.5263157894738</v>
      </c>
      <c r="K71">
        <v>2030.5263157894738</v>
      </c>
      <c r="L71">
        <v>131.59134642342426</v>
      </c>
      <c r="M71">
        <v>67.368421052631575</v>
      </c>
      <c r="N71">
        <v>0.80113713243282569</v>
      </c>
      <c r="O71">
        <v>103</v>
      </c>
      <c r="P71">
        <v>67.368421052631575</v>
      </c>
      <c r="Q71">
        <v>7.5999999999999998E-2</v>
      </c>
    </row>
    <row r="72" spans="1:17" x14ac:dyDescent="0.35">
      <c r="A72">
        <v>120</v>
      </c>
      <c r="B72">
        <v>256.50450796221855</v>
      </c>
      <c r="I72">
        <v>12</v>
      </c>
      <c r="J72">
        <v>2233.5789473684213</v>
      </c>
      <c r="K72">
        <v>2233.5789473684213</v>
      </c>
      <c r="L72">
        <v>144.40374532896166</v>
      </c>
      <c r="M72">
        <v>72.105263157894754</v>
      </c>
      <c r="N72">
        <v>0.81349569083475948</v>
      </c>
      <c r="O72">
        <v>103</v>
      </c>
      <c r="P72">
        <v>72.105263157894754</v>
      </c>
      <c r="Q72">
        <v>7.5999999999999998E-2</v>
      </c>
    </row>
    <row r="73" spans="1:17" x14ac:dyDescent="0.35">
      <c r="A73">
        <v>130</v>
      </c>
      <c r="B73">
        <v>263.99865561353874</v>
      </c>
      <c r="I73">
        <v>13</v>
      </c>
      <c r="J73">
        <v>2436.6315789473683</v>
      </c>
      <c r="K73">
        <v>2436.6315789473683</v>
      </c>
      <c r="L73">
        <v>157.20372664891892</v>
      </c>
      <c r="M73">
        <v>76.84210526315789</v>
      </c>
      <c r="N73">
        <v>0.79436213222705221</v>
      </c>
      <c r="O73">
        <v>102</v>
      </c>
      <c r="P73">
        <v>76.84210526315789</v>
      </c>
      <c r="Q73">
        <v>7.5999999999999998E-2</v>
      </c>
    </row>
    <row r="74" spans="1:17" x14ac:dyDescent="0.35">
      <c r="A74">
        <v>140</v>
      </c>
      <c r="B74">
        <v>271.01756176875739</v>
      </c>
      <c r="I74">
        <v>14</v>
      </c>
      <c r="J74">
        <v>2639.6842105263158</v>
      </c>
      <c r="K74">
        <v>2639.6842105263158</v>
      </c>
      <c r="L74">
        <v>169.91730402989143</v>
      </c>
      <c r="M74">
        <v>81.578947368421055</v>
      </c>
      <c r="N74">
        <v>0.80435109374405456</v>
      </c>
      <c r="O74">
        <v>102</v>
      </c>
      <c r="P74">
        <v>81.578947368421055</v>
      </c>
      <c r="Q74">
        <v>7.5999999999999998E-2</v>
      </c>
    </row>
    <row r="75" spans="1:17" x14ac:dyDescent="0.35">
      <c r="A75">
        <v>150</v>
      </c>
      <c r="B75">
        <v>277.89661905696272</v>
      </c>
      <c r="I75">
        <v>15</v>
      </c>
      <c r="J75">
        <v>2842.7368421052633</v>
      </c>
      <c r="K75">
        <v>2842.7368421052633</v>
      </c>
      <c r="L75">
        <v>182.65810338087257</v>
      </c>
      <c r="M75">
        <v>86.31578947368422</v>
      </c>
      <c r="N75">
        <v>0.81299001308021412</v>
      </c>
      <c r="O75">
        <v>102</v>
      </c>
      <c r="P75">
        <v>86.31578947368422</v>
      </c>
      <c r="Q75">
        <v>7.5999999999999998E-2</v>
      </c>
    </row>
    <row r="76" spans="1:17" x14ac:dyDescent="0.35">
      <c r="A76">
        <v>160</v>
      </c>
      <c r="B76">
        <v>284.63866403171778</v>
      </c>
      <c r="I76">
        <v>16</v>
      </c>
      <c r="J76">
        <v>3045.7894736842104</v>
      </c>
      <c r="K76">
        <v>3045.7894736842104</v>
      </c>
      <c r="L76">
        <v>195.4091592524766</v>
      </c>
      <c r="M76">
        <v>91.05263157894737</v>
      </c>
      <c r="N76">
        <v>0.8205365496204412</v>
      </c>
      <c r="O76">
        <v>102</v>
      </c>
      <c r="P76">
        <v>91.05263157894737</v>
      </c>
      <c r="Q76">
        <v>7.5999999999999998E-2</v>
      </c>
    </row>
    <row r="77" spans="1:17" x14ac:dyDescent="0.35">
      <c r="A77">
        <v>170</v>
      </c>
      <c r="B77">
        <v>291.25097274875276</v>
      </c>
      <c r="I77">
        <v>17</v>
      </c>
      <c r="J77">
        <v>3248.8421052631579</v>
      </c>
      <c r="K77">
        <v>3248.8421052631579</v>
      </c>
      <c r="L77">
        <v>208.16501554741427</v>
      </c>
      <c r="M77">
        <v>95.789473684210535</v>
      </c>
      <c r="N77">
        <v>0.82553255095692257</v>
      </c>
      <c r="O77">
        <v>102</v>
      </c>
      <c r="P77">
        <v>95.789473684210535</v>
      </c>
      <c r="Q77">
        <v>7.5999999999999998E-2</v>
      </c>
    </row>
    <row r="78" spans="1:17" x14ac:dyDescent="0.35">
      <c r="A78">
        <v>180</v>
      </c>
      <c r="B78">
        <v>297.73687897161409</v>
      </c>
      <c r="I78">
        <v>18</v>
      </c>
      <c r="J78">
        <v>3451.8947368421054</v>
      </c>
      <c r="K78">
        <v>3451.8947368421054</v>
      </c>
      <c r="L78">
        <v>220.9384209620039</v>
      </c>
      <c r="M78">
        <v>100.52631578947368</v>
      </c>
      <c r="N78">
        <v>0.82877416329825149</v>
      </c>
      <c r="O78">
        <v>102</v>
      </c>
      <c r="P78">
        <v>100.52631578947368</v>
      </c>
      <c r="Q78">
        <v>7.5999999999999998E-2</v>
      </c>
    </row>
    <row r="79" spans="1:17" x14ac:dyDescent="0.35">
      <c r="A79">
        <v>190</v>
      </c>
      <c r="B79">
        <v>304.1088725684919</v>
      </c>
      <c r="I79">
        <v>19</v>
      </c>
      <c r="J79">
        <v>3654.9473684210525</v>
      </c>
      <c r="K79">
        <v>3654.9473684210525</v>
      </c>
      <c r="L79">
        <v>233.72423989573278</v>
      </c>
      <c r="M79">
        <v>105.26315789473684</v>
      </c>
      <c r="N79">
        <v>0.83157627589996563</v>
      </c>
      <c r="O79">
        <v>102</v>
      </c>
      <c r="P79">
        <v>105.26315789473684</v>
      </c>
      <c r="Q79">
        <v>7.5999999999999998E-2</v>
      </c>
    </row>
    <row r="80" spans="1:17" x14ac:dyDescent="0.35">
      <c r="A80">
        <v>200</v>
      </c>
      <c r="B80">
        <v>310.3782030098638</v>
      </c>
      <c r="I80">
        <v>20</v>
      </c>
      <c r="J80">
        <v>3858</v>
      </c>
      <c r="K80">
        <v>3858</v>
      </c>
      <c r="L80">
        <v>246.51532539726489</v>
      </c>
      <c r="M80">
        <v>110</v>
      </c>
      <c r="N80">
        <v>0.83402269066771395</v>
      </c>
      <c r="O80">
        <v>102</v>
      </c>
      <c r="P80">
        <v>110</v>
      </c>
      <c r="Q80">
        <v>7.5999999999999998E-2</v>
      </c>
    </row>
    <row r="81" spans="1:9" x14ac:dyDescent="0.35">
      <c r="A81">
        <v>210</v>
      </c>
      <c r="B81">
        <v>316.55469413104322</v>
      </c>
    </row>
    <row r="82" spans="1:9" x14ac:dyDescent="0.35">
      <c r="A82">
        <v>220</v>
      </c>
      <c r="B82">
        <v>322.65256100614261</v>
      </c>
    </row>
    <row r="83" spans="1:9" x14ac:dyDescent="0.35">
      <c r="A83">
        <v>230</v>
      </c>
      <c r="B83">
        <v>328.68216721128584</v>
      </c>
    </row>
    <row r="84" spans="1:9" x14ac:dyDescent="0.35">
      <c r="A84">
        <v>240</v>
      </c>
      <c r="B84">
        <v>334.65111723978271</v>
      </c>
    </row>
    <row r="85" spans="1:9" x14ac:dyDescent="0.35">
      <c r="A85">
        <v>250</v>
      </c>
      <c r="B85">
        <v>340.57175992631119</v>
      </c>
      <c r="H85" t="s">
        <v>250</v>
      </c>
      <c r="I85" t="s">
        <v>254</v>
      </c>
    </row>
    <row r="86" spans="1:9" x14ac:dyDescent="0.35">
      <c r="A86">
        <v>260</v>
      </c>
      <c r="B86">
        <v>346.45137520336101</v>
      </c>
      <c r="H86">
        <v>0</v>
      </c>
      <c r="I86">
        <v>103</v>
      </c>
    </row>
    <row r="87" spans="1:9" x14ac:dyDescent="0.35">
      <c r="A87">
        <v>270</v>
      </c>
      <c r="B87">
        <v>352.30169224910441</v>
      </c>
      <c r="H87">
        <v>203.05263157894737</v>
      </c>
      <c r="I87">
        <v>103</v>
      </c>
    </row>
    <row r="88" spans="1:9" x14ac:dyDescent="0.35">
      <c r="A88">
        <v>280</v>
      </c>
      <c r="B88">
        <v>358.1294720026421</v>
      </c>
      <c r="H88">
        <v>406.10526315789474</v>
      </c>
      <c r="I88">
        <v>103</v>
      </c>
    </row>
    <row r="89" spans="1:9" x14ac:dyDescent="0.35">
      <c r="A89">
        <v>290</v>
      </c>
      <c r="B89">
        <v>363.93994417277122</v>
      </c>
      <c r="H89">
        <v>609.15789473684208</v>
      </c>
      <c r="I89">
        <v>103</v>
      </c>
    </row>
    <row r="90" spans="1:9" x14ac:dyDescent="0.35">
      <c r="A90">
        <v>300</v>
      </c>
      <c r="B90">
        <v>369.74380364070998</v>
      </c>
      <c r="H90">
        <v>812.21052631578948</v>
      </c>
      <c r="I90">
        <v>103</v>
      </c>
    </row>
    <row r="91" spans="1:9" x14ac:dyDescent="0.35">
      <c r="A91">
        <v>310</v>
      </c>
      <c r="B91">
        <v>375.54482077077552</v>
      </c>
      <c r="H91">
        <v>1015.2631578947369</v>
      </c>
      <c r="I91">
        <v>103</v>
      </c>
    </row>
    <row r="92" spans="1:9" x14ac:dyDescent="0.35">
      <c r="A92">
        <v>320</v>
      </c>
      <c r="B92">
        <v>381.34761969158939</v>
      </c>
      <c r="H92">
        <v>1218.3157894736842</v>
      </c>
      <c r="I92">
        <v>103</v>
      </c>
    </row>
    <row r="93" spans="1:9" x14ac:dyDescent="0.35">
      <c r="A93">
        <v>330</v>
      </c>
      <c r="B93">
        <v>387.38545313119965</v>
      </c>
      <c r="H93">
        <v>1421.3684210526317</v>
      </c>
      <c r="I93">
        <v>103</v>
      </c>
    </row>
    <row r="94" spans="1:9" x14ac:dyDescent="0.35">
      <c r="A94">
        <v>340</v>
      </c>
      <c r="B94">
        <v>393.63073061829874</v>
      </c>
      <c r="H94">
        <v>1624.421052631579</v>
      </c>
      <c r="I94">
        <v>103</v>
      </c>
    </row>
    <row r="95" spans="1:9" x14ac:dyDescent="0.35">
      <c r="A95">
        <v>350</v>
      </c>
      <c r="B95">
        <v>399.92590340802798</v>
      </c>
      <c r="H95">
        <v>1827.4736842105262</v>
      </c>
      <c r="I95">
        <v>103</v>
      </c>
    </row>
    <row r="96" spans="1:9" x14ac:dyDescent="0.35">
      <c r="A96">
        <v>360</v>
      </c>
      <c r="B96">
        <v>406.27901221698522</v>
      </c>
      <c r="H96">
        <v>2030.5263157894738</v>
      </c>
      <c r="I96">
        <v>103</v>
      </c>
    </row>
    <row r="97" spans="1:9" x14ac:dyDescent="0.35">
      <c r="A97">
        <v>370</v>
      </c>
      <c r="B97">
        <v>412.6927401902239</v>
      </c>
      <c r="H97">
        <v>2233.5789473684213</v>
      </c>
      <c r="I97">
        <v>103</v>
      </c>
    </row>
    <row r="98" spans="1:9" x14ac:dyDescent="0.35">
      <c r="A98">
        <v>380</v>
      </c>
      <c r="B98">
        <v>419.17141634298201</v>
      </c>
      <c r="H98">
        <v>2436.6315789473683</v>
      </c>
      <c r="I98">
        <v>102</v>
      </c>
    </row>
    <row r="99" spans="1:9" x14ac:dyDescent="0.35">
      <c r="A99">
        <v>390</v>
      </c>
      <c r="B99">
        <v>425.71757742970351</v>
      </c>
      <c r="H99">
        <v>2639.6842105263158</v>
      </c>
      <c r="I99">
        <v>102</v>
      </c>
    </row>
    <row r="100" spans="1:9" x14ac:dyDescent="0.35">
      <c r="A100">
        <v>400</v>
      </c>
      <c r="B100">
        <v>432.33706140666771</v>
      </c>
      <c r="H100">
        <v>2842.7368421052633</v>
      </c>
      <c r="I100">
        <v>102</v>
      </c>
    </row>
    <row r="101" spans="1:9" x14ac:dyDescent="0.35">
      <c r="A101">
        <v>410</v>
      </c>
      <c r="B101">
        <v>439.03056473336369</v>
      </c>
      <c r="H101">
        <v>3045.7894736842104</v>
      </c>
      <c r="I101">
        <v>102</v>
      </c>
    </row>
    <row r="102" spans="1:9" x14ac:dyDescent="0.35">
      <c r="A102">
        <v>420</v>
      </c>
      <c r="B102">
        <v>445.71911565506849</v>
      </c>
      <c r="H102">
        <v>3248.8421052631579</v>
      </c>
      <c r="I102">
        <v>102</v>
      </c>
    </row>
    <row r="103" spans="1:9" x14ac:dyDescent="0.35">
      <c r="A103">
        <v>430</v>
      </c>
      <c r="B103">
        <v>453.07809132263208</v>
      </c>
      <c r="H103">
        <v>3451.8947368421054</v>
      </c>
      <c r="I103">
        <v>102</v>
      </c>
    </row>
    <row r="104" spans="1:9" x14ac:dyDescent="0.35">
      <c r="A104">
        <v>440</v>
      </c>
      <c r="B104">
        <v>460.55379158046122</v>
      </c>
      <c r="H104">
        <v>3654.9473684210525</v>
      </c>
      <c r="I104">
        <v>102</v>
      </c>
    </row>
    <row r="105" spans="1:9" x14ac:dyDescent="0.35">
      <c r="A105">
        <v>450</v>
      </c>
      <c r="B105">
        <v>468.1482943848045</v>
      </c>
      <c r="H105">
        <v>3858</v>
      </c>
      <c r="I105">
        <v>102</v>
      </c>
    </row>
    <row r="106" spans="1:9" x14ac:dyDescent="0.35">
      <c r="A106">
        <v>460</v>
      </c>
      <c r="B106">
        <v>475.86528109854879</v>
      </c>
      <c r="G106" t="str" cm="1">
        <f t="array" ref="G106">[1]!encode_json(H85:I105)</f>
        <v>{"hvert,m":"fpat","0":103,"203,052631578947":103,"406,105263157895":103,"609,157894736842":103,"812,210526315789":103,"1015,26315789474":103,"1218,31578947368":103,"1421,36842105263":103,"1624,42105263158":103,"1827,47368421053":103,"2030,52631578947":103,"2233,57894736842":103,"2436,63157894737":102,"2639,68421052632":102,"2842,73684210526":102,"3045,78947368421":102,"3248,84210526316":102,"3451,89473684211":102,"3654,94736842105":102,"3858":102}</v>
      </c>
    </row>
    <row r="107" spans="1:9" x14ac:dyDescent="0.35">
      <c r="A107">
        <v>470</v>
      </c>
      <c r="B107">
        <v>483.70838098824288</v>
      </c>
    </row>
    <row r="108" spans="1:9" x14ac:dyDescent="0.35">
      <c r="A108">
        <v>480</v>
      </c>
      <c r="B108">
        <v>491.67634006015106</v>
      </c>
    </row>
    <row r="109" spans="1:9" x14ac:dyDescent="0.35">
      <c r="A109">
        <v>490</v>
      </c>
      <c r="B109">
        <v>499.77435899798274</v>
      </c>
    </row>
    <row r="110" spans="1:9" x14ac:dyDescent="0.35">
      <c r="A110">
        <v>500</v>
      </c>
      <c r="B110">
        <v>508.00117099577096</v>
      </c>
    </row>
    <row r="113" spans="1:1" x14ac:dyDescent="0.35">
      <c r="A113" t="str" cm="1">
        <f t="array" ref="A113">[1]!encode_json(A59:B110)</f>
        <v>{"Qliq":"Pwf vlp","0":319.576188218063,"10":274.874109662413,"20":246.218942531461,"30":225.394202949974,"40":212.173785681823,"50":205.876205787428,"60":205.786934033515,"70":211.448541479393,"80":221.319826105974,"90":230.349294360296,"100":239.195419564761,"110":247.954545608933,"120":256.504507962219,"130":263.998655613539,"140":271.017561768757,"150":277.896619056963,"160":284.638664031718,"170":291.250972748753,"180":297.736878971614,"190":304.108872568492,"200":310.378203009864,"210":316.554694131043,"220":322.652561006143,"230":328.682167211286,"240":334.651117239783,"250":340.571759926311,"260":346.451375203361,"270":352.301692249104,"280":358.129472002642,"290":363.939944172771,"300":369.74380364071,"310":375.544820770776,"320":381.347619691589,"330":387.3854531312,"340":393.630730618299,"350":399.925903408028,"360":406.279012216985,"370":412.692740190224,"380":419.171416342982,"390":425.717577429704,"400":432.337061406668,"410":439.030564733364,"420":445.719115655068,"430":453.078091322632,"440":460.553791580461,"450":468.148294384805,"460":475.865281098549,"470":483.708380988243,"480":491.676340060151,"490":499.774358997983,"500":508.001170995771}</v>
      </c>
    </row>
  </sheetData>
  <mergeCells count="149">
    <mergeCell ref="Z1:Z3"/>
    <mergeCell ref="CT1:CT3"/>
    <mergeCell ref="AX1:AX3"/>
    <mergeCell ref="BL2:BL3"/>
    <mergeCell ref="BG2:BG3"/>
    <mergeCell ref="BF2:BF3"/>
    <mergeCell ref="CR1:CR3"/>
    <mergeCell ref="AL1:AO2"/>
    <mergeCell ref="BO2:BQ2"/>
    <mergeCell ref="BE2:BE3"/>
    <mergeCell ref="AV1:AV3"/>
    <mergeCell ref="AW1:AW3"/>
    <mergeCell ref="AQ1:AQ3"/>
    <mergeCell ref="W1:W3"/>
    <mergeCell ref="V1:V3"/>
    <mergeCell ref="DC1:DC3"/>
    <mergeCell ref="FW2:FW3"/>
    <mergeCell ref="FU1:FX1"/>
    <mergeCell ref="FU2:FU3"/>
    <mergeCell ref="FV2:FV3"/>
    <mergeCell ref="FX2:FX3"/>
    <mergeCell ref="X1:X3"/>
    <mergeCell ref="FQ2:FQ3"/>
    <mergeCell ref="FR2:FR3"/>
    <mergeCell ref="CU1:CU3"/>
    <mergeCell ref="FT2:FT3"/>
    <mergeCell ref="BA2:BD2"/>
    <mergeCell ref="BH2:BK2"/>
    <mergeCell ref="FQ1:FT1"/>
    <mergeCell ref="FI1:FI3"/>
    <mergeCell ref="AU1:AU3"/>
    <mergeCell ref="AK1:AK3"/>
    <mergeCell ref="A1:A3"/>
    <mergeCell ref="F1:F3"/>
    <mergeCell ref="AZ2:AZ3"/>
    <mergeCell ref="AD2:AD3"/>
    <mergeCell ref="AR1:AR3"/>
    <mergeCell ref="AI1:AI3"/>
    <mergeCell ref="AH1:AH3"/>
    <mergeCell ref="E1:E3"/>
    <mergeCell ref="L1:L3"/>
    <mergeCell ref="J1:J3"/>
    <mergeCell ref="M1:M3"/>
    <mergeCell ref="K1:K3"/>
    <mergeCell ref="P1:P3"/>
    <mergeCell ref="G1:G3"/>
    <mergeCell ref="I1:I3"/>
    <mergeCell ref="AB2:AB3"/>
    <mergeCell ref="H1:H3"/>
    <mergeCell ref="AA1:AA3"/>
    <mergeCell ref="B1:C2"/>
    <mergeCell ref="O1:O3"/>
    <mergeCell ref="N1:N3"/>
    <mergeCell ref="Q1:Q3"/>
    <mergeCell ref="Y1:Y3"/>
    <mergeCell ref="AJ1:AJ3"/>
    <mergeCell ref="D1:D3"/>
    <mergeCell ref="U1:U3"/>
    <mergeCell ref="R1:R3"/>
    <mergeCell ref="EI1:EI3"/>
    <mergeCell ref="CX1:DA1"/>
    <mergeCell ref="DK1:DK3"/>
    <mergeCell ref="DF1:DF3"/>
    <mergeCell ref="DH1:DH3"/>
    <mergeCell ref="DJ1:DJ3"/>
    <mergeCell ref="CX2:CY3"/>
    <mergeCell ref="DQ1:DQ3"/>
    <mergeCell ref="AF2:AF3"/>
    <mergeCell ref="AG2:AG3"/>
    <mergeCell ref="EH1:EH3"/>
    <mergeCell ref="DB1:DB3"/>
    <mergeCell ref="DT1:DV2"/>
    <mergeCell ref="BT2:BT3"/>
    <mergeCell ref="BU2:BW2"/>
    <mergeCell ref="BX2:BX3"/>
    <mergeCell ref="BX1:CG1"/>
    <mergeCell ref="BY2:CA2"/>
    <mergeCell ref="AZ1:BM1"/>
    <mergeCell ref="AB1:AG1"/>
    <mergeCell ref="T1:T3"/>
    <mergeCell ref="FM2:FM3"/>
    <mergeCell ref="FL1:FP1"/>
    <mergeCell ref="FC2:FC3"/>
    <mergeCell ref="DR1:DR3"/>
    <mergeCell ref="EO1:EO3"/>
    <mergeCell ref="FP2:FP3"/>
    <mergeCell ref="FL2:FL3"/>
    <mergeCell ref="FO2:FO3"/>
    <mergeCell ref="S1:S3"/>
    <mergeCell ref="AC2:AC3"/>
    <mergeCell ref="AY1:AY3"/>
    <mergeCell ref="DD1:DD3"/>
    <mergeCell ref="EK1:EK3"/>
    <mergeCell ref="EM1:EM3"/>
    <mergeCell ref="DG1:DG3"/>
    <mergeCell ref="DE1:DE3"/>
    <mergeCell ref="DW1:DW3"/>
    <mergeCell ref="DS1:DS3"/>
    <mergeCell ref="DX1:EB2"/>
    <mergeCell ref="BM2:BM3"/>
    <mergeCell ref="AS1:AS3"/>
    <mergeCell ref="AP1:AP3"/>
    <mergeCell ref="AT1:AT3"/>
    <mergeCell ref="BN2:BN3"/>
    <mergeCell ref="BR2:BR3"/>
    <mergeCell ref="DO1:DO3"/>
    <mergeCell ref="AE2:AE3"/>
    <mergeCell ref="FN2:FN3"/>
    <mergeCell ref="DM1:DM3"/>
    <mergeCell ref="DN1:DN3"/>
    <mergeCell ref="CZ2:DA3"/>
    <mergeCell ref="DL1:DL3"/>
    <mergeCell ref="BS2:BS3"/>
    <mergeCell ref="CV1:CV3"/>
    <mergeCell ref="CW1:CW3"/>
    <mergeCell ref="CS1:CS3"/>
    <mergeCell ref="EG1:EG3"/>
    <mergeCell ref="EC1:EF2"/>
    <mergeCell ref="EJ1:EJ3"/>
    <mergeCell ref="CB2:CB3"/>
    <mergeCell ref="CC2:CC3"/>
    <mergeCell ref="CD2:CD3"/>
    <mergeCell ref="BN1:BW1"/>
    <mergeCell ref="CE2:CG2"/>
    <mergeCell ref="CH1:CQ1"/>
    <mergeCell ref="CH2:CH3"/>
    <mergeCell ref="CI2:CK2"/>
    <mergeCell ref="CL2:CL3"/>
    <mergeCell ref="CM2:CM3"/>
    <mergeCell ref="CN2:CN3"/>
    <mergeCell ref="CO2:CQ2"/>
    <mergeCell ref="DP1:DP3"/>
    <mergeCell ref="DI1:DI3"/>
    <mergeCell ref="FK1:FK3"/>
    <mergeCell ref="FJ1:FJ3"/>
    <mergeCell ref="EP1:EQ2"/>
    <mergeCell ref="EY2:EY3"/>
    <mergeCell ref="EZ2:EZ3"/>
    <mergeCell ref="EL1:EL3"/>
    <mergeCell ref="FD2:FD3"/>
    <mergeCell ref="FA2:FA3"/>
    <mergeCell ref="FB2:FB3"/>
    <mergeCell ref="FH1:FH3"/>
    <mergeCell ref="FF1:FF3"/>
    <mergeCell ref="FE1:FE3"/>
    <mergeCell ref="FG1:FG3"/>
    <mergeCell ref="EY1:FD1"/>
    <mergeCell ref="EN1:EN3"/>
    <mergeCell ref="ER2:E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BC78-32FE-4C95-8581-9C63577DC9FA}">
  <dimension ref="A1:S103"/>
  <sheetViews>
    <sheetView topLeftCell="A84" workbookViewId="0">
      <selection activeCell="A81" sqref="A81:I103"/>
    </sheetView>
  </sheetViews>
  <sheetFormatPr defaultRowHeight="14.5" x14ac:dyDescent="0.35"/>
  <cols>
    <col min="1" max="1" width="23.36328125" customWidth="1"/>
    <col min="2" max="2" width="9.6328125" bestFit="1" customWidth="1"/>
    <col min="4" max="4" width="10.453125" bestFit="1" customWidth="1"/>
    <col min="9" max="9" width="22.54296875" customWidth="1"/>
    <col min="10" max="10" width="9.7265625" customWidth="1"/>
    <col min="11" max="11" width="12.26953125" customWidth="1"/>
    <col min="12" max="12" width="11.7265625" customWidth="1"/>
    <col min="13" max="13" width="12.54296875" customWidth="1"/>
    <col min="14" max="14" width="14.1796875" customWidth="1"/>
    <col min="15" max="15" width="13.26953125" customWidth="1"/>
    <col min="16" max="16" width="13.08984375" customWidth="1"/>
    <col min="17" max="17" width="13.81640625" customWidth="1"/>
    <col min="18" max="18" width="15.453125" customWidth="1"/>
    <col min="19" max="19" width="15.81640625" customWidth="1"/>
  </cols>
  <sheetData>
    <row r="1" spans="1:19" x14ac:dyDescent="0.35">
      <c r="A1" t="s">
        <v>189</v>
      </c>
      <c r="B1" t="s">
        <v>190</v>
      </c>
      <c r="C1" t="s">
        <v>191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208</v>
      </c>
      <c r="R1" t="s">
        <v>207</v>
      </c>
      <c r="S1" t="s">
        <v>217</v>
      </c>
    </row>
    <row r="2" spans="1:19" x14ac:dyDescent="0.35">
      <c r="A2" t="s">
        <v>192</v>
      </c>
      <c r="B2">
        <v>0.7</v>
      </c>
      <c r="I2" t="s">
        <v>218</v>
      </c>
      <c r="J2" cm="1">
        <f t="array" ref="J2">[1]!PVT_rs_m3m3(B6,20,0.7,B17,B18,,B12,B9,B19,,,0)</f>
        <v>30.667415744584186</v>
      </c>
      <c r="K2">
        <f>B10*B13*B18/100/Q2*1000+B10*(1-B13/100)*B17/R2*1000+B10*(1-B13/100)*B12*0.0007/P2*1000</f>
        <v>78.977662426264118</v>
      </c>
      <c r="L2" cm="1">
        <f t="array" ref="L2">[1]!PVT_mu_gas_cP(B6,20,0.7,B17,B18,,B12,B9,B19,,,0,B2)</f>
        <v>1.242997379694734E-2</v>
      </c>
      <c r="M2" cm="1">
        <f t="array" ref="M2">[1]!PVT_mu_wat_cP(B6,20,0.7,B17,B18,,B12,B9,B19,B16,,0,B2)</f>
        <v>1.0522652378595934</v>
      </c>
      <c r="N2" cm="1">
        <f t="array" ref="N2">[1]!PVT_mu_oil_cP(B6,20,0.7,B17,B18,,B12,B9,B19,B16,,0,B2)</f>
        <v>2.7438527256894534</v>
      </c>
      <c r="O2" cm="1">
        <f t="array" ref="O2">[1]!MF_mu_mix_cP(B10,B13,B6,20,B22)</f>
        <v>0.17036944258571898</v>
      </c>
      <c r="P2" cm="1">
        <f t="array" ref="P2">[1]!PVT_rho_gas_kgm3(B6,20,0.7,B17,B18,,B12,B9,B19,B16,,0,B2)</f>
        <v>59.579990486091035</v>
      </c>
      <c r="Q2" cm="1">
        <f t="array" ref="Q2">[1]!PVT_rho_wat_kgm3(B6,20,0.7,B17,B18,,B12,B9,B19,B16,,0,B2)</f>
        <v>1008.0796695859193</v>
      </c>
      <c r="R2" cm="1">
        <f t="array" ref="R2">[1]!PVT_rho_oil_kgm3(B6,20,0.7,B17,B18,,B12,B9,B19,B16,,0,B2)</f>
        <v>746.20857583690429</v>
      </c>
      <c r="S2" cm="1">
        <f t="array" ref="S2">[1]!MF_rho_mix_kgm3(B10,B13,B6,20,B22)</f>
        <v>244.11137319960213</v>
      </c>
    </row>
    <row r="3" spans="1:19" x14ac:dyDescent="0.35">
      <c r="A3" t="s">
        <v>193</v>
      </c>
      <c r="B3">
        <v>76</v>
      </c>
      <c r="C3" t="s">
        <v>167</v>
      </c>
      <c r="I3" t="s">
        <v>219</v>
      </c>
      <c r="J3" cm="1">
        <f t="array" ref="J3">[1]!PVT_rs_m3m3(B6,20,,B17,B18,,B12,B9,B19,,,1)</f>
        <v>42.71770922118003</v>
      </c>
      <c r="K3">
        <f>B10*B13*B18/100/Q3*1000+B10*(1-B13/100)*B17/R3*1000+B10*(1-B13/100)*B12*0.0007/P3*1000</f>
        <v>79.458365714597875</v>
      </c>
      <c r="L3" cm="1">
        <f t="array" ref="L3">[1]!PVT_mu_gas_cP(B6,20,0.7,B17,B16,,B12,B9,B19,,,1,B2)</f>
        <v>1.242997379694734E-2</v>
      </c>
      <c r="M3" cm="1">
        <f t="array" ref="M3">[1]!PVT_mu_wat_cP(B6,20,0.7,B17,B18,,B12,B9,B19,B16,,1,B2)</f>
        <v>1.0522652378595934</v>
      </c>
      <c r="N3" cm="1">
        <f t="array" ref="N3">[1]!PVT_mu_oil_cP(B6,20,0.7,B17,B18,,B12,B9,B19,B16,,1,B2)</f>
        <v>1.3915985510928925</v>
      </c>
      <c r="O3" cm="1">
        <f t="array" ref="O3">[1]!MF_mu_mix_cP(B10,B13,B6,20,B23)</f>
        <v>0.15824538419052975</v>
      </c>
      <c r="P3" cm="1">
        <f t="array" ref="P3">[1]!PVT_rho_gas_kgm3(B6,20,0.7,B17,B18,,B12,B9,B19,B16,,1,B2)</f>
        <v>59.579990486091035</v>
      </c>
      <c r="Q3" cm="1">
        <f t="array" ref="Q3">[1]!PVT_rho_wat_kgm3(B6,20,0.7,B17,B18,,B12,B9,B19,B16,,1,B2)</f>
        <v>1008.0796695859193</v>
      </c>
      <c r="R3" cm="1">
        <f t="array" ref="R3">[1]!PVT_rho_oil_kgm3(B6,20,0.7,B17,B18,,B12,B9,B19,B16,,1,B2)</f>
        <v>716.55200660484832</v>
      </c>
      <c r="S3" cm="1">
        <f t="array" ref="S3">[1]!MF_rho_mix_kgm3(B10,B13,B6,20,B23)</f>
        <v>251.98409556752449</v>
      </c>
    </row>
    <row r="4" spans="1:19" x14ac:dyDescent="0.35">
      <c r="A4" t="s">
        <v>194</v>
      </c>
      <c r="B4" s="217">
        <v>10</v>
      </c>
      <c r="C4" t="s">
        <v>167</v>
      </c>
    </row>
    <row r="5" spans="1:19" x14ac:dyDescent="0.35">
      <c r="A5" t="s">
        <v>195</v>
      </c>
      <c r="B5" s="217">
        <v>3858</v>
      </c>
      <c r="C5" t="s">
        <v>168</v>
      </c>
    </row>
    <row r="6" spans="1:19" x14ac:dyDescent="0.35">
      <c r="A6" t="s">
        <v>196</v>
      </c>
      <c r="B6" s="217">
        <v>57</v>
      </c>
      <c r="C6" t="s">
        <v>171</v>
      </c>
    </row>
    <row r="7" spans="1:19" x14ac:dyDescent="0.35">
      <c r="A7" t="s">
        <v>197</v>
      </c>
      <c r="B7" s="217">
        <v>24</v>
      </c>
      <c r="C7" t="s">
        <v>171</v>
      </c>
    </row>
    <row r="8" spans="1:19" x14ac:dyDescent="0.35">
      <c r="A8" t="s">
        <v>198</v>
      </c>
      <c r="B8" s="217">
        <v>299</v>
      </c>
      <c r="C8" t="s">
        <v>171</v>
      </c>
      <c r="O8" t="s">
        <v>220</v>
      </c>
      <c r="P8">
        <f>PI()*(B3/2000)</f>
        <v>0.11938052083641214</v>
      </c>
    </row>
    <row r="9" spans="1:19" x14ac:dyDescent="0.35">
      <c r="A9" t="s">
        <v>199</v>
      </c>
      <c r="B9" s="217">
        <v>213</v>
      </c>
      <c r="C9" t="s">
        <v>171</v>
      </c>
      <c r="O9" t="s">
        <v>221</v>
      </c>
      <c r="P9">
        <f>H14/(24*60*60)/P8</f>
        <v>0.38736274528480291</v>
      </c>
    </row>
    <row r="10" spans="1:19" x14ac:dyDescent="0.35">
      <c r="A10" t="s">
        <v>226</v>
      </c>
      <c r="B10" s="217">
        <v>19.149999999999999</v>
      </c>
      <c r="C10" t="s">
        <v>169</v>
      </c>
      <c r="O10" t="s">
        <v>222</v>
      </c>
      <c r="P10">
        <f>B10/(24*60*60)/P8</f>
        <v>1.8566137671843297E-3</v>
      </c>
    </row>
    <row r="11" spans="1:19" x14ac:dyDescent="0.35">
      <c r="A11" t="s">
        <v>201</v>
      </c>
      <c r="B11" s="217">
        <f>D13</f>
        <v>8.6669070000000001</v>
      </c>
      <c r="C11" t="s">
        <v>169</v>
      </c>
      <c r="O11" t="s">
        <v>223</v>
      </c>
      <c r="P11">
        <v>90</v>
      </c>
    </row>
    <row r="12" spans="1:19" x14ac:dyDescent="0.35">
      <c r="A12" t="s">
        <v>202</v>
      </c>
      <c r="B12" s="217">
        <v>461</v>
      </c>
      <c r="C12" t="s">
        <v>174</v>
      </c>
      <c r="D12" s="219">
        <f>B10*(B13/100)*B18</f>
        <v>8.3086104999999986</v>
      </c>
      <c r="E12" s="220">
        <f>D12/$D$16</f>
        <v>0.4202140656668627</v>
      </c>
      <c r="F12">
        <f>E12*B18</f>
        <v>0.42399599225786444</v>
      </c>
      <c r="H12">
        <f>D12*1000/(B18*1000)</f>
        <v>8.2345000000000006</v>
      </c>
      <c r="O12" t="s">
        <v>224</v>
      </c>
      <c r="P12">
        <f>0.00009</f>
        <v>9.0000000000000006E-5</v>
      </c>
    </row>
    <row r="13" spans="1:19" x14ac:dyDescent="0.35">
      <c r="A13" t="s">
        <v>203</v>
      </c>
      <c r="B13" s="217">
        <v>43</v>
      </c>
      <c r="C13" t="s">
        <v>173</v>
      </c>
      <c r="D13">
        <f>B10*(1-B13/100)*B17</f>
        <v>8.6669070000000001</v>
      </c>
      <c r="E13" s="220">
        <f>D13/$D$16</f>
        <v>0.43833517376059367</v>
      </c>
      <c r="F13">
        <f>E13*B17</f>
        <v>0.34803812796591138</v>
      </c>
      <c r="H13">
        <f>D13*1000/(B17*1000)</f>
        <v>10.9155</v>
      </c>
    </row>
    <row r="14" spans="1:19" x14ac:dyDescent="0.35">
      <c r="A14" t="s">
        <v>204</v>
      </c>
      <c r="B14" s="218">
        <v>0.2</v>
      </c>
      <c r="C14" t="s">
        <v>177</v>
      </c>
      <c r="D14">
        <f>H14*0.7/1000</f>
        <v>2.7968108889000001</v>
      </c>
      <c r="E14" s="220">
        <f>D14/$D$16</f>
        <v>0.14145076057254358</v>
      </c>
      <c r="F14">
        <f>E14*0.7</f>
        <v>9.9015532400780495E-2</v>
      </c>
      <c r="H14" s="219">
        <f>B12*D13</f>
        <v>3995.4441270000002</v>
      </c>
    </row>
    <row r="15" spans="1:19" x14ac:dyDescent="0.35">
      <c r="A15" t="s">
        <v>205</v>
      </c>
      <c r="B15" s="218">
        <v>0.5</v>
      </c>
      <c r="C15" t="s">
        <v>177</v>
      </c>
    </row>
    <row r="16" spans="1:19" x14ac:dyDescent="0.35">
      <c r="A16" t="s">
        <v>206</v>
      </c>
      <c r="B16">
        <v>1.5329999999999999</v>
      </c>
      <c r="C16" t="s">
        <v>178</v>
      </c>
      <c r="D16">
        <f>SUM(D12:D14)</f>
        <v>19.7723283889</v>
      </c>
      <c r="F16">
        <f>SUM(F12:F14)</f>
        <v>0.87104965262455636</v>
      </c>
    </row>
    <row r="17" spans="1:18" x14ac:dyDescent="0.35">
      <c r="A17" t="s">
        <v>207</v>
      </c>
      <c r="B17">
        <v>0.79400000000000004</v>
      </c>
      <c r="C17" t="s">
        <v>179</v>
      </c>
    </row>
    <row r="18" spans="1:18" x14ac:dyDescent="0.35">
      <c r="A18" t="s">
        <v>208</v>
      </c>
      <c r="B18">
        <v>1.0089999999999999</v>
      </c>
      <c r="C18" t="s">
        <v>179</v>
      </c>
    </row>
    <row r="19" spans="1:18" x14ac:dyDescent="0.35">
      <c r="A19" t="s">
        <v>209</v>
      </c>
      <c r="B19">
        <v>110</v>
      </c>
      <c r="C19" t="s">
        <v>175</v>
      </c>
    </row>
    <row r="20" spans="1:18" x14ac:dyDescent="0.35">
      <c r="A20" t="s">
        <v>225</v>
      </c>
      <c r="B20">
        <v>0.13</v>
      </c>
    </row>
    <row r="22" spans="1:18" x14ac:dyDescent="0.35">
      <c r="A22" t="s">
        <v>218</v>
      </c>
      <c r="B22" t="str" cm="1">
        <f t="array" ref="B22">[1]!PVT_encode_string(0.7,B17,B18,,B12,B9,B19,B16,B14,0,B2)</f>
        <v>{"gamma_gas":0.7,"gamma_oil":0.794,"gamma_wat":1.009,"rsb_m3m3":100,"rp_m3m3":461,"pb_atma":213,"t_res_C":110,"bob_m3m3":1.533,"muob_cP":0.2,"PVTcorr":0,"ksep_fr":0.7}</v>
      </c>
    </row>
    <row r="23" spans="1:18" x14ac:dyDescent="0.35">
      <c r="A23" t="s">
        <v>219</v>
      </c>
      <c r="B23" t="str" cm="1">
        <f t="array" ref="B23">[1]!PVT_encode_string(0.7,B17,B18,,B12,B9,B19,B16,B14,1,B2)</f>
        <v>{"gamma_gas":0.7,"gamma_oil":0.794,"gamma_wat":1.009,"rsb_m3m3":100,"rp_m3m3":461,"pb_atma":213,"t_res_C":110,"bob_m3m3":1.533,"muob_cP":0.2,"PVTcorr":1,"ksep_fr":0.7}</v>
      </c>
    </row>
    <row r="24" spans="1:18" x14ac:dyDescent="0.35">
      <c r="F24" t="s">
        <v>231</v>
      </c>
    </row>
    <row r="25" spans="1:18" x14ac:dyDescent="0.35">
      <c r="A25" s="221" t="s">
        <v>227</v>
      </c>
      <c r="B25" s="221"/>
      <c r="C25" s="221" t="s">
        <v>228</v>
      </c>
      <c r="D25" s="221"/>
      <c r="F25" t="s">
        <v>232</v>
      </c>
    </row>
    <row r="26" spans="1:18" ht="29" x14ac:dyDescent="0.35">
      <c r="A26" s="222" t="s">
        <v>236</v>
      </c>
      <c r="B26" s="223" t="s">
        <v>229</v>
      </c>
      <c r="C26" s="224" t="s">
        <v>230</v>
      </c>
      <c r="D26" s="223" t="s">
        <v>229</v>
      </c>
      <c r="F26" t="s">
        <v>233</v>
      </c>
    </row>
    <row r="27" spans="1:18" x14ac:dyDescent="0.35">
      <c r="A27">
        <v>0</v>
      </c>
      <c r="B27" cm="1">
        <f t="array" ref="B27">[1]!IPR_pwf_atma($B$20,$B$8,A27,$B$13,$B$9)</f>
        <v>299</v>
      </c>
      <c r="C27">
        <f>[1]!MF_p_choke_atma(A27,$B$13,$B$4,$B$7,0,$B$3,20,,$B$22)</f>
        <v>24</v>
      </c>
      <c r="D27">
        <f>[1]!MF_p_pipeline_atma(C27,20,$B$19,$B$5,$B$3,A27,$B$13,0,$B$22,10,1)</f>
        <v>319.57618821806324</v>
      </c>
      <c r="J27" cm="1">
        <f t="array" ref="J27:R49">[1]!MF_p_pipeline_atma(C27,20,$B$19,$B$5,$B$3,A27,$B$13,0,$B$22,10,1)</f>
        <v>319.57618821806324</v>
      </c>
      <c r="K27">
        <v>110</v>
      </c>
      <c r="L27">
        <v>24</v>
      </c>
      <c r="M27">
        <v>20</v>
      </c>
      <c r="N27">
        <v>319.57618821806324</v>
      </c>
      <c r="O27">
        <v>110</v>
      </c>
      <c r="P27">
        <v>1</v>
      </c>
      <c r="Q27">
        <v>1</v>
      </c>
      <c r="R27">
        <v>0</v>
      </c>
    </row>
    <row r="28" spans="1:18" x14ac:dyDescent="0.35">
      <c r="A28">
        <v>10</v>
      </c>
      <c r="B28" cm="1">
        <f t="array" ref="B28">[1]!IPR_pwf_atma($B$20,$B$8,A28,$B$13,$B$9)</f>
        <v>222.07692307692307</v>
      </c>
      <c r="C28">
        <f>[1]!MF_p_choke_atma(A28,$B$13,$B$4,$B$7,0,$B$3,20,,$B$22)</f>
        <v>24.186309814453125</v>
      </c>
      <c r="D28">
        <f>[1]!MF_p_pipeline_atma(C28,20,$B$19,$B$5,$B$3,A28,$B$13,0,$B$22,10,1)</f>
        <v>274.87410966241339</v>
      </c>
      <c r="J28" t="str">
        <v>p_result_atma</v>
      </c>
      <c r="K28" t="str">
        <v>t_result_C</v>
      </c>
      <c r="L28" t="str">
        <v>p_1, atma</v>
      </c>
      <c r="M28" t="str">
        <v>t_1, C</v>
      </c>
      <c r="N28" t="str">
        <v>p_2, atma</v>
      </c>
      <c r="O28" t="str">
        <v>t_2, C</v>
      </c>
      <c r="P28" t="str">
        <v>c_calibr_grav</v>
      </c>
      <c r="Q28" t="str">
        <v>c_calibr_fric</v>
      </c>
      <c r="R28" t="str">
        <v>q_gas_sm3day</v>
      </c>
    </row>
    <row r="29" spans="1:18" x14ac:dyDescent="0.35">
      <c r="A29">
        <v>20</v>
      </c>
      <c r="B29" cm="1">
        <f t="array" ref="B29">[1]!IPR_pwf_atma($B$20,$B$8,A29,$B$13,$B$9)</f>
        <v>137.19318458668926</v>
      </c>
      <c r="C29">
        <f>[1]!MF_p_choke_atma(A29,$B$13,$B$4,$B$7,0,$B$3,20,,$B$22)</f>
        <v>24.7598876953125</v>
      </c>
      <c r="D29">
        <f>[1]!MF_p_pipeline_atma(C29,20,$B$19,$B$5,$B$3,A29,$B$13,0,$B$22,10,1)</f>
        <v>246.21894253146144</v>
      </c>
      <c r="J29" t="str">
        <v>num</v>
      </c>
      <c r="K29" t="str">
        <v>h,m</v>
      </c>
      <c r="L29" t="str">
        <v>hvert,m</v>
      </c>
      <c r="M29" t="str">
        <v>p,atma</v>
      </c>
      <c r="N29" t="str">
        <v>t,C</v>
      </c>
      <c r="O29" t="str">
        <v>Hl</v>
      </c>
      <c r="P29" t="str">
        <v>fpat</v>
      </c>
      <c r="Q29" t="str">
        <v>t_amb, C</v>
      </c>
      <c r="R29" t="str">
        <v>diam, m</v>
      </c>
    </row>
    <row r="30" spans="1:18" x14ac:dyDescent="0.35">
      <c r="A30">
        <v>30</v>
      </c>
      <c r="B30" cm="1">
        <f t="array" ref="B30">[1]!IPR_pwf_atma($B$20,$B$8,A30,$B$13,$B$9)</f>
        <v>0</v>
      </c>
      <c r="C30">
        <f>[1]!MF_p_choke_atma(A30,$B$13,$B$4,$B$7,0,$B$3,20,,$B$22)</f>
        <v>25.7669677734375</v>
      </c>
      <c r="D30">
        <f>[1]!MF_p_pipeline_atma(C30,20,$B$19,$B$5,$B$3,A30,$B$13,0,$B$22,10,1)</f>
        <v>225.39420294997353</v>
      </c>
      <c r="J30">
        <v>1</v>
      </c>
      <c r="K30">
        <v>0</v>
      </c>
      <c r="L30">
        <v>0</v>
      </c>
      <c r="M30">
        <v>24</v>
      </c>
      <c r="N30">
        <v>20</v>
      </c>
      <c r="O30">
        <v>1</v>
      </c>
      <c r="P30">
        <v>100</v>
      </c>
      <c r="Q30">
        <v>20</v>
      </c>
      <c r="R30">
        <v>7.5999999999999998E-2</v>
      </c>
    </row>
    <row r="31" spans="1:18" x14ac:dyDescent="0.35">
      <c r="A31">
        <v>40</v>
      </c>
      <c r="B31" cm="1">
        <f t="array" ref="B31">[1]!IPR_pwf_atma($B$20,$B$8,A31,$B$13,$B$9)</f>
        <v>0</v>
      </c>
      <c r="C31">
        <f>[1]!MF_p_choke_atma(A31,$B$13,$B$4,$B$7,0,$B$3,20,,$B$22)</f>
        <v>27.292236328125</v>
      </c>
      <c r="D31">
        <f>[1]!MF_p_pipeline_atma(C31,20,$B$19,$B$5,$B$3,A31,$B$13,0,$B$22,10,1)</f>
        <v>212.17378568182306</v>
      </c>
      <c r="J31">
        <v>2</v>
      </c>
      <c r="K31">
        <v>203.05263157894737</v>
      </c>
      <c r="L31">
        <v>203.05263157894737</v>
      </c>
      <c r="M31">
        <v>41.122060028754007</v>
      </c>
      <c r="N31">
        <v>24.736842105263158</v>
      </c>
      <c r="O31">
        <v>1</v>
      </c>
      <c r="P31">
        <v>100</v>
      </c>
      <c r="Q31">
        <v>24.736842105263158</v>
      </c>
      <c r="R31">
        <v>7.5999999999999998E-2</v>
      </c>
    </row>
    <row r="32" spans="1:18" x14ac:dyDescent="0.35">
      <c r="A32">
        <v>50</v>
      </c>
      <c r="B32" cm="1">
        <f t="array" ref="B32">[1]!IPR_pwf_atma($B$20,$B$8,A32,$B$13,$B$9)</f>
        <v>0</v>
      </c>
      <c r="C32">
        <f>[1]!MF_p_choke_atma(A32,$B$13,$B$4,$B$7,0,$B$3,20,,$B$22)</f>
        <v>29.474853515625</v>
      </c>
      <c r="D32">
        <f>[1]!MF_p_pipeline_atma(C32,20,$B$19,$B$5,$B$3,A32,$B$13,0,$B$22,10,1)</f>
        <v>205.87620578742803</v>
      </c>
      <c r="J32">
        <v>3</v>
      </c>
      <c r="K32">
        <v>406.10526315789474</v>
      </c>
      <c r="L32">
        <v>406.10526315789474</v>
      </c>
      <c r="M32">
        <v>58.000269215808274</v>
      </c>
      <c r="N32">
        <v>29.473684210526315</v>
      </c>
      <c r="O32">
        <v>1</v>
      </c>
      <c r="P32">
        <v>100</v>
      </c>
      <c r="Q32">
        <v>29.473684210526315</v>
      </c>
      <c r="R32">
        <v>7.5999999999999998E-2</v>
      </c>
    </row>
    <row r="33" spans="1:18" x14ac:dyDescent="0.35">
      <c r="A33">
        <v>60</v>
      </c>
      <c r="B33" cm="1">
        <f t="array" ref="B33">[1]!IPR_pwf_atma($B$20,$B$8,A33,$B$13,$B$9)</f>
        <v>0</v>
      </c>
      <c r="C33">
        <f>[1]!MF_p_choke_atma(A33,$B$13,$B$4,$B$7,0,$B$3,20,,$B$22)</f>
        <v>32.521728515625</v>
      </c>
      <c r="D33">
        <f>[1]!MF_p_pipeline_atma(C33,20,$B$19,$B$5,$B$3,A33,$B$13,0,$B$22,10,1)</f>
        <v>205.78693403351497</v>
      </c>
      <c r="J33">
        <v>4</v>
      </c>
      <c r="K33">
        <v>609.15789473684208</v>
      </c>
      <c r="L33">
        <v>609.15789473684208</v>
      </c>
      <c r="M33">
        <v>74.634044753229006</v>
      </c>
      <c r="N33">
        <v>34.210526315789473</v>
      </c>
      <c r="O33">
        <v>1</v>
      </c>
      <c r="P33">
        <v>100</v>
      </c>
      <c r="Q33">
        <v>34.210526315789473</v>
      </c>
      <c r="R33">
        <v>7.5999999999999998E-2</v>
      </c>
    </row>
    <row r="34" spans="1:18" x14ac:dyDescent="0.35">
      <c r="A34">
        <v>70</v>
      </c>
      <c r="B34" cm="1">
        <f t="array" ref="B34">[1]!IPR_pwf_atma($B$20,$B$8,A34,$B$13,$B$9)</f>
        <v>0</v>
      </c>
      <c r="C34">
        <f>[1]!MF_p_choke_atma(A34,$B$13,$B$4,$B$7,0,$B$3,20,,$B$22)</f>
        <v>36.741943359375</v>
      </c>
      <c r="D34">
        <f>[1]!MF_p_pipeline_atma(C34,20,$B$19,$B$5,$B$3,A34,$B$13,0,$B$22,10,1)</f>
        <v>211.44854147939267</v>
      </c>
      <c r="J34">
        <v>5</v>
      </c>
      <c r="K34">
        <v>812.21052631578948</v>
      </c>
      <c r="L34">
        <v>812.21052631578948</v>
      </c>
      <c r="M34">
        <v>91.029586008548165</v>
      </c>
      <c r="N34">
        <v>38.94736842105263</v>
      </c>
      <c r="O34">
        <v>1</v>
      </c>
      <c r="P34">
        <v>100</v>
      </c>
      <c r="Q34">
        <v>38.94736842105263</v>
      </c>
      <c r="R34">
        <v>7.5999999999999998E-2</v>
      </c>
    </row>
    <row r="35" spans="1:18" x14ac:dyDescent="0.35">
      <c r="A35">
        <v>80</v>
      </c>
      <c r="B35" cm="1">
        <f t="array" ref="B35">[1]!IPR_pwf_atma($B$20,$B$8,A35,$B$13,$B$9)</f>
        <v>0</v>
      </c>
      <c r="C35">
        <f>[1]!MF_p_choke_atma(A35,$B$13,$B$4,$B$7,0,$B$3,20,,$B$22)</f>
        <v>42.069580078125</v>
      </c>
      <c r="D35">
        <f>[1]!MF_p_pipeline_atma(C35,20,$B$19,$B$5,$B$3,A35,$B$13,0,$B$22,10,1)</f>
        <v>221.31982610597433</v>
      </c>
      <c r="J35">
        <v>6</v>
      </c>
      <c r="K35">
        <v>1015.2631578947369</v>
      </c>
      <c r="L35">
        <v>1015.2631578947369</v>
      </c>
      <c r="M35">
        <v>107.19663315882256</v>
      </c>
      <c r="N35">
        <v>43.684210526315788</v>
      </c>
      <c r="O35">
        <v>1</v>
      </c>
      <c r="P35">
        <v>100</v>
      </c>
      <c r="Q35">
        <v>43.684210526315788</v>
      </c>
      <c r="R35">
        <v>7.5999999999999998E-2</v>
      </c>
    </row>
    <row r="36" spans="1:18" x14ac:dyDescent="0.35">
      <c r="A36">
        <v>90</v>
      </c>
      <c r="B36" cm="1">
        <f t="array" ref="B36">[1]!IPR_pwf_atma($B$20,$B$8,A36,$B$13,$B$9)</f>
        <v>0</v>
      </c>
      <c r="C36">
        <f>[1]!MF_p_choke_atma(A36,$B$13,$B$4,$B$7,0,$B$3,20,,$B$22)</f>
        <v>46.997314453125</v>
      </c>
      <c r="D36">
        <f>[1]!MF_p_pipeline_atma(C36,20,$B$19,$B$5,$B$3,A36,$B$13,0,$B$22,10,1)</f>
        <v>230.34929436029617</v>
      </c>
      <c r="J36">
        <v>7</v>
      </c>
      <c r="K36">
        <v>1218.3157894736842</v>
      </c>
      <c r="L36">
        <v>1218.3157894736842</v>
      </c>
      <c r="M36">
        <v>123.14660766455133</v>
      </c>
      <c r="N36">
        <v>48.421052631578945</v>
      </c>
      <c r="O36">
        <v>1</v>
      </c>
      <c r="P36">
        <v>100</v>
      </c>
      <c r="Q36">
        <v>48.421052631578945</v>
      </c>
      <c r="R36">
        <v>7.5999999999999998E-2</v>
      </c>
    </row>
    <row r="37" spans="1:18" x14ac:dyDescent="0.35">
      <c r="A37">
        <v>100</v>
      </c>
      <c r="B37" cm="1">
        <f t="array" ref="B37">[1]!IPR_pwf_atma($B$20,$B$8,A37,$B$13,$B$9)</f>
        <v>0</v>
      </c>
      <c r="C37">
        <f>[1]!MF_p_choke_atma(A37,$B$13,$B$4,$B$7,0,$B$3,20,,$B$22)</f>
        <v>51.853271484375</v>
      </c>
      <c r="D37">
        <f>[1]!MF_p_pipeline_atma(C37,20,$B$19,$B$5,$B$3,A37,$B$13,0,$B$22,10,1)</f>
        <v>239.19541956476115</v>
      </c>
      <c r="J37">
        <v>8</v>
      </c>
      <c r="K37">
        <v>1421.3684210526317</v>
      </c>
      <c r="L37">
        <v>1421.3684210526317</v>
      </c>
      <c r="M37">
        <v>138.89151882210501</v>
      </c>
      <c r="N37">
        <v>53.15789473684211</v>
      </c>
      <c r="O37">
        <v>1</v>
      </c>
      <c r="P37">
        <v>100</v>
      </c>
      <c r="Q37">
        <v>53.15789473684211</v>
      </c>
      <c r="R37">
        <v>7.5999999999999998E-2</v>
      </c>
    </row>
    <row r="38" spans="1:18" x14ac:dyDescent="0.35">
      <c r="A38">
        <v>110</v>
      </c>
      <c r="B38" cm="1">
        <f t="array" ref="B38">[1]!IPR_pwf_atma($B$20,$B$8,A38,$B$13,$B$9)</f>
        <v>0</v>
      </c>
      <c r="C38">
        <f>[1]!MF_p_choke_atma(A38,$B$13,$B$4,$B$7,0,$B$3,20,,$B$22)</f>
        <v>56.638916015625</v>
      </c>
      <c r="D38">
        <f>[1]!MF_p_pipeline_atma(C38,20,$B$19,$B$5,$B$3,A38,$B$13,0,$B$22,10,1)</f>
        <v>247.95454560893344</v>
      </c>
      <c r="J38">
        <v>9</v>
      </c>
      <c r="K38">
        <v>1624.421052631579</v>
      </c>
      <c r="L38">
        <v>1624.421052631579</v>
      </c>
      <c r="M38">
        <v>154.4433237250125</v>
      </c>
      <c r="N38">
        <v>57.89473684210526</v>
      </c>
      <c r="O38">
        <v>1</v>
      </c>
      <c r="P38">
        <v>100</v>
      </c>
      <c r="Q38">
        <v>57.89473684210526</v>
      </c>
      <c r="R38">
        <v>7.5999999999999998E-2</v>
      </c>
    </row>
    <row r="39" spans="1:18" x14ac:dyDescent="0.35">
      <c r="A39">
        <v>120</v>
      </c>
      <c r="B39" cm="1">
        <f t="array" ref="B39">[1]!IPR_pwf_atma($B$20,$B$8,A39,$B$13,$B$9)</f>
        <v>0</v>
      </c>
      <c r="C39">
        <f>[1]!MF_p_choke_atma(A39,$B$13,$B$4,$B$7,0,$B$3,20,,$B$22)</f>
        <v>61.360107421875</v>
      </c>
      <c r="D39">
        <f>[1]!MF_p_pipeline_atma(C39,20,$B$19,$B$5,$B$3,A39,$B$13,0,$B$22,10,1)</f>
        <v>256.50450796221855</v>
      </c>
      <c r="J39">
        <v>10</v>
      </c>
      <c r="K39">
        <v>1827.4736842105262</v>
      </c>
      <c r="L39">
        <v>1827.4736842105262</v>
      </c>
      <c r="M39">
        <v>169.81356269926081</v>
      </c>
      <c r="N39">
        <v>62.631578947368418</v>
      </c>
      <c r="O39">
        <v>1</v>
      </c>
      <c r="P39">
        <v>100</v>
      </c>
      <c r="Q39">
        <v>62.631578947368418</v>
      </c>
      <c r="R39">
        <v>7.5999999999999998E-2</v>
      </c>
    </row>
    <row r="40" spans="1:18" x14ac:dyDescent="0.35">
      <c r="A40">
        <v>130</v>
      </c>
      <c r="B40" cm="1">
        <f t="array" ref="B40">[1]!IPR_pwf_atma($B$20,$B$8,A40,$B$13,$B$9)</f>
        <v>0</v>
      </c>
      <c r="C40">
        <f>[1]!MF_p_choke_atma(A40,$B$13,$B$4,$B$7,0,$B$3,20,,$B$22)</f>
        <v>66.018310546875</v>
      </c>
      <c r="D40">
        <f>[1]!MF_p_pipeline_atma(C40,20,$B$19,$B$5,$B$3,A40,$B$13,0,$B$22,10,1)</f>
        <v>263.99865561353874</v>
      </c>
      <c r="J40">
        <v>11</v>
      </c>
      <c r="K40">
        <v>2030.5263157894738</v>
      </c>
      <c r="L40">
        <v>2030.5263157894738</v>
      </c>
      <c r="M40">
        <v>185.02030488547283</v>
      </c>
      <c r="N40">
        <v>67.368421052631575</v>
      </c>
      <c r="O40">
        <v>1</v>
      </c>
      <c r="P40">
        <v>100</v>
      </c>
      <c r="Q40">
        <v>67.368421052631575</v>
      </c>
      <c r="R40">
        <v>7.5999999999999998E-2</v>
      </c>
    </row>
    <row r="41" spans="1:18" x14ac:dyDescent="0.35">
      <c r="A41">
        <v>140</v>
      </c>
      <c r="B41" cm="1">
        <f t="array" ref="B41">[1]!IPR_pwf_atma($B$20,$B$8,A41,$B$13,$B$9)</f>
        <v>0</v>
      </c>
      <c r="C41">
        <f>[1]!MF_p_choke_atma(A41,$B$13,$B$4,$B$7,0,$B$3,20,,$B$22)</f>
        <v>70.622314453125</v>
      </c>
      <c r="D41">
        <f>[1]!MF_p_pipeline_atma(C41,20,$B$19,$B$5,$B$3,A41,$B$13,0,$B$22,10,1)</f>
        <v>271.01756176875739</v>
      </c>
      <c r="J41">
        <v>12</v>
      </c>
      <c r="K41">
        <v>2233.5789473684213</v>
      </c>
      <c r="L41">
        <v>2233.5789473684213</v>
      </c>
      <c r="M41">
        <v>200.14821320027838</v>
      </c>
      <c r="N41">
        <v>72.105263157894754</v>
      </c>
      <c r="O41">
        <v>1</v>
      </c>
      <c r="P41">
        <v>100</v>
      </c>
      <c r="Q41">
        <v>72.105263157894754</v>
      </c>
      <c r="R41">
        <v>7.5999999999999998E-2</v>
      </c>
    </row>
    <row r="42" spans="1:18" x14ac:dyDescent="0.35">
      <c r="A42">
        <v>150</v>
      </c>
      <c r="B42" cm="1">
        <f t="array" ref="B42">[1]!IPR_pwf_atma($B$20,$B$8,A42,$B$13,$B$9)</f>
        <v>0</v>
      </c>
      <c r="C42">
        <f>[1]!MF_p_choke_atma(A42,$B$13,$B$4,$B$7,0,$B$3,20,,$B$22)</f>
        <v>75.175048828125</v>
      </c>
      <c r="D42">
        <f>[1]!MF_p_pipeline_atma(C42,20,$B$19,$B$5,$B$3,A42,$B$13,0,$B$22,10,1)</f>
        <v>277.89661905696272</v>
      </c>
      <c r="J42">
        <v>13</v>
      </c>
      <c r="K42">
        <v>2436.6315789473683</v>
      </c>
      <c r="L42">
        <v>2436.6315789473683</v>
      </c>
      <c r="M42">
        <v>215.23374142262281</v>
      </c>
      <c r="N42">
        <v>76.84210526315789</v>
      </c>
      <c r="O42">
        <v>1</v>
      </c>
      <c r="P42">
        <v>100</v>
      </c>
      <c r="Q42">
        <v>76.84210526315789</v>
      </c>
      <c r="R42">
        <v>7.5999999999999998E-2</v>
      </c>
    </row>
    <row r="43" spans="1:18" x14ac:dyDescent="0.35">
      <c r="A43">
        <v>160</v>
      </c>
      <c r="B43" cm="1">
        <f t="array" ref="B43">[1]!IPR_pwf_atma($B$20,$B$8,A43,$B$13,$B$9)</f>
        <v>0</v>
      </c>
      <c r="C43">
        <f>[1]!MF_p_choke_atma(A43,$B$13,$B$4,$B$7,0,$B$3,20,,$B$22)</f>
        <v>79.683837890625</v>
      </c>
      <c r="D43">
        <f>[1]!MF_p_pipeline_atma(C43,20,$B$19,$B$5,$B$3,A43,$B$13,0,$B$22,10,1)</f>
        <v>284.63866403171778</v>
      </c>
      <c r="J43">
        <v>14</v>
      </c>
      <c r="K43">
        <v>2639.6842105263158</v>
      </c>
      <c r="L43">
        <v>2639.6842105263158</v>
      </c>
      <c r="M43">
        <v>230.27578548606451</v>
      </c>
      <c r="N43">
        <v>81.578947368421055</v>
      </c>
      <c r="O43">
        <v>1</v>
      </c>
      <c r="P43">
        <v>100</v>
      </c>
      <c r="Q43">
        <v>81.578947368421055</v>
      </c>
      <c r="R43">
        <v>7.5999999999999998E-2</v>
      </c>
    </row>
    <row r="44" spans="1:18" x14ac:dyDescent="0.35">
      <c r="A44">
        <v>170</v>
      </c>
      <c r="B44" cm="1">
        <f t="array" ref="B44">[1]!IPR_pwf_atma($B$20,$B$8,A44,$B$13,$B$9)</f>
        <v>0</v>
      </c>
      <c r="C44">
        <f>[1]!MF_p_choke_atma(A44,$B$13,$B$4,$B$7,0,$B$3,20,,$B$22)</f>
        <v>84.156005859375</v>
      </c>
      <c r="D44">
        <f>[1]!MF_p_pipeline_atma(C44,20,$B$19,$B$5,$B$3,A44,$B$13,0,$B$22,10,1)</f>
        <v>291.25097274875276</v>
      </c>
      <c r="J44">
        <v>15</v>
      </c>
      <c r="K44">
        <v>2842.7368421052633</v>
      </c>
      <c r="L44">
        <v>2842.7368421052633</v>
      </c>
      <c r="M44">
        <v>245.27345574978077</v>
      </c>
      <c r="N44">
        <v>86.31578947368422</v>
      </c>
      <c r="O44">
        <v>1</v>
      </c>
      <c r="P44">
        <v>100</v>
      </c>
      <c r="Q44">
        <v>86.31578947368422</v>
      </c>
      <c r="R44">
        <v>7.5999999999999998E-2</v>
      </c>
    </row>
    <row r="45" spans="1:18" x14ac:dyDescent="0.35">
      <c r="A45">
        <v>180</v>
      </c>
      <c r="B45" cm="1">
        <f t="array" ref="B45">[1]!IPR_pwf_atma($B$20,$B$8,A45,$B$13,$B$9)</f>
        <v>0</v>
      </c>
      <c r="C45">
        <f>[1]!MF_p_choke_atma(A45,$B$13,$B$4,$B$7,0,$B$3,20,,$B$22)</f>
        <v>88.594482421875</v>
      </c>
      <c r="D45">
        <f>[1]!MF_p_pipeline_atma(C45,20,$B$19,$B$5,$B$3,A45,$B$13,0,$B$22,10,1)</f>
        <v>297.73687897161409</v>
      </c>
      <c r="J45">
        <v>16</v>
      </c>
      <c r="K45">
        <v>3045.7894736842104</v>
      </c>
      <c r="L45">
        <v>3045.7894736842104</v>
      </c>
      <c r="M45">
        <v>260.2260268097038</v>
      </c>
      <c r="N45">
        <v>91.05263157894737</v>
      </c>
      <c r="O45">
        <v>1</v>
      </c>
      <c r="P45">
        <v>100</v>
      </c>
      <c r="Q45">
        <v>91.05263157894737</v>
      </c>
      <c r="R45">
        <v>7.5999999999999998E-2</v>
      </c>
    </row>
    <row r="46" spans="1:18" x14ac:dyDescent="0.35">
      <c r="A46">
        <v>190</v>
      </c>
      <c r="B46" cm="1">
        <f t="array" ref="B46">[1]!IPR_pwf_atma($B$20,$B$8,A46,$B$13,$B$9)</f>
        <v>0</v>
      </c>
      <c r="C46">
        <f>[1]!MF_p_choke_atma(A46,$B$13,$B$4,$B$7,0,$B$3,20,,$B$22)</f>
        <v>93.006591796875</v>
      </c>
      <c r="D46">
        <f>[1]!MF_p_pipeline_atma(C46,20,$B$19,$B$5,$B$3,A46,$B$13,0,$B$22,10,1)</f>
        <v>304.1088725684919</v>
      </c>
      <c r="J46">
        <v>17</v>
      </c>
      <c r="K46">
        <v>3248.8421052631579</v>
      </c>
      <c r="L46">
        <v>3248.8421052631579</v>
      </c>
      <c r="M46">
        <v>275.13290152864636</v>
      </c>
      <c r="N46">
        <v>95.789473684210535</v>
      </c>
      <c r="O46">
        <v>1</v>
      </c>
      <c r="P46">
        <v>100</v>
      </c>
      <c r="Q46">
        <v>95.789473684210535</v>
      </c>
      <c r="R46">
        <v>7.5999999999999998E-2</v>
      </c>
    </row>
    <row r="47" spans="1:18" x14ac:dyDescent="0.35">
      <c r="A47">
        <v>200</v>
      </c>
      <c r="B47" cm="1">
        <f t="array" ref="B47">[1]!IPR_pwf_atma($B$20,$B$8,A47,$B$13,$B$9)</f>
        <v>0</v>
      </c>
      <c r="C47">
        <f>[1]!MF_p_choke_atma(A47,$B$13,$B$4,$B$7,0,$B$3,20,,$B$22)</f>
        <v>97.398193359375</v>
      </c>
      <c r="D47">
        <f>[1]!MF_p_pipeline_atma(C47,20,$B$19,$B$5,$B$3,A47,$B$13,0,$B$22,10,1)</f>
        <v>310.3782030098638</v>
      </c>
      <c r="J47">
        <v>18</v>
      </c>
      <c r="K47">
        <v>3451.8947368421054</v>
      </c>
      <c r="L47">
        <v>3451.8947368421054</v>
      </c>
      <c r="M47">
        <v>289.99358471284228</v>
      </c>
      <c r="N47">
        <v>100.52631578947368</v>
      </c>
      <c r="O47">
        <v>1</v>
      </c>
      <c r="P47">
        <v>100</v>
      </c>
      <c r="Q47">
        <v>100.52631578947368</v>
      </c>
      <c r="R47">
        <v>7.5999999999999998E-2</v>
      </c>
    </row>
    <row r="48" spans="1:18" x14ac:dyDescent="0.35">
      <c r="A48">
        <v>210</v>
      </c>
      <c r="B48" cm="1">
        <f t="array" ref="B48">[1]!IPR_pwf_atma($B$20,$B$8,A48,$B$13,$B$9)</f>
        <v>0</v>
      </c>
      <c r="C48">
        <f>[1]!MF_p_choke_atma(A48,$B$13,$B$4,$B$7,0,$B$3,20,,$B$22)</f>
        <v>101.773681640625</v>
      </c>
      <c r="D48">
        <f>[1]!MF_p_pipeline_atma(C48,20,$B$19,$B$5,$B$3,A48,$B$13,0,$B$22,10,1)</f>
        <v>316.55469413104322</v>
      </c>
      <c r="J48">
        <v>19</v>
      </c>
      <c r="K48">
        <v>3654.9473684210525</v>
      </c>
      <c r="L48">
        <v>3654.9473684210525</v>
      </c>
      <c r="M48">
        <v>304.80766348986612</v>
      </c>
      <c r="N48">
        <v>105.26315789473684</v>
      </c>
      <c r="O48">
        <v>1</v>
      </c>
      <c r="P48">
        <v>100</v>
      </c>
      <c r="Q48">
        <v>105.26315789473684</v>
      </c>
      <c r="R48">
        <v>7.5999999999999998E-2</v>
      </c>
    </row>
    <row r="49" spans="1:18" x14ac:dyDescent="0.35">
      <c r="A49">
        <v>220</v>
      </c>
      <c r="B49" cm="1">
        <f t="array" ref="B49">[1]!IPR_pwf_atma($B$20,$B$8,A49,$B$13,$B$9)</f>
        <v>0</v>
      </c>
      <c r="C49">
        <f>[1]!MF_p_choke_atma(A49,$B$13,$B$4,$B$7,0,$B$3,20,,$B$22)</f>
        <v>106.140380859375</v>
      </c>
      <c r="D49">
        <f>[1]!MF_p_pipeline_atma(C49,20,$B$19,$B$5,$B$3,A49,$B$13,0,$B$22,10,1)</f>
        <v>322.65256100614261</v>
      </c>
      <c r="J49">
        <v>20</v>
      </c>
      <c r="K49">
        <v>3858</v>
      </c>
      <c r="L49">
        <v>3858</v>
      </c>
      <c r="M49">
        <v>319.57618821806324</v>
      </c>
      <c r="N49">
        <v>110</v>
      </c>
      <c r="O49">
        <v>1</v>
      </c>
      <c r="P49">
        <v>100</v>
      </c>
      <c r="Q49">
        <v>110</v>
      </c>
      <c r="R49">
        <v>7.5999999999999998E-2</v>
      </c>
    </row>
    <row r="50" spans="1:18" x14ac:dyDescent="0.35">
      <c r="A50">
        <v>230</v>
      </c>
      <c r="B50" cm="1">
        <f t="array" ref="B50">[1]!IPR_pwf_atma($B$20,$B$8,A50,$B$13,$B$9)</f>
        <v>0</v>
      </c>
      <c r="C50">
        <f>[1]!MF_p_choke_atma(A50,$B$13,$B$4,$B$7,0,$B$3,20,,$B$22)</f>
        <v>110.502685546875</v>
      </c>
      <c r="D50">
        <f>[1]!MF_p_pipeline_atma(C50,20,$B$19,$B$5,$B$3,A50,$B$13,0,$B$22,10,1)</f>
        <v>328.68216721128584</v>
      </c>
    </row>
    <row r="51" spans="1:18" x14ac:dyDescent="0.35">
      <c r="A51">
        <v>240</v>
      </c>
      <c r="B51" cm="1">
        <f t="array" ref="B51">[1]!IPR_pwf_atma($B$20,$B$8,A51,$B$13,$B$9)</f>
        <v>0</v>
      </c>
      <c r="C51">
        <f>[1]!MF_p_choke_atma(A51,$B$13,$B$4,$B$7,0,$B$3,20,,$B$22)</f>
        <v>114.863525390625</v>
      </c>
      <c r="D51">
        <f>[1]!MF_p_pipeline_atma(C51,20,$B$19,$B$5,$B$3,A51,$B$13,0,$B$22,10,1)</f>
        <v>334.65111723978271</v>
      </c>
    </row>
    <row r="52" spans="1:18" x14ac:dyDescent="0.35">
      <c r="A52">
        <v>250</v>
      </c>
      <c r="B52" cm="1">
        <f t="array" ref="B52">[1]!IPR_pwf_atma($B$20,$B$8,A52,$B$13,$B$9)</f>
        <v>0</v>
      </c>
      <c r="C52">
        <f>[1]!MF_p_choke_atma(A52,$B$13,$B$4,$B$7,0,$B$3,20,,$B$22)</f>
        <v>119.228759765625</v>
      </c>
      <c r="D52">
        <f>[1]!MF_p_pipeline_atma(C52,20,$B$19,$B$5,$B$3,A52,$B$13,0,$B$22,10,1)</f>
        <v>340.57175992631119</v>
      </c>
    </row>
    <row r="53" spans="1:18" x14ac:dyDescent="0.35">
      <c r="A53">
        <v>260</v>
      </c>
      <c r="B53" cm="1">
        <f t="array" ref="B53">[1]!IPR_pwf_atma($B$20,$B$8,A53,$B$13,$B$9)</f>
        <v>0</v>
      </c>
      <c r="C53">
        <f>[1]!MF_p_choke_atma(A53,$B$13,$B$4,$B$7,0,$B$3,20,,$B$22)</f>
        <v>123.601318359375</v>
      </c>
      <c r="D53">
        <f>[1]!MF_p_pipeline_atma(C53,20,$B$19,$B$5,$B$3,A53,$B$13,0,$B$22,10,1)</f>
        <v>346.45137520336101</v>
      </c>
    </row>
    <row r="54" spans="1:18" x14ac:dyDescent="0.35">
      <c r="A54">
        <v>270</v>
      </c>
      <c r="B54" cm="1">
        <f t="array" ref="B54">[1]!IPR_pwf_atma($B$20,$B$8,A54,$B$13,$B$9)</f>
        <v>0</v>
      </c>
      <c r="C54">
        <f>[1]!MF_p_choke_atma(A54,$B$13,$B$4,$B$7,0,$B$3,20,,$B$22)</f>
        <v>127.987060546875</v>
      </c>
      <c r="D54">
        <f>[1]!MF_p_pipeline_atma(C54,20,$B$19,$B$5,$B$3,A54,$B$13,0,$B$22,10,1)</f>
        <v>352.30169224910441</v>
      </c>
    </row>
    <row r="55" spans="1:18" x14ac:dyDescent="0.35">
      <c r="A55">
        <v>280</v>
      </c>
      <c r="B55" cm="1">
        <f t="array" ref="B55">[1]!IPR_pwf_atma($B$20,$B$8,A55,$B$13,$B$9)</f>
        <v>0</v>
      </c>
      <c r="C55">
        <f>[1]!MF_p_choke_atma(A55,$B$13,$B$4,$B$7,0,$B$3,20,,$B$22)</f>
        <v>132.388916015625</v>
      </c>
      <c r="D55">
        <f>[1]!MF_p_pipeline_atma(C55,20,$B$19,$B$5,$B$3,A55,$B$13,0,$B$22,10,1)</f>
        <v>358.1294720026421</v>
      </c>
    </row>
    <row r="56" spans="1:18" x14ac:dyDescent="0.35">
      <c r="A56">
        <v>290</v>
      </c>
      <c r="B56" cm="1">
        <f t="array" ref="B56">[1]!IPR_pwf_atma($B$20,$B$8,A56,$B$13,$B$9)</f>
        <v>0</v>
      </c>
      <c r="C56">
        <f>[1]!MF_p_choke_atma(A56,$B$13,$B$4,$B$7,0,$B$3,20,,$B$22)</f>
        <v>136.808349609375</v>
      </c>
      <c r="D56">
        <f>[1]!MF_p_pipeline_atma(C56,20,$B$19,$B$5,$B$3,A56,$B$13,0,$B$22,10,1)</f>
        <v>363.93994417277122</v>
      </c>
    </row>
    <row r="57" spans="1:18" x14ac:dyDescent="0.35">
      <c r="A57">
        <v>300</v>
      </c>
      <c r="B57" cm="1">
        <f t="array" ref="B57">[1]!IPR_pwf_atma($B$20,$B$8,A57,$B$13,$B$9)</f>
        <v>0</v>
      </c>
      <c r="C57">
        <f>[1]!MF_p_choke_atma(A57,$B$13,$B$4,$B$7,0,$B$3,20,,$B$22)</f>
        <v>141.251220703125</v>
      </c>
      <c r="D57">
        <f>[1]!MF_p_pipeline_atma(C57,20,$B$19,$B$5,$B$3,A57,$B$13,0,$B$22,10,1)</f>
        <v>369.74380364070998</v>
      </c>
    </row>
    <row r="58" spans="1:18" x14ac:dyDescent="0.35">
      <c r="A58">
        <v>310</v>
      </c>
      <c r="B58" cm="1">
        <f t="array" ref="B58">[1]!IPR_pwf_atma($B$20,$B$8,A58,$B$13,$B$9)</f>
        <v>0</v>
      </c>
      <c r="C58">
        <f>[1]!MF_p_choke_atma(A58,$B$13,$B$4,$B$7,0,$B$3,20,,$B$22)</f>
        <v>145.718994140625</v>
      </c>
      <c r="D58">
        <f>[1]!MF_p_pipeline_atma(C58,20,$B$19,$B$5,$B$3,A58,$B$13,0,$B$22,10,1)</f>
        <v>375.54482077077552</v>
      </c>
    </row>
    <row r="59" spans="1:18" x14ac:dyDescent="0.35">
      <c r="A59">
        <v>320</v>
      </c>
      <c r="B59" cm="1">
        <f t="array" ref="B59">[1]!IPR_pwf_atma($B$20,$B$8,A59,$B$13,$B$9)</f>
        <v>0</v>
      </c>
      <c r="C59">
        <f>[1]!MF_p_choke_atma(A59,$B$13,$B$4,$B$7,0,$B$3,20,,$B$22)</f>
        <v>150.213134765625</v>
      </c>
      <c r="D59">
        <f>[1]!MF_p_pipeline_atma(C59,20,$B$19,$B$5,$B$3,A59,$B$13,0,$B$22,10,1)</f>
        <v>381.34761969158939</v>
      </c>
    </row>
    <row r="60" spans="1:18" x14ac:dyDescent="0.35">
      <c r="A60">
        <v>330</v>
      </c>
      <c r="B60" cm="1">
        <f t="array" ref="B60">[1]!IPR_pwf_atma($B$20,$B$8,A60,$B$13,$B$9)</f>
        <v>0</v>
      </c>
      <c r="C60">
        <f>[1]!MF_p_choke_atma(A60,$B$13,$B$4,$B$7,0,$B$3,20,,$B$22)</f>
        <v>154.924072265625</v>
      </c>
      <c r="D60">
        <f>[1]!MF_p_pipeline_atma(C60,20,$B$19,$B$5,$B$3,A60,$B$13,0,$B$22,10,1)</f>
        <v>387.38545313119965</v>
      </c>
    </row>
    <row r="61" spans="1:18" x14ac:dyDescent="0.35">
      <c r="A61">
        <v>340</v>
      </c>
      <c r="B61" cm="1">
        <f t="array" ref="B61">[1]!IPR_pwf_atma($B$20,$B$8,A61,$B$13,$B$9)</f>
        <v>0</v>
      </c>
      <c r="C61">
        <f>[1]!MF_p_choke_atma(A61,$B$13,$B$4,$B$7,0,$B$3,20,,$B$22)</f>
        <v>159.829833984375</v>
      </c>
      <c r="D61">
        <f>[1]!MF_p_pipeline_atma(C61,20,$B$19,$B$5,$B$3,A61,$B$13,0,$B$22,10,1)</f>
        <v>393.63073061829874</v>
      </c>
    </row>
    <row r="62" spans="1:18" x14ac:dyDescent="0.35">
      <c r="A62">
        <v>350</v>
      </c>
      <c r="B62" cm="1">
        <f t="array" ref="B62">[1]!IPR_pwf_atma($B$20,$B$8,A62,$B$13,$B$9)</f>
        <v>0</v>
      </c>
      <c r="C62">
        <f>[1]!MF_p_choke_atma(A62,$B$13,$B$4,$B$7,0,$B$3,20,,$B$22)</f>
        <v>164.800048828125</v>
      </c>
      <c r="D62">
        <f>[1]!MF_p_pipeline_atma(C62,20,$B$19,$B$5,$B$3,A62,$B$13,0,$B$22,10,1)</f>
        <v>399.92590340802798</v>
      </c>
    </row>
    <row r="63" spans="1:18" x14ac:dyDescent="0.35">
      <c r="A63">
        <v>360</v>
      </c>
      <c r="B63" cm="1">
        <f t="array" ref="B63">[1]!IPR_pwf_atma($B$20,$B$8,A63,$B$13,$B$9)</f>
        <v>0</v>
      </c>
      <c r="C63">
        <f>[1]!MF_p_choke_atma(A63,$B$13,$B$4,$B$7,0,$B$3,20,,$B$22)</f>
        <v>169.840576171875</v>
      </c>
      <c r="D63">
        <f>[1]!MF_p_pipeline_atma(C63,20,$B$19,$B$5,$B$3,A63,$B$13,0,$B$22,10,1)</f>
        <v>406.27901221698522</v>
      </c>
    </row>
    <row r="64" spans="1:18" x14ac:dyDescent="0.35">
      <c r="A64">
        <v>370</v>
      </c>
      <c r="B64" cm="1">
        <f t="array" ref="B64">[1]!IPR_pwf_atma($B$20,$B$8,A64,$B$13,$B$9)</f>
        <v>0</v>
      </c>
      <c r="C64">
        <f>[1]!MF_p_choke_atma(A64,$B$13,$B$4,$B$7,0,$B$3,20,,$B$22)</f>
        <v>174.952880859375</v>
      </c>
      <c r="D64">
        <f>[1]!MF_p_pipeline_atma(C64,20,$B$19,$B$5,$B$3,A64,$B$13,0,$B$22,10,1)</f>
        <v>412.6927401902239</v>
      </c>
    </row>
    <row r="65" spans="1:4" x14ac:dyDescent="0.35">
      <c r="A65">
        <v>380</v>
      </c>
      <c r="B65" cm="1">
        <f t="array" ref="B65">[1]!IPR_pwf_atma($B$20,$B$8,A65,$B$13,$B$9)</f>
        <v>0</v>
      </c>
      <c r="C65">
        <f>[1]!MF_p_choke_atma(A65,$B$13,$B$4,$B$7,0,$B$3,20,,$B$22)</f>
        <v>180.139892578125</v>
      </c>
      <c r="D65">
        <f>[1]!MF_p_pipeline_atma(C65,20,$B$19,$B$5,$B$3,A65,$B$13,0,$B$22,10,1)</f>
        <v>419.17141634298201</v>
      </c>
    </row>
    <row r="66" spans="1:4" x14ac:dyDescent="0.35">
      <c r="A66">
        <v>390</v>
      </c>
      <c r="B66" cm="1">
        <f t="array" ref="B66">[1]!IPR_pwf_atma($B$20,$B$8,A66,$B$13,$B$9)</f>
        <v>0</v>
      </c>
      <c r="C66">
        <f>[1]!MF_p_choke_atma(A66,$B$13,$B$4,$B$7,0,$B$3,20,,$B$22)</f>
        <v>185.403076171875</v>
      </c>
      <c r="D66">
        <f>[1]!MF_p_pipeline_atma(C66,20,$B$19,$B$5,$B$3,A66,$B$13,0,$B$22,10,1)</f>
        <v>425.71757742970351</v>
      </c>
    </row>
    <row r="67" spans="1:4" x14ac:dyDescent="0.35">
      <c r="A67">
        <v>400</v>
      </c>
      <c r="B67" cm="1">
        <f t="array" ref="B67">[1]!IPR_pwf_atma($B$20,$B$8,A67,$B$13,$B$9)</f>
        <v>0</v>
      </c>
      <c r="C67">
        <f>[1]!MF_p_choke_atma(A67,$B$13,$B$4,$B$7,0,$B$3,20,,$B$22)</f>
        <v>190.746826171875</v>
      </c>
      <c r="D67">
        <f>[1]!MF_p_pipeline_atma(C67,20,$B$19,$B$5,$B$3,A67,$B$13,0,$B$22,10,1)</f>
        <v>432.33706140666771</v>
      </c>
    </row>
    <row r="68" spans="1:4" x14ac:dyDescent="0.35">
      <c r="A68">
        <v>410</v>
      </c>
      <c r="B68" cm="1">
        <f t="array" ref="B68">[1]!IPR_pwf_atma($B$20,$B$8,A68,$B$13,$B$9)</f>
        <v>0</v>
      </c>
      <c r="C68">
        <f>[1]!MF_p_choke_atma(A68,$B$13,$B$4,$B$7,0,$B$3,20,,$B$22)</f>
        <v>196.171142578125</v>
      </c>
      <c r="D68">
        <f>[1]!MF_p_pipeline_atma(C68,20,$B$19,$B$5,$B$3,A68,$B$13,0,$B$22,10,1)</f>
        <v>439.03056473336369</v>
      </c>
    </row>
    <row r="69" spans="1:4" x14ac:dyDescent="0.35">
      <c r="A69">
        <v>420</v>
      </c>
      <c r="B69" cm="1">
        <f t="array" ref="B69">[1]!IPR_pwf_atma($B$20,$B$8,A69,$B$13,$B$9)</f>
        <v>0</v>
      </c>
      <c r="C69">
        <f>[1]!MF_p_choke_atma(A69,$B$13,$B$4,$B$7,0,$B$3,20,,$B$22)</f>
        <v>201.605712890625</v>
      </c>
      <c r="D69">
        <f>[1]!MF_p_pipeline_atma(C69,20,$B$19,$B$5,$B$3,A69,$B$13,0,$B$22,10,1)</f>
        <v>445.71911565506849</v>
      </c>
    </row>
    <row r="70" spans="1:4" x14ac:dyDescent="0.35">
      <c r="A70">
        <v>430</v>
      </c>
      <c r="B70" cm="1">
        <f t="array" ref="B70">[1]!IPR_pwf_atma($B$20,$B$8,A70,$B$13,$B$9)</f>
        <v>0</v>
      </c>
      <c r="C70">
        <f>[1]!MF_p_choke_atma(A70,$B$13,$B$4,$B$7,0,$B$3,20,,$B$22)</f>
        <v>207.648193359375</v>
      </c>
      <c r="D70">
        <f>[1]!MF_p_pipeline_atma(C70,20,$B$19,$B$5,$B$3,A70,$B$13,0,$B$22,10,1)</f>
        <v>453.07809132263208</v>
      </c>
    </row>
    <row r="71" spans="1:4" x14ac:dyDescent="0.35">
      <c r="A71">
        <v>440</v>
      </c>
      <c r="B71" cm="1">
        <f t="array" ref="B71">[1]!IPR_pwf_atma($B$20,$B$8,A71,$B$13,$B$9)</f>
        <v>0</v>
      </c>
      <c r="C71">
        <f>[1]!MF_p_choke_atma(A71,$B$13,$B$4,$B$7,0,$B$3,20,,$B$22)</f>
        <v>213.812255859375</v>
      </c>
      <c r="D71">
        <f>[1]!MF_p_pipeline_atma(C71,20,$B$19,$B$5,$B$3,A71,$B$13,0,$B$22,10,1)</f>
        <v>460.55379158046122</v>
      </c>
    </row>
    <row r="72" spans="1:4" x14ac:dyDescent="0.35">
      <c r="A72">
        <v>450</v>
      </c>
      <c r="B72" cm="1">
        <f t="array" ref="B72">[1]!IPR_pwf_atma($B$20,$B$8,A72,$B$13,$B$9)</f>
        <v>0</v>
      </c>
      <c r="C72">
        <f>[1]!MF_p_choke_atma(A72,$B$13,$B$4,$B$7,0,$B$3,20,,$B$22)</f>
        <v>220.099365234375</v>
      </c>
      <c r="D72">
        <f>[1]!MF_p_pipeline_atma(C72,20,$B$19,$B$5,$B$3,A72,$B$13,0,$B$22,10,1)</f>
        <v>468.1482943848045</v>
      </c>
    </row>
    <row r="73" spans="1:4" x14ac:dyDescent="0.35">
      <c r="A73">
        <v>460</v>
      </c>
      <c r="B73" cm="1">
        <f t="array" ref="B73">[1]!IPR_pwf_atma($B$20,$B$8,A73,$B$13,$B$9)</f>
        <v>0</v>
      </c>
      <c r="C73">
        <f>[1]!MF_p_choke_atma(A73,$B$13,$B$4,$B$7,0,$B$3,20,,$B$22)</f>
        <v>226.512451171875</v>
      </c>
      <c r="D73">
        <f>[1]!MF_p_pipeline_atma(C73,20,$B$19,$B$5,$B$3,A73,$B$13,0,$B$22,10,1)</f>
        <v>475.86528109854879</v>
      </c>
    </row>
    <row r="74" spans="1:4" x14ac:dyDescent="0.35">
      <c r="A74">
        <v>470</v>
      </c>
      <c r="B74" cm="1">
        <f t="array" ref="B74">[1]!IPR_pwf_atma($B$20,$B$8,A74,$B$13,$B$9)</f>
        <v>0</v>
      </c>
      <c r="C74">
        <f>[1]!MF_p_choke_atma(A74,$B$13,$B$4,$B$7,0,$B$3,20,,$B$22)</f>
        <v>233.054443359375</v>
      </c>
      <c r="D74">
        <f>[1]!MF_p_pipeline_atma(C74,20,$B$19,$B$5,$B$3,A74,$B$13,0,$B$22,10,1)</f>
        <v>483.70838098824288</v>
      </c>
    </row>
    <row r="75" spans="1:4" x14ac:dyDescent="0.35">
      <c r="A75">
        <v>480</v>
      </c>
      <c r="B75" cm="1">
        <f t="array" ref="B75">[1]!IPR_pwf_atma($B$20,$B$8,A75,$B$13,$B$9)</f>
        <v>0</v>
      </c>
      <c r="C75">
        <f>[1]!MF_p_choke_atma(A75,$B$13,$B$4,$B$7,0,$B$3,20,,$B$22)</f>
        <v>239.723876953125</v>
      </c>
      <c r="D75">
        <f>[1]!MF_p_pipeline_atma(C75,20,$B$19,$B$5,$B$3,A75,$B$13,0,$B$22,10,1)</f>
        <v>491.67634006015106</v>
      </c>
    </row>
    <row r="76" spans="1:4" x14ac:dyDescent="0.35">
      <c r="A76">
        <v>490</v>
      </c>
      <c r="B76" cm="1">
        <f t="array" ref="B76">[1]!IPR_pwf_atma($B$20,$B$8,A76,$B$13,$B$9)</f>
        <v>0</v>
      </c>
      <c r="C76">
        <f>[1]!MF_p_choke_atma(A76,$B$13,$B$4,$B$7,0,$B$3,20,,$B$22)</f>
        <v>246.525146484375</v>
      </c>
      <c r="D76">
        <f>[1]!MF_p_pipeline_atma(C76,20,$B$19,$B$5,$B$3,A76,$B$13,0,$B$22,10,1)</f>
        <v>499.77435899798274</v>
      </c>
    </row>
    <row r="77" spans="1:4" x14ac:dyDescent="0.35">
      <c r="A77">
        <v>500</v>
      </c>
      <c r="B77" cm="1">
        <f t="array" ref="B77">[1]!IPR_pwf_atma($B$20,$B$8,A77,$B$13,$B$9)</f>
        <v>0</v>
      </c>
      <c r="C77">
        <f>[1]!MF_p_choke_atma(A77,$B$13,$B$4,$B$7,0,$B$3,20,,$B$22)</f>
        <v>253.456787109375</v>
      </c>
      <c r="D77">
        <f>[1]!MF_p_pipeline_atma(C77,20,$B$19,$B$5,$B$3,A77,$B$13,0,$B$22,10,1)</f>
        <v>508.00117099577096</v>
      </c>
    </row>
    <row r="80" spans="1:4" x14ac:dyDescent="0.35">
      <c r="A80" t="s">
        <v>234</v>
      </c>
    </row>
    <row r="81" spans="1:9" x14ac:dyDescent="0.35">
      <c r="A81" cm="1">
        <f t="array" ref="A81:I103">[1]!MF_p_pipeline_atma(C27,20,$B$19,$B$5,$B$3,B10,$B$13,0,$B$22,10,1)</f>
        <v>246.51532539726489</v>
      </c>
      <c r="B81">
        <v>110</v>
      </c>
      <c r="C81">
        <v>24</v>
      </c>
      <c r="D81">
        <v>20</v>
      </c>
      <c r="E81">
        <v>246.51532539726489</v>
      </c>
      <c r="F81">
        <v>110</v>
      </c>
      <c r="G81">
        <v>1</v>
      </c>
      <c r="H81">
        <v>1</v>
      </c>
      <c r="I81">
        <v>5032.0455000000002</v>
      </c>
    </row>
    <row r="82" spans="1:9" x14ac:dyDescent="0.35">
      <c r="A82" t="str">
        <v>p_result_atma</v>
      </c>
      <c r="B82" t="str">
        <v>t_result_C</v>
      </c>
      <c r="C82" t="str">
        <v>p_1, atma</v>
      </c>
      <c r="D82" t="str">
        <v>t_1, C</v>
      </c>
      <c r="E82" t="str">
        <v>p_2, atma</v>
      </c>
      <c r="F82" t="str">
        <v>t_2, C</v>
      </c>
      <c r="G82" t="str">
        <v>c_calibr_grav</v>
      </c>
      <c r="H82" t="str">
        <v>c_calibr_fric</v>
      </c>
      <c r="I82" t="str">
        <v>q_gas_sm3day</v>
      </c>
    </row>
    <row r="83" spans="1:9" x14ac:dyDescent="0.35">
      <c r="A83" t="str">
        <v>num</v>
      </c>
      <c r="B83" t="str">
        <v>h,m</v>
      </c>
      <c r="C83" t="str">
        <v>hvert,m</v>
      </c>
      <c r="D83" t="str">
        <v>p,atma</v>
      </c>
      <c r="E83" t="str">
        <v>t,C</v>
      </c>
      <c r="F83" t="str">
        <v>Hl</v>
      </c>
      <c r="G83" t="str">
        <v>fpat</v>
      </c>
      <c r="H83" t="str">
        <v>t_amb, C</v>
      </c>
      <c r="I83" t="str">
        <v>diam, m</v>
      </c>
    </row>
    <row r="84" spans="1:9" x14ac:dyDescent="0.35">
      <c r="A84">
        <v>1</v>
      </c>
      <c r="B84">
        <v>0</v>
      </c>
      <c r="C84">
        <v>0</v>
      </c>
      <c r="D84">
        <v>24</v>
      </c>
      <c r="E84">
        <v>20</v>
      </c>
      <c r="F84">
        <v>0.36915607313280396</v>
      </c>
      <c r="G84">
        <v>103</v>
      </c>
      <c r="H84">
        <v>20</v>
      </c>
      <c r="I84">
        <v>7.5999999999999998E-2</v>
      </c>
    </row>
    <row r="85" spans="1:9" x14ac:dyDescent="0.35">
      <c r="A85">
        <v>2</v>
      </c>
      <c r="B85">
        <v>203.05263157894737</v>
      </c>
      <c r="C85">
        <v>203.05263157894737</v>
      </c>
      <c r="D85">
        <v>30.575505237330287</v>
      </c>
      <c r="E85">
        <v>24.736842105263158</v>
      </c>
      <c r="F85">
        <v>0.50508263783224028</v>
      </c>
      <c r="G85">
        <v>103</v>
      </c>
      <c r="H85">
        <v>24.736842105263158</v>
      </c>
      <c r="I85">
        <v>7.5999999999999998E-2</v>
      </c>
    </row>
    <row r="86" spans="1:9" x14ac:dyDescent="0.35">
      <c r="A86">
        <v>3</v>
      </c>
      <c r="B86">
        <v>406.10526315789474</v>
      </c>
      <c r="C86">
        <v>406.10526315789474</v>
      </c>
      <c r="D86">
        <v>39.239173016732529</v>
      </c>
      <c r="E86">
        <v>29.473684210526315</v>
      </c>
      <c r="F86">
        <v>0.55939287144479544</v>
      </c>
      <c r="G86">
        <v>103</v>
      </c>
      <c r="H86">
        <v>29.473684210526315</v>
      </c>
      <c r="I86">
        <v>7.5999999999999998E-2</v>
      </c>
    </row>
    <row r="87" spans="1:9" x14ac:dyDescent="0.35">
      <c r="A87">
        <v>4</v>
      </c>
      <c r="B87">
        <v>609.15789473684208</v>
      </c>
      <c r="C87">
        <v>609.15789473684208</v>
      </c>
      <c r="D87">
        <v>48.85371238975533</v>
      </c>
      <c r="E87">
        <v>34.210526315789473</v>
      </c>
      <c r="F87">
        <v>0.60868257290691119</v>
      </c>
      <c r="G87">
        <v>103</v>
      </c>
      <c r="H87">
        <v>34.210526315789473</v>
      </c>
      <c r="I87">
        <v>7.5999999999999998E-2</v>
      </c>
    </row>
    <row r="88" spans="1:9" x14ac:dyDescent="0.35">
      <c r="A88">
        <v>5</v>
      </c>
      <c r="B88">
        <v>812.21052631578948</v>
      </c>
      <c r="C88">
        <v>812.21052631578948</v>
      </c>
      <c r="D88">
        <v>59.277319365522203</v>
      </c>
      <c r="E88">
        <v>38.94736842105263</v>
      </c>
      <c r="F88">
        <v>0.65209688289945644</v>
      </c>
      <c r="G88">
        <v>103</v>
      </c>
      <c r="H88">
        <v>38.94736842105263</v>
      </c>
      <c r="I88">
        <v>7.5999999999999998E-2</v>
      </c>
    </row>
    <row r="89" spans="1:9" x14ac:dyDescent="0.35">
      <c r="A89">
        <v>6</v>
      </c>
      <c r="B89">
        <v>1015.2631578947369</v>
      </c>
      <c r="C89">
        <v>1015.2631578947369</v>
      </c>
      <c r="D89">
        <v>70.365782121302558</v>
      </c>
      <c r="E89">
        <v>43.684210526315788</v>
      </c>
      <c r="F89">
        <v>0.68941143316781339</v>
      </c>
      <c r="G89">
        <v>103</v>
      </c>
      <c r="H89">
        <v>43.684210526315788</v>
      </c>
      <c r="I89">
        <v>7.5999999999999998E-2</v>
      </c>
    </row>
    <row r="90" spans="1:9" x14ac:dyDescent="0.35">
      <c r="A90">
        <v>7</v>
      </c>
      <c r="B90">
        <v>1218.3157894736842</v>
      </c>
      <c r="C90">
        <v>1218.3157894736842</v>
      </c>
      <c r="D90">
        <v>81.982641821402069</v>
      </c>
      <c r="E90">
        <v>48.421052631578945</v>
      </c>
      <c r="F90">
        <v>0.720840689036644</v>
      </c>
      <c r="G90">
        <v>103</v>
      </c>
      <c r="H90">
        <v>48.421052631578945</v>
      </c>
      <c r="I90">
        <v>7.5999999999999998E-2</v>
      </c>
    </row>
    <row r="91" spans="1:9" x14ac:dyDescent="0.35">
      <c r="A91">
        <v>8</v>
      </c>
      <c r="B91">
        <v>1421.3684210526317</v>
      </c>
      <c r="C91">
        <v>1421.3684210526317</v>
      </c>
      <c r="D91">
        <v>94.00653011826067</v>
      </c>
      <c r="E91">
        <v>53.15789473684211</v>
      </c>
      <c r="F91">
        <v>0.74696680158719764</v>
      </c>
      <c r="G91">
        <v>103</v>
      </c>
      <c r="H91">
        <v>53.15789473684211</v>
      </c>
      <c r="I91">
        <v>7.5999999999999998E-2</v>
      </c>
    </row>
    <row r="92" spans="1:9" x14ac:dyDescent="0.35">
      <c r="A92">
        <v>9</v>
      </c>
      <c r="B92">
        <v>1624.421052631579</v>
      </c>
      <c r="C92">
        <v>1624.421052631579</v>
      </c>
      <c r="D92">
        <v>106.3350023773509</v>
      </c>
      <c r="E92">
        <v>57.89473684210526</v>
      </c>
      <c r="F92">
        <v>0.76854424978707159</v>
      </c>
      <c r="G92">
        <v>103</v>
      </c>
      <c r="H92">
        <v>57.89473684210526</v>
      </c>
      <c r="I92">
        <v>7.5999999999999998E-2</v>
      </c>
    </row>
    <row r="93" spans="1:9" x14ac:dyDescent="0.35">
      <c r="A93">
        <v>10</v>
      </c>
      <c r="B93">
        <v>1827.4736842105262</v>
      </c>
      <c r="C93">
        <v>1827.4736842105262</v>
      </c>
      <c r="D93">
        <v>118.88502890799123</v>
      </c>
      <c r="E93">
        <v>62.631578947368418</v>
      </c>
      <c r="F93">
        <v>0.78635940343530775</v>
      </c>
      <c r="G93">
        <v>103</v>
      </c>
      <c r="H93">
        <v>62.631578947368418</v>
      </c>
      <c r="I93">
        <v>7.5999999999999998E-2</v>
      </c>
    </row>
    <row r="94" spans="1:9" x14ac:dyDescent="0.35">
      <c r="A94">
        <v>11</v>
      </c>
      <c r="B94">
        <v>2030.5263157894738</v>
      </c>
      <c r="C94">
        <v>2030.5263157894738</v>
      </c>
      <c r="D94">
        <v>131.59134642342426</v>
      </c>
      <c r="E94">
        <v>67.368421052631575</v>
      </c>
      <c r="F94">
        <v>0.80113713243282569</v>
      </c>
      <c r="G94">
        <v>103</v>
      </c>
      <c r="H94">
        <v>67.368421052631575</v>
      </c>
      <c r="I94">
        <v>7.5999999999999998E-2</v>
      </c>
    </row>
    <row r="95" spans="1:9" x14ac:dyDescent="0.35">
      <c r="A95">
        <v>12</v>
      </c>
      <c r="B95">
        <v>2233.5789473684213</v>
      </c>
      <c r="C95">
        <v>2233.5789473684213</v>
      </c>
      <c r="D95">
        <v>144.40374532896166</v>
      </c>
      <c r="E95">
        <v>72.105263157894754</v>
      </c>
      <c r="F95">
        <v>0.81349569083475948</v>
      </c>
      <c r="G95">
        <v>103</v>
      </c>
      <c r="H95">
        <v>72.105263157894754</v>
      </c>
      <c r="I95">
        <v>7.5999999999999998E-2</v>
      </c>
    </row>
    <row r="96" spans="1:9" x14ac:dyDescent="0.35">
      <c r="A96">
        <v>13</v>
      </c>
      <c r="B96">
        <v>2436.6315789473683</v>
      </c>
      <c r="C96">
        <v>2436.6315789473683</v>
      </c>
      <c r="D96">
        <v>157.20372664891892</v>
      </c>
      <c r="E96">
        <v>76.84210526315789</v>
      </c>
      <c r="F96">
        <v>0.79436213222705221</v>
      </c>
      <c r="G96">
        <v>102</v>
      </c>
      <c r="H96">
        <v>76.84210526315789</v>
      </c>
      <c r="I96">
        <v>7.5999999999999998E-2</v>
      </c>
    </row>
    <row r="97" spans="1:9" x14ac:dyDescent="0.35">
      <c r="A97">
        <v>14</v>
      </c>
      <c r="B97">
        <v>2639.6842105263158</v>
      </c>
      <c r="C97">
        <v>2639.6842105263158</v>
      </c>
      <c r="D97">
        <v>169.91730402989143</v>
      </c>
      <c r="E97">
        <v>81.578947368421055</v>
      </c>
      <c r="F97">
        <v>0.80435109374405456</v>
      </c>
      <c r="G97">
        <v>102</v>
      </c>
      <c r="H97">
        <v>81.578947368421055</v>
      </c>
      <c r="I97">
        <v>7.5999999999999998E-2</v>
      </c>
    </row>
    <row r="98" spans="1:9" x14ac:dyDescent="0.35">
      <c r="A98">
        <v>15</v>
      </c>
      <c r="B98">
        <v>2842.7368421052633</v>
      </c>
      <c r="C98">
        <v>2842.7368421052633</v>
      </c>
      <c r="D98">
        <v>182.65810338087257</v>
      </c>
      <c r="E98">
        <v>86.31578947368422</v>
      </c>
      <c r="F98">
        <v>0.81299001308021412</v>
      </c>
      <c r="G98">
        <v>102</v>
      </c>
      <c r="H98">
        <v>86.31578947368422</v>
      </c>
      <c r="I98">
        <v>7.5999999999999998E-2</v>
      </c>
    </row>
    <row r="99" spans="1:9" x14ac:dyDescent="0.35">
      <c r="A99">
        <v>16</v>
      </c>
      <c r="B99">
        <v>3045.7894736842104</v>
      </c>
      <c r="C99">
        <v>3045.7894736842104</v>
      </c>
      <c r="D99">
        <v>195.4091592524766</v>
      </c>
      <c r="E99">
        <v>91.05263157894737</v>
      </c>
      <c r="F99">
        <v>0.8205365496204412</v>
      </c>
      <c r="G99">
        <v>102</v>
      </c>
      <c r="H99">
        <v>91.05263157894737</v>
      </c>
      <c r="I99">
        <v>7.5999999999999998E-2</v>
      </c>
    </row>
    <row r="100" spans="1:9" x14ac:dyDescent="0.35">
      <c r="A100">
        <v>17</v>
      </c>
      <c r="B100">
        <v>3248.8421052631579</v>
      </c>
      <c r="C100">
        <v>3248.8421052631579</v>
      </c>
      <c r="D100">
        <v>208.16501554741427</v>
      </c>
      <c r="E100">
        <v>95.789473684210535</v>
      </c>
      <c r="F100">
        <v>0.82553255095692257</v>
      </c>
      <c r="G100">
        <v>102</v>
      </c>
      <c r="H100">
        <v>95.789473684210535</v>
      </c>
      <c r="I100">
        <v>7.5999999999999998E-2</v>
      </c>
    </row>
    <row r="101" spans="1:9" x14ac:dyDescent="0.35">
      <c r="A101">
        <v>18</v>
      </c>
      <c r="B101">
        <v>3451.8947368421054</v>
      </c>
      <c r="C101">
        <v>3451.8947368421054</v>
      </c>
      <c r="D101">
        <v>220.9384209620039</v>
      </c>
      <c r="E101">
        <v>100.52631578947368</v>
      </c>
      <c r="F101">
        <v>0.82877416329825149</v>
      </c>
      <c r="G101">
        <v>102</v>
      </c>
      <c r="H101">
        <v>100.52631578947368</v>
      </c>
      <c r="I101">
        <v>7.5999999999999998E-2</v>
      </c>
    </row>
    <row r="102" spans="1:9" x14ac:dyDescent="0.35">
      <c r="A102">
        <v>19</v>
      </c>
      <c r="B102">
        <v>3654.9473684210525</v>
      </c>
      <c r="C102">
        <v>3654.9473684210525</v>
      </c>
      <c r="D102">
        <v>233.72423989573278</v>
      </c>
      <c r="E102">
        <v>105.26315789473684</v>
      </c>
      <c r="F102">
        <v>0.83157627589996563</v>
      </c>
      <c r="G102">
        <v>102</v>
      </c>
      <c r="H102">
        <v>105.26315789473684</v>
      </c>
      <c r="I102">
        <v>7.5999999999999998E-2</v>
      </c>
    </row>
    <row r="103" spans="1:9" x14ac:dyDescent="0.35">
      <c r="A103">
        <v>20</v>
      </c>
      <c r="B103">
        <v>3858</v>
      </c>
      <c r="C103">
        <v>3858</v>
      </c>
      <c r="D103">
        <v>246.51532539726489</v>
      </c>
      <c r="E103">
        <v>110</v>
      </c>
      <c r="F103">
        <v>0.83402269066771395</v>
      </c>
      <c r="G103">
        <v>102</v>
      </c>
      <c r="H103">
        <v>110</v>
      </c>
      <c r="I103">
        <v>7.5999999999999998E-2</v>
      </c>
    </row>
  </sheetData>
  <mergeCells count="2">
    <mergeCell ref="A25:B25"/>
    <mergeCell ref="C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BudoM</dc:creator>
  <cp:lastModifiedBy>BudoM</cp:lastModifiedBy>
  <dcterms:created xsi:type="dcterms:W3CDTF">2015-06-05T18:19:34Z</dcterms:created>
  <dcterms:modified xsi:type="dcterms:W3CDTF">2021-02-23T20:34:09Z</dcterms:modified>
</cp:coreProperties>
</file>