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9DE55CB-0A4E-4B54-BB4E-1E44A503C5B7}" xr6:coauthVersionLast="46" xr6:coauthVersionMax="46" xr10:uidLastSave="{00000000-0000-0000-0000-000000000000}"/>
  <bookViews>
    <workbookView xWindow="-110" yWindow="-110" windowWidth="19420" windowHeight="10420" xr2:uid="{4766D87E-75A3-48CF-9593-C44A59BE9F49}"/>
  </bookViews>
  <sheets>
    <sheet name="Лист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AE5" i="1" l="1"/>
  <c r="D23" i="1"/>
  <c r="D24" i="1"/>
  <c r="D32" i="1"/>
  <c r="D40" i="1"/>
  <c r="D35" i="1"/>
  <c r="D30" i="1"/>
  <c r="D25" i="1"/>
  <c r="D33" i="1"/>
  <c r="D41" i="1"/>
  <c r="D36" i="1"/>
  <c r="D38" i="1"/>
  <c r="D26" i="1"/>
  <c r="D34" i="1"/>
  <c r="D42" i="1"/>
  <c r="D27" i="1"/>
  <c r="D37" i="1"/>
  <c r="D31" i="1"/>
  <c r="D39" i="1"/>
  <c r="D28" i="1"/>
  <c r="D29" i="1"/>
  <c r="D22" i="1"/>
  <c r="C11" i="1"/>
  <c r="C10" i="1"/>
  <c r="C17" i="1"/>
  <c r="B17" i="1"/>
  <c r="D17" i="1"/>
  <c r="F17" i="1"/>
  <c r="H17" i="1"/>
  <c r="J17" i="1"/>
  <c r="E17" i="1"/>
  <c r="G17" i="1"/>
  <c r="I17" i="1"/>
  <c r="K17" i="1"/>
  <c r="C16" i="1"/>
  <c r="B16" i="1"/>
  <c r="D16" i="1"/>
  <c r="F16" i="1"/>
  <c r="H16" i="1"/>
  <c r="J16" i="1"/>
  <c r="E16" i="1"/>
  <c r="G16" i="1"/>
  <c r="I16" i="1"/>
  <c r="K16" i="1"/>
  <c r="C38" i="1"/>
  <c r="C37" i="1"/>
  <c r="C29" i="1"/>
  <c r="C36" i="1"/>
  <c r="C28" i="1"/>
  <c r="C39" i="1"/>
  <c r="C26" i="1"/>
  <c r="C35" i="1"/>
  <c r="C42" i="1"/>
  <c r="C41" i="1"/>
  <c r="C33" i="1"/>
  <c r="C25" i="1"/>
  <c r="C31" i="1"/>
  <c r="C30" i="1"/>
  <c r="C27" i="1"/>
  <c r="C34" i="1"/>
  <c r="C40" i="1"/>
  <c r="C32" i="1"/>
  <c r="C24" i="1"/>
  <c r="C22" i="1"/>
  <c r="C23" i="1"/>
  <c r="E37" i="1" a="1"/>
  <c r="E3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олег</author>
    <author>User</author>
    <author>pshl</author>
    <author>Пашали А.А.</author>
    <author>startsevma</author>
    <author>Старцев</author>
    <author>svsokolov</author>
  </authors>
  <commentList>
    <comment ref="B1" authorId="0" shapeId="0" xr:uid="{54CA575E-B0B5-4F87-8A10-26C51FAEAFE6}">
      <text>
        <r>
          <rPr>
            <sz val="8"/>
            <color indexed="81"/>
            <rFont val="Tahoma"/>
            <family val="2"/>
            <charset val="204"/>
          </rPr>
          <t>Названия НГДУ или другой структурной еденицы</t>
        </r>
      </text>
    </comment>
    <comment ref="C1" authorId="1" shapeId="0" xr:uid="{E145D5B0-8F5A-457A-9DBD-E4CB196DA469}">
      <text>
        <r>
          <rPr>
            <b/>
            <sz val="8"/>
            <color indexed="81"/>
            <rFont val="Tahoma"/>
            <family val="2"/>
            <charset val="204"/>
          </rPr>
          <t>Название месторождения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F1" authorId="1" shapeId="0" xr:uid="{F5960272-FC24-47B1-8DB0-0C616463DF56}">
      <text>
        <r>
          <rPr>
            <b/>
            <sz val="8"/>
            <color indexed="81"/>
            <rFont val="Tahoma"/>
            <family val="2"/>
            <charset val="204"/>
          </rPr>
          <t>Тип скважины:
1.вертикальная - ВЕРТ
2.горизонтальная -ГОР</t>
        </r>
      </text>
    </comment>
    <comment ref="J1" authorId="2" shapeId="0" xr:uid="{77ED7848-8142-4871-A0F3-673ED37D3165}">
      <text>
        <r>
          <rPr>
            <sz val="8"/>
            <color indexed="81"/>
            <rFont val="Tahoma"/>
            <family val="2"/>
            <charset val="204"/>
          </rPr>
          <t>Указывается 
внутренний диаметр</t>
        </r>
      </text>
    </comment>
    <comment ref="K1" authorId="2" shapeId="0" xr:uid="{0955ED5D-41FD-4AA6-9027-84C0D7558234}">
      <text>
        <r>
          <rPr>
            <sz val="8"/>
            <color indexed="81"/>
            <rFont val="Tahoma"/>
            <family val="2"/>
            <charset val="204"/>
          </rPr>
          <t>Указывается 
внешний диаметр</t>
        </r>
      </text>
    </comment>
    <comment ref="L1" authorId="3" shapeId="0" xr:uid="{CDD3A870-8E76-4992-AF6E-26C9E071BFDE}">
      <text>
        <r>
          <rPr>
            <sz val="8"/>
            <color indexed="81"/>
            <rFont val="Tahoma"/>
            <family val="2"/>
            <charset val="204"/>
          </rPr>
          <t xml:space="preserve">Диаметр штуцера
</t>
        </r>
      </text>
    </comment>
    <comment ref="M1" authorId="1" shapeId="0" xr:uid="{D09F47A7-8637-4A99-B96F-F9CFAE3E8BAA}">
      <text>
        <r>
          <rPr>
            <b/>
            <sz val="8"/>
            <color indexed="81"/>
            <rFont val="Tahoma"/>
            <family val="2"/>
            <charset val="204"/>
          </rPr>
          <t>Глубина до верхней дыры перфорации</t>
        </r>
      </text>
    </comment>
    <comment ref="N1" authorId="1" shapeId="0" xr:uid="{7095C634-46DC-4C45-BD06-7C4024FF3FD0}">
      <text>
        <r>
          <rPr>
            <b/>
            <sz val="8"/>
            <color indexed="81"/>
            <rFont val="Tahoma"/>
            <family val="2"/>
            <charset val="204"/>
          </rPr>
          <t>Удлинение на глубине Нвд</t>
        </r>
      </text>
    </comment>
    <comment ref="O1" authorId="4" shapeId="0" xr:uid="{74DBCB7F-531F-4756-BD81-8EB758C10BF0}">
      <text>
        <r>
          <rPr>
            <sz val="8"/>
            <color indexed="81"/>
            <rFont val="Tahoma"/>
            <family val="2"/>
            <charset val="204"/>
          </rPr>
          <t>Способ эксплуатации</t>
        </r>
      </text>
    </comment>
    <comment ref="R1" authorId="0" shapeId="0" xr:uid="{56A50019-FBBF-48C8-9B67-52FC52AECF37}">
      <text>
        <r>
          <rPr>
            <sz val="8"/>
            <color indexed="81"/>
            <rFont val="Tahoma"/>
            <family val="2"/>
            <charset val="204"/>
          </rPr>
          <t>Глубина спуска насоса</t>
        </r>
      </text>
    </comment>
    <comment ref="S1" authorId="1" shapeId="0" xr:uid="{35ED5B0F-CF50-4782-9DAE-48E46EB43EDF}">
      <text>
        <r>
          <rPr>
            <b/>
            <sz val="8"/>
            <color indexed="81"/>
            <rFont val="Tahoma"/>
            <family val="2"/>
            <charset val="204"/>
          </rPr>
          <t>Буферное давление</t>
        </r>
      </text>
    </comment>
    <comment ref="V1" authorId="0" shapeId="0" xr:uid="{BB8820A0-C9EB-48B0-A15A-DCF0E5184B28}">
      <text>
        <r>
          <rPr>
            <sz val="8"/>
            <color indexed="81"/>
            <rFont val="Tahoma"/>
            <family val="2"/>
            <charset val="204"/>
          </rPr>
          <t xml:space="preserve">Давление на контуре питания
</t>
        </r>
      </text>
    </comment>
    <comment ref="X1" authorId="0" shapeId="0" xr:uid="{A75DAA71-AA7A-4301-9F4B-86A3A45897BA}">
      <text>
        <r>
          <rPr>
            <sz val="8"/>
            <color indexed="81"/>
            <rFont val="Tahoma"/>
            <family val="2"/>
            <charset val="204"/>
          </rPr>
          <t xml:space="preserve">Динамический уровень
</t>
        </r>
      </text>
    </comment>
    <comment ref="Y1" authorId="5" shapeId="0" xr:uid="{30DF0E46-392D-4EFD-8C1F-D3AB976EA2E4}">
      <text>
        <r>
          <rPr>
            <sz val="8"/>
            <color indexed="81"/>
            <rFont val="Tahoma"/>
            <family val="2"/>
            <charset val="204"/>
          </rPr>
          <t>Давление затрубное</t>
        </r>
      </text>
    </comment>
    <comment ref="AG1" authorId="0" shapeId="0" xr:uid="{2208BEEB-5D7B-4786-83C9-B3658B7498E2}">
      <text>
        <r>
          <rPr>
            <sz val="8"/>
            <color indexed="81"/>
            <rFont val="Tahoma"/>
            <family val="2"/>
            <charset val="204"/>
          </rPr>
          <t xml:space="preserve">Давление насыщения, атм
</t>
        </r>
      </text>
    </comment>
    <comment ref="AH1" authorId="6" shapeId="0" xr:uid="{93E65FAC-2D28-4EE3-BD73-93B8C7F4051B}">
      <text>
        <r>
          <rPr>
            <sz val="8"/>
            <color indexed="81"/>
            <rFont val="Tahoma"/>
            <family val="2"/>
            <charset val="204"/>
          </rPr>
          <t>Замеренный газовый фактор, куб.м/т</t>
        </r>
      </text>
    </comment>
    <comment ref="AI1" authorId="6" shapeId="0" xr:uid="{1C9ED5DE-EDE8-4DE3-AA7B-F06B02E0A04A}">
      <text>
        <r>
          <rPr>
            <sz val="8"/>
            <color indexed="81"/>
            <rFont val="Tahoma"/>
            <family val="2"/>
            <charset val="204"/>
          </rPr>
          <t>Пластовая температура в градусах Цельсия</t>
        </r>
      </text>
    </comment>
    <comment ref="AJ1" authorId="6" shapeId="0" xr:uid="{459E5B82-6BDB-4194-9717-2E716E84920C}">
      <text>
        <r>
          <rPr>
            <sz val="8"/>
            <color indexed="81"/>
            <rFont val="Tahoma"/>
            <family val="2"/>
            <charset val="204"/>
          </rPr>
          <t>Скин после ГРП или подтвержденный исследованиями</t>
        </r>
      </text>
    </comment>
    <comment ref="AN1" authorId="0" shapeId="0" xr:uid="{8AC8D71E-C590-4E57-99F4-9123083241D8}">
      <text>
        <r>
          <rPr>
            <sz val="8"/>
            <color indexed="81"/>
            <rFont val="Tahoma"/>
            <family val="2"/>
            <charset val="204"/>
          </rPr>
          <t>Вязкость нефти в пластовых условиях</t>
        </r>
      </text>
    </comment>
    <comment ref="AO1" authorId="0" shapeId="0" xr:uid="{917D97F9-CD02-4E4E-BEDA-D1263AC31E90}">
      <text>
        <r>
          <rPr>
            <sz val="8"/>
            <color indexed="81"/>
            <rFont val="Tahoma"/>
            <family val="2"/>
            <charset val="204"/>
          </rPr>
          <t>Вязкость воды в пластовых условиях</t>
        </r>
      </text>
    </comment>
    <comment ref="AQ1" authorId="0" shapeId="0" xr:uid="{C41CF5F4-0BFC-4641-82F9-C17CD2EBF6A1}">
      <text>
        <r>
          <rPr>
            <sz val="8"/>
            <color indexed="81"/>
            <rFont val="Tahoma"/>
            <family val="2"/>
            <charset val="204"/>
          </rPr>
          <t>Объемный коэффициент нефти</t>
        </r>
      </text>
    </comment>
    <comment ref="AR1" authorId="0" shapeId="0" xr:uid="{71B0642E-2873-4D1A-B729-8B4CFBD07DCE}">
      <text>
        <r>
          <rPr>
            <sz val="8"/>
            <color indexed="81"/>
            <rFont val="Tahoma"/>
            <family val="2"/>
            <charset val="204"/>
          </rPr>
          <t>Плотность нефти в поверхностных условиях</t>
        </r>
      </text>
    </comment>
    <comment ref="AS1" authorId="0" shapeId="0" xr:uid="{60A661DE-B7CD-40DB-A4B1-6C0AA64EA676}">
      <text>
        <r>
          <rPr>
            <sz val="8"/>
            <color indexed="81"/>
            <rFont val="Tahoma"/>
            <family val="2"/>
            <charset val="204"/>
          </rPr>
          <t>Плотность воды в поверхностных условиях</t>
        </r>
      </text>
    </comment>
    <comment ref="AB2" authorId="0" shapeId="0" xr:uid="{DA018C3F-579B-424B-A7CF-B2FB33F9BDAB}">
      <text>
        <r>
          <rPr>
            <sz val="8"/>
            <color indexed="81"/>
            <rFont val="Tahoma"/>
            <family val="2"/>
            <charset val="204"/>
          </rPr>
          <t>Дебит жидкости</t>
        </r>
      </text>
    </comment>
    <comment ref="AC2" authorId="0" shapeId="0" xr:uid="{D27432CE-DAC9-4BD9-B6A3-93D6861B1681}">
      <text>
        <r>
          <rPr>
            <sz val="8"/>
            <color indexed="81"/>
            <rFont val="Tahoma"/>
            <family val="2"/>
            <charset val="204"/>
          </rPr>
          <t>Объемная обводненность</t>
        </r>
      </text>
    </comment>
    <comment ref="AE2" authorId="0" shapeId="0" xr:uid="{A9941317-EF6C-4748-A7F9-725ED9F82030}">
      <text>
        <r>
          <rPr>
            <sz val="8"/>
            <color indexed="81"/>
            <rFont val="Tahoma"/>
            <family val="2"/>
            <charset val="204"/>
          </rPr>
          <t>Объемная обводненность</t>
        </r>
      </text>
    </comment>
    <comment ref="C3" authorId="1" shapeId="0" xr:uid="{ABDCAA3D-4196-43D7-BE51-FA12BD13103B}">
      <text>
        <r>
          <rPr>
            <b/>
            <sz val="8"/>
            <color indexed="81"/>
            <rFont val="Tahoma"/>
            <family val="2"/>
            <charset val="204"/>
          </rPr>
          <t>Название месторождения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D3" authorId="1" shapeId="0" xr:uid="{F81A0B55-15C7-4C5D-B78D-A1F2DA6C9317}">
      <text>
        <r>
          <rPr>
            <sz val="8"/>
            <color indexed="81"/>
            <rFont val="Tahoma"/>
            <family val="2"/>
            <charset val="204"/>
          </rPr>
          <t>Код месторождения</t>
        </r>
      </text>
    </comment>
    <comment ref="AJ3" authorId="6" shapeId="0" xr:uid="{1719D9AA-80AC-4488-B5D5-0292016C4DA2}">
      <text>
        <r>
          <rPr>
            <sz val="8"/>
            <color indexed="81"/>
            <rFont val="Tahoma"/>
            <family val="2"/>
            <charset val="204"/>
          </rPr>
          <t>Скин после ГРП или подтвержденный исследованиями</t>
        </r>
      </text>
    </comment>
    <comment ref="AL3" authorId="0" shapeId="0" xr:uid="{81F1B7E9-B5FA-43B9-8EF8-635AE68ABB0A}">
      <text>
        <r>
          <rPr>
            <sz val="8"/>
            <color indexed="81"/>
            <rFont val="Tahoma"/>
            <family val="2"/>
            <charset val="204"/>
          </rPr>
          <t>Дата проведения ГРП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<sst xmlns="http://schemas.openxmlformats.org/spreadsheetml/2006/main" count="115" uniqueCount="92">
  <si>
    <t>Политех</t>
  </si>
  <si>
    <t>Политеховское</t>
  </si>
  <si>
    <t>ГОР</t>
  </si>
  <si>
    <t>XX</t>
  </si>
  <si>
    <t>ФОН</t>
  </si>
  <si>
    <t>фонтанный лифт</t>
  </si>
  <si>
    <t>В работе</t>
  </si>
  <si>
    <t>НГДУ</t>
  </si>
  <si>
    <t>Месторождение</t>
  </si>
  <si>
    <t>№
скв</t>
  </si>
  <si>
    <t>Тип
скважины</t>
  </si>
  <si>
    <t>Куст</t>
  </si>
  <si>
    <t>Пласт</t>
  </si>
  <si>
    <t>№ ячейки</t>
  </si>
  <si>
    <t>D э/к</t>
  </si>
  <si>
    <t>D нкт</t>
  </si>
  <si>
    <t>D шт</t>
  </si>
  <si>
    <t>Н вдп</t>
  </si>
  <si>
    <t>Удл</t>
  </si>
  <si>
    <t>СЭ</t>
  </si>
  <si>
    <t>Тип насоса</t>
  </si>
  <si>
    <t>Коэф-т
сепарации</t>
  </si>
  <si>
    <t>Н сп</t>
  </si>
  <si>
    <t>Р буф</t>
  </si>
  <si>
    <t>Р лин</t>
  </si>
  <si>
    <t>Р пл</t>
  </si>
  <si>
    <t>Р пл на ВДП</t>
  </si>
  <si>
    <t>Н д</t>
  </si>
  <si>
    <t>P затр</t>
  </si>
  <si>
    <t>Фактический режим</t>
  </si>
  <si>
    <t>Состояние на
конец месяца</t>
  </si>
  <si>
    <t>Р нас</t>
  </si>
  <si>
    <t>ГФ</t>
  </si>
  <si>
    <t>T пл</t>
  </si>
  <si>
    <t>ГРП</t>
  </si>
  <si>
    <t xml:space="preserve">В-сть нефти
в пл.
условиях </t>
  </si>
  <si>
    <t xml:space="preserve">В-сть воды
в пл.
условиях </t>
  </si>
  <si>
    <t>В-ть
жидкости</t>
  </si>
  <si>
    <t>Об. к-т</t>
  </si>
  <si>
    <t>Плот-ть
нефти</t>
  </si>
  <si>
    <t>Плот-ть
воды</t>
  </si>
  <si>
    <t>Н перф</t>
  </si>
  <si>
    <t>k</t>
  </si>
  <si>
    <t>КН</t>
  </si>
  <si>
    <t>К пр</t>
  </si>
  <si>
    <t>Р заб</t>
  </si>
  <si>
    <t>Q нефти</t>
  </si>
  <si>
    <t>Q жид-
кости</t>
  </si>
  <si>
    <t>Обводненность</t>
  </si>
  <si>
    <t>Q пг</t>
  </si>
  <si>
    <t>ГФ пг</t>
  </si>
  <si>
    <t>Skin</t>
  </si>
  <si>
    <t>Название</t>
  </si>
  <si>
    <t>Код</t>
  </si>
  <si>
    <t>JD факт.</t>
  </si>
  <si>
    <t xml:space="preserve">Дата </t>
  </si>
  <si>
    <t>Фирма</t>
  </si>
  <si>
    <t>мм</t>
  </si>
  <si>
    <t>м</t>
  </si>
  <si>
    <t>м3/сут</t>
  </si>
  <si>
    <t>атм</t>
  </si>
  <si>
    <t>т/сут</t>
  </si>
  <si>
    <t>%</t>
  </si>
  <si>
    <t>м3/т</t>
  </si>
  <si>
    <t>ºC</t>
  </si>
  <si>
    <t>д/м/г</t>
  </si>
  <si>
    <t>сПз</t>
  </si>
  <si>
    <t>м3/м3</t>
  </si>
  <si>
    <t>г/см3</t>
  </si>
  <si>
    <t>мД</t>
  </si>
  <si>
    <t>мДм</t>
  </si>
  <si>
    <t>м3/сут/атм</t>
  </si>
  <si>
    <t>T буф</t>
  </si>
  <si>
    <t>Тип корреляции</t>
  </si>
  <si>
    <t>Standing</t>
  </si>
  <si>
    <t>McCain</t>
  </si>
  <si>
    <t>PVT строка</t>
  </si>
  <si>
    <t>1)</t>
  </si>
  <si>
    <t>Смесь</t>
  </si>
  <si>
    <t>Дебит ГЖС, м3/сут</t>
  </si>
  <si>
    <t>Вязкость</t>
  </si>
  <si>
    <t>Плотность</t>
  </si>
  <si>
    <t>Доля газа</t>
  </si>
  <si>
    <t>Газ</t>
  </si>
  <si>
    <t>Нефть</t>
  </si>
  <si>
    <t>Вода</t>
  </si>
  <si>
    <t>2)</t>
  </si>
  <si>
    <t>Q</t>
  </si>
  <si>
    <t>ЗД</t>
  </si>
  <si>
    <t>ЗД IPR</t>
  </si>
  <si>
    <t>Давление фонтанирования:</t>
  </si>
  <si>
    <t>С табличным условием Q мы получаем, что давление составляет 280,4, а значит, скважина не фонтанирует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</si>
</sst>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р_._-;\-* #,##0.00_р_._-;_-* &quot;-&quot;??_р_._-;_-@_-"/>
    <numFmt numFmtId="165" formatCode="0.0"/>
    <numFmt numFmtId="166" formatCode="0.000"/>
    <numFmt numFmtId="171" formatCode="0.0000"/>
  </numFmts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ahoma"/>
      <family val="2"/>
    </font>
    <font>
      <sz val="8"/>
      <color indexed="81"/>
      <name val="Tahoma"/>
      <family val="2"/>
      <charset val="204"/>
    </font>
    <font>
      <sz val="8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8">
    <xf numFmtId="0" fontId="0" fillId="0" borderId="0"/>
    <xf numFmtId="0" fontId="1" fillId="0" borderId="0"/>
    <xf numFmtId="0" fontId="16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0" borderId="0" applyNumberFormat="0" applyBorder="0" applyAlignment="0" applyProtection="0"/>
    <xf numFmtId="0" fontId="7" fillId="4" borderId="1" applyNumberFormat="0" applyAlignment="0" applyProtection="0"/>
    <xf numFmtId="0" fontId="8" fillId="11" borderId="2" applyNumberFormat="0" applyAlignment="0" applyProtection="0"/>
    <xf numFmtId="0" fontId="9" fillId="11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12" borderId="7" applyNumberFormat="0" applyAlignment="0" applyProtection="0"/>
    <xf numFmtId="0" fontId="15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18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2" fillId="3" borderId="0" applyNumberFormat="0" applyBorder="0" applyAlignment="0" applyProtection="0"/>
    <xf numFmtId="0" fontId="24" fillId="0" borderId="0"/>
  </cellStyleXfs>
  <cellXfs count="109">
    <xf numFmtId="0" fontId="0" fillId="0" borderId="0" xfId="0"/>
    <xf numFmtId="1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5" fontId="4" fillId="0" borderId="19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0" fontId="16" fillId="0" borderId="23" xfId="2" applyBorder="1" applyAlignment="1">
      <alignment horizontal="center"/>
    </xf>
    <xf numFmtId="0" fontId="4" fillId="0" borderId="22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1" fontId="4" fillId="0" borderId="19" xfId="2" applyNumberFormat="1" applyFont="1" applyBorder="1" applyAlignment="1">
      <alignment horizontal="center" vertical="center"/>
    </xf>
    <xf numFmtId="166" fontId="4" fillId="0" borderId="19" xfId="2" applyNumberFormat="1" applyFont="1" applyBorder="1" applyAlignment="1">
      <alignment horizontal="center" vertical="center"/>
    </xf>
    <xf numFmtId="14" fontId="4" fillId="0" borderId="19" xfId="2" applyNumberFormat="1" applyFont="1" applyBorder="1" applyAlignment="1">
      <alignment horizontal="center" vertical="center"/>
    </xf>
    <xf numFmtId="2" fontId="4" fillId="0" borderId="19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17" borderId="13" xfId="0" applyNumberFormat="1" applyFont="1" applyFill="1" applyBorder="1" applyAlignment="1">
      <alignment horizontal="center" vertical="center" wrapText="1"/>
    </xf>
    <xf numFmtId="2" fontId="2" fillId="17" borderId="15" xfId="0" applyNumberFormat="1" applyFont="1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17" borderId="20" xfId="0" applyFill="1" applyBorder="1" applyAlignment="1">
      <alignment horizontal="center" vertical="center" wrapText="1"/>
    </xf>
    <xf numFmtId="2" fontId="2" fillId="17" borderId="34" xfId="0" applyNumberFormat="1" applyFont="1" applyFill="1" applyBorder="1" applyAlignment="1">
      <alignment horizontal="center" vertical="center" wrapText="1"/>
    </xf>
    <xf numFmtId="2" fontId="2" fillId="17" borderId="41" xfId="0" applyNumberFormat="1" applyFont="1" applyFill="1" applyBorder="1" applyAlignment="1">
      <alignment horizontal="center" vertical="center" wrapText="1"/>
    </xf>
    <xf numFmtId="2" fontId="2" fillId="17" borderId="37" xfId="0" applyNumberFormat="1" applyFont="1" applyFill="1" applyBorder="1" applyAlignment="1">
      <alignment horizontal="center" vertical="center" wrapText="1"/>
    </xf>
    <xf numFmtId="0" fontId="0" fillId="17" borderId="47" xfId="0" applyFill="1" applyBorder="1"/>
    <xf numFmtId="0" fontId="0" fillId="17" borderId="46" xfId="0" applyFill="1" applyBorder="1"/>
    <xf numFmtId="2" fontId="2" fillId="17" borderId="39" xfId="0" applyNumberFormat="1" applyFont="1" applyFill="1" applyBorder="1" applyAlignment="1">
      <alignment horizontal="center" vertical="center"/>
    </xf>
    <xf numFmtId="2" fontId="2" fillId="17" borderId="13" xfId="0" applyNumberFormat="1" applyFont="1" applyFill="1" applyBorder="1" applyAlignment="1">
      <alignment horizontal="center" vertical="center"/>
    </xf>
    <xf numFmtId="2" fontId="2" fillId="17" borderId="32" xfId="0" applyNumberFormat="1" applyFont="1" applyFill="1" applyBorder="1" applyAlignment="1">
      <alignment horizontal="center" vertical="center" wrapText="1"/>
    </xf>
    <xf numFmtId="2" fontId="2" fillId="17" borderId="13" xfId="0" applyNumberFormat="1" applyFont="1" applyFill="1" applyBorder="1" applyAlignment="1">
      <alignment horizontal="center" vertical="center" wrapText="1"/>
    </xf>
    <xf numFmtId="1" fontId="2" fillId="17" borderId="37" xfId="0" applyNumberFormat="1" applyFont="1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/>
    </xf>
    <xf numFmtId="1" fontId="2" fillId="17" borderId="34" xfId="0" applyNumberFormat="1" applyFont="1" applyFill="1" applyBorder="1" applyAlignment="1">
      <alignment horizontal="center" vertical="center" wrapText="1"/>
    </xf>
    <xf numFmtId="1" fontId="2" fillId="17" borderId="39" xfId="0" applyNumberFormat="1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/>
    </xf>
    <xf numFmtId="0" fontId="24" fillId="15" borderId="12" xfId="27" applyFill="1" applyBorder="1" applyAlignment="1">
      <alignment horizontal="center" vertical="center" wrapText="1"/>
    </xf>
    <xf numFmtId="0" fontId="0" fillId="17" borderId="0" xfId="0" applyFill="1"/>
    <xf numFmtId="0" fontId="2" fillId="17" borderId="40" xfId="0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2" fillId="17" borderId="38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1" fontId="2" fillId="17" borderId="10" xfId="0" applyNumberFormat="1" applyFont="1" applyFill="1" applyBorder="1" applyAlignment="1">
      <alignment horizontal="center" vertical="center" wrapText="1"/>
    </xf>
    <xf numFmtId="2" fontId="2" fillId="17" borderId="10" xfId="0" applyNumberFormat="1" applyFont="1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2" fontId="2" fillId="17" borderId="10" xfId="0" applyNumberFormat="1" applyFont="1" applyFill="1" applyBorder="1" applyAlignment="1">
      <alignment horizontal="center" vertical="center"/>
    </xf>
    <xf numFmtId="2" fontId="2" fillId="17" borderId="11" xfId="0" applyNumberFormat="1" applyFont="1" applyFill="1" applyBorder="1" applyAlignment="1">
      <alignment horizontal="center" vertical="center" wrapText="1"/>
    </xf>
    <xf numFmtId="2" fontId="2" fillId="17" borderId="42" xfId="0" applyNumberFormat="1" applyFont="1" applyFill="1" applyBorder="1" applyAlignment="1">
      <alignment horizontal="center" vertical="center"/>
    </xf>
    <xf numFmtId="2" fontId="2" fillId="17" borderId="33" xfId="0" applyNumberFormat="1" applyFont="1" applyFill="1" applyBorder="1" applyAlignment="1">
      <alignment horizontal="center" vertical="center" wrapText="1"/>
    </xf>
    <xf numFmtId="2" fontId="2" fillId="17" borderId="45" xfId="0" applyNumberFormat="1" applyFont="1" applyFill="1" applyBorder="1" applyAlignment="1">
      <alignment horizontal="center" vertical="center" wrapText="1"/>
    </xf>
    <xf numFmtId="2" fontId="2" fillId="17" borderId="43" xfId="0" applyNumberFormat="1" applyFont="1" applyFill="1" applyBorder="1" applyAlignment="1">
      <alignment horizontal="center" vertical="center" wrapText="1"/>
    </xf>
    <xf numFmtId="2" fontId="2" fillId="17" borderId="38" xfId="0" applyNumberFormat="1" applyFont="1" applyFill="1" applyBorder="1" applyAlignment="1">
      <alignment horizontal="center" vertical="center" wrapText="1"/>
    </xf>
    <xf numFmtId="2" fontId="2" fillId="17" borderId="30" xfId="0" applyNumberFormat="1" applyFont="1" applyFill="1" applyBorder="1" applyAlignment="1">
      <alignment horizontal="center" vertical="center" wrapText="1"/>
    </xf>
    <xf numFmtId="0" fontId="0" fillId="17" borderId="35" xfId="0" applyFill="1" applyBorder="1" applyAlignment="1">
      <alignment horizontal="center" vertical="center" wrapText="1"/>
    </xf>
    <xf numFmtId="0" fontId="0" fillId="17" borderId="31" xfId="0" applyFill="1" applyBorder="1" applyAlignment="1">
      <alignment horizontal="center" vertical="center" wrapText="1"/>
    </xf>
    <xf numFmtId="0" fontId="0" fillId="17" borderId="36" xfId="0" applyFill="1" applyBorder="1" applyAlignment="1">
      <alignment horizontal="center" vertical="center" wrapText="1"/>
    </xf>
    <xf numFmtId="2" fontId="2" fillId="17" borderId="16" xfId="0" applyNumberFormat="1" applyFont="1" applyFill="1" applyBorder="1" applyAlignment="1">
      <alignment horizontal="center" vertical="center" wrapText="1"/>
    </xf>
    <xf numFmtId="2" fontId="2" fillId="17" borderId="12" xfId="0" applyNumberFormat="1" applyFont="1" applyFill="1" applyBorder="1" applyAlignment="1">
      <alignment horizontal="center" vertical="center" wrapText="1"/>
    </xf>
    <xf numFmtId="1" fontId="2" fillId="17" borderId="14" xfId="0" applyNumberFormat="1" applyFont="1" applyFill="1" applyBorder="1" applyAlignment="1">
      <alignment horizontal="center" vertical="center" wrapText="1"/>
    </xf>
    <xf numFmtId="1" fontId="2" fillId="17" borderId="15" xfId="0" applyNumberFormat="1" applyFont="1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17" xfId="0" applyFill="1" applyBorder="1"/>
    <xf numFmtId="2" fontId="2" fillId="17" borderId="18" xfId="0" applyNumberFormat="1" applyFont="1" applyFill="1" applyBorder="1" applyAlignment="1">
      <alignment horizontal="center" vertical="center" wrapText="1"/>
    </xf>
    <xf numFmtId="2" fontId="2" fillId="17" borderId="44" xfId="0" applyNumberFormat="1" applyFont="1" applyFill="1" applyBorder="1" applyAlignment="1">
      <alignment horizontal="center" vertical="center" wrapText="1"/>
    </xf>
    <xf numFmtId="2" fontId="2" fillId="17" borderId="14" xfId="0" applyNumberFormat="1" applyFont="1" applyFill="1" applyBorder="1" applyAlignment="1">
      <alignment horizontal="center" vertical="center" wrapText="1"/>
    </xf>
    <xf numFmtId="2" fontId="2" fillId="17" borderId="13" xfId="0" applyNumberFormat="1" applyFont="1" applyFill="1" applyBorder="1" applyAlignment="1">
      <alignment horizontal="center" vertical="center" wrapText="1"/>
    </xf>
    <xf numFmtId="2" fontId="2" fillId="17" borderId="15" xfId="0" applyNumberFormat="1" applyFont="1" applyFill="1" applyBorder="1" applyAlignment="1">
      <alignment horizontal="center" vertical="center" wrapText="1"/>
    </xf>
    <xf numFmtId="0" fontId="2" fillId="17" borderId="24" xfId="0" applyFont="1" applyFill="1" applyBorder="1" applyAlignment="1">
      <alignment horizontal="center"/>
    </xf>
    <xf numFmtId="0" fontId="2" fillId="17" borderId="25" xfId="0" applyFont="1" applyFill="1" applyBorder="1" applyAlignment="1">
      <alignment horizontal="center"/>
    </xf>
    <xf numFmtId="0" fontId="2" fillId="17" borderId="26" xfId="0" applyFont="1" applyFill="1" applyBorder="1" applyAlignment="1">
      <alignment horizontal="center"/>
    </xf>
    <xf numFmtId="0" fontId="2" fillId="17" borderId="27" xfId="0" applyFont="1" applyFill="1" applyBorder="1" applyAlignment="1">
      <alignment horizontal="center"/>
    </xf>
    <xf numFmtId="0" fontId="2" fillId="17" borderId="28" xfId="0" applyFont="1" applyFill="1" applyBorder="1" applyAlignment="1">
      <alignment horizontal="center"/>
    </xf>
    <xf numFmtId="2" fontId="2" fillId="17" borderId="28" xfId="0" applyNumberFormat="1" applyFont="1" applyFill="1" applyBorder="1" applyAlignment="1">
      <alignment horizontal="center"/>
    </xf>
    <xf numFmtId="2" fontId="2" fillId="17" borderId="25" xfId="0" applyNumberFormat="1" applyFont="1" applyFill="1" applyBorder="1" applyAlignment="1">
      <alignment horizontal="center"/>
    </xf>
    <xf numFmtId="2" fontId="2" fillId="17" borderId="26" xfId="0" applyNumberFormat="1" applyFont="1" applyFill="1" applyBorder="1" applyAlignment="1">
      <alignment horizontal="center"/>
    </xf>
    <xf numFmtId="2" fontId="2" fillId="17" borderId="27" xfId="0" applyNumberFormat="1" applyFont="1" applyFill="1" applyBorder="1" applyAlignment="1">
      <alignment horizontal="center"/>
    </xf>
    <xf numFmtId="2" fontId="2" fillId="17" borderId="29" xfId="0" applyNumberFormat="1" applyFont="1" applyFill="1" applyBorder="1" applyAlignment="1">
      <alignment horizontal="center"/>
    </xf>
    <xf numFmtId="0" fontId="24" fillId="16" borderId="10" xfId="27" applyFill="1" applyBorder="1" applyAlignment="1">
      <alignment horizontal="center" vertical="center"/>
    </xf>
    <xf numFmtId="0" fontId="24" fillId="15" borderId="33" xfId="27" applyFill="1" applyBorder="1" applyAlignment="1">
      <alignment horizontal="center" vertical="center" wrapText="1"/>
    </xf>
    <xf numFmtId="0" fontId="0" fillId="16" borderId="10" xfId="0" applyFill="1" applyBorder="1"/>
    <xf numFmtId="0" fontId="0" fillId="0" borderId="10" xfId="0" applyBorder="1"/>
    <xf numFmtId="0" fontId="24" fillId="19" borderId="10" xfId="27" applyFill="1" applyBorder="1" applyAlignment="1">
      <alignment horizontal="center" vertical="center"/>
    </xf>
    <xf numFmtId="0" fontId="24" fillId="18" borderId="10" xfId="27" applyFill="1" applyBorder="1" applyAlignment="1">
      <alignment horizontal="center" vertical="center"/>
    </xf>
    <xf numFmtId="0" fontId="24" fillId="18" borderId="10" xfId="27" applyFill="1" applyBorder="1" applyAlignment="1">
      <alignment horizontal="center" vertical="center"/>
    </xf>
    <xf numFmtId="2" fontId="24" fillId="0" borderId="10" xfId="27" applyNumberFormat="1" applyBorder="1" applyAlignment="1">
      <alignment horizontal="center" vertical="center"/>
    </xf>
    <xf numFmtId="171" fontId="24" fillId="0" borderId="10" xfId="27" applyNumberFormat="1" applyBorder="1" applyAlignment="1">
      <alignment horizontal="center" vertical="center"/>
    </xf>
    <xf numFmtId="0" fontId="24" fillId="19" borderId="10" xfId="27" applyFill="1" applyBorder="1" applyAlignment="1">
      <alignment horizontal="center" vertical="center"/>
    </xf>
    <xf numFmtId="0" fontId="24" fillId="16" borderId="10" xfId="27" applyFill="1" applyBorder="1" applyAlignment="1">
      <alignment horizontal="center" vertical="center"/>
    </xf>
    <xf numFmtId="0" fontId="23" fillId="20" borderId="30" xfId="27" applyFont="1" applyFill="1" applyBorder="1" applyAlignment="1">
      <alignment horizontal="center" vertical="center"/>
    </xf>
    <xf numFmtId="0" fontId="23" fillId="20" borderId="38" xfId="27" applyFont="1" applyFill="1" applyBorder="1" applyAlignment="1">
      <alignment horizontal="center" vertical="center"/>
    </xf>
    <xf numFmtId="0" fontId="24" fillId="20" borderId="10" xfId="27" applyFill="1" applyBorder="1" applyAlignment="1">
      <alignment horizontal="center" vertical="center"/>
    </xf>
    <xf numFmtId="0" fontId="0" fillId="17" borderId="10" xfId="0" applyFill="1" applyBorder="1"/>
    <xf numFmtId="0" fontId="0" fillId="17" borderId="10" xfId="0" applyFill="1" applyBorder="1" applyAlignment="1">
      <alignment horizontal="center" vertical="center"/>
    </xf>
    <xf numFmtId="0" fontId="24" fillId="17" borderId="10" xfId="27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/>
    </xf>
    <xf numFmtId="0" fontId="24" fillId="17" borderId="33" xfId="27" applyFill="1" applyBorder="1" applyAlignment="1">
      <alignment horizontal="center" vertical="center" wrapText="1"/>
    </xf>
    <xf numFmtId="0" fontId="24" fillId="21" borderId="10" xfId="27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25" fillId="22" borderId="10" xfId="0" applyFont="1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/>
    </xf>
    <xf numFmtId="165" fontId="0" fillId="19" borderId="10" xfId="0" applyNumberFormat="1" applyFill="1" applyBorder="1" applyAlignment="1">
      <alignment horizontal="center" vertical="center"/>
    </xf>
    <xf numFmtId="0" fontId="0" fillId="22" borderId="48" xfId="0" applyFill="1" applyBorder="1" applyAlignment="1">
      <alignment horizontal="center" vertical="center"/>
    </xf>
    <xf numFmtId="0" fontId="0" fillId="23" borderId="10" xfId="0" applyFill="1" applyBorder="1" applyAlignment="1"/>
    <xf numFmtId="0" fontId="0" fillId="23" borderId="0" xfId="0" applyFill="1"/>
    <xf numFmtId="0" fontId="0" fillId="17" borderId="10" xfId="0" applyFill="1" applyBorder="1" applyAlignment="1"/>
    <xf numFmtId="0" fontId="0" fillId="15" borderId="10" xfId="0" applyFill="1" applyBorder="1" applyAlignment="1"/>
    <xf numFmtId="0" fontId="0" fillId="20" borderId="10" xfId="0" applyFill="1" applyBorder="1" applyAlignment="1"/>
    <xf numFmtId="0" fontId="0" fillId="2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3" borderId="10" xfId="0" applyFill="1" applyBorder="1"/>
    <xf numFmtId="1" fontId="0" fillId="20" borderId="10" xfId="0" applyNumberFormat="1" applyFill="1" applyBorder="1"/>
    <xf numFmtId="1" fontId="0" fillId="15" borderId="10" xfId="0" applyNumberFormat="1" applyFill="1" applyBorder="1" applyAlignment="1"/>
    <xf numFmtId="1" fontId="0" fillId="20" borderId="10" xfId="0" applyNumberFormat="1" applyFill="1" applyBorder="1" applyAlignment="1"/>
  </cellXfs>
  <cellStyles count="28">
    <cellStyle name="Normal_Sheet2" xfId="2" xr:uid="{FF381E1C-872C-43B1-BADC-44DFA6A69494}"/>
    <cellStyle name="Акцент1 2" xfId="3" xr:uid="{BEF72EFB-9085-40BC-9E8C-F39C2879E073}"/>
    <cellStyle name="Акцент2 2" xfId="4" xr:uid="{9E1A2E49-BD0D-4825-9C32-4BA012369ABA}"/>
    <cellStyle name="Акцент3 2" xfId="5" xr:uid="{6B96304B-D163-4023-B08A-0E187EA1D565}"/>
    <cellStyle name="Акцент4 2" xfId="6" xr:uid="{597D4137-1B3D-424E-9DDD-DC62562C4004}"/>
    <cellStyle name="Акцент5 2" xfId="7" xr:uid="{8C4ECD1E-93BE-457E-8A42-F7B4CCAB1FC9}"/>
    <cellStyle name="Акцент6 2" xfId="8" xr:uid="{3F7DF20A-EF75-47DE-BBE5-7B1C09D0F92B}"/>
    <cellStyle name="Ввод  2" xfId="9" xr:uid="{E69CC5B4-132C-4F5B-998E-605DF86E8ADF}"/>
    <cellStyle name="Вывод 2" xfId="10" xr:uid="{320F89FD-DA9D-4F71-9C22-70C5C13D9ADB}"/>
    <cellStyle name="Вычисление 2" xfId="11" xr:uid="{6A909B15-778D-4403-8FCD-8E28927133BC}"/>
    <cellStyle name="Заголовок 1 2" xfId="12" xr:uid="{258ADC18-FC18-4542-A9C7-F212A1B64B4D}"/>
    <cellStyle name="Заголовок 2 2" xfId="13" xr:uid="{06405C14-F80B-4648-A516-615E23649AE4}"/>
    <cellStyle name="Заголовок 3 2" xfId="14" xr:uid="{82582D3E-AAB7-4818-9CF7-7FD760219D42}"/>
    <cellStyle name="Заголовок 4 2" xfId="15" xr:uid="{60248D3D-80E3-4041-B0A7-94D85CA4355C}"/>
    <cellStyle name="Итог 2" xfId="16" xr:uid="{E2EC287A-908C-4F77-B2F9-6B13A8E32399}"/>
    <cellStyle name="Контрольная ячейка 2" xfId="17" xr:uid="{109BF7CB-CBD0-4458-ACA5-FC2EBD9431E0}"/>
    <cellStyle name="Название 2" xfId="18" xr:uid="{C7495467-786D-4C7B-A68C-AAA89822410E}"/>
    <cellStyle name="Нейтральный 2" xfId="19" xr:uid="{70B5129B-B8CA-47D2-A223-5F8D778819F2}"/>
    <cellStyle name="Обычный" xfId="0" builtinId="0"/>
    <cellStyle name="Обычный 2" xfId="1" xr:uid="{14F6FCDD-D137-4CE6-8CBF-204BF9C3AE07}"/>
    <cellStyle name="Обычный 3" xfId="27" xr:uid="{363C294C-2224-4C58-B687-2325D863B8EF}"/>
    <cellStyle name="Плохой 2" xfId="20" xr:uid="{61234D54-49D4-4E76-B975-355E2D0DF254}"/>
    <cellStyle name="Пояснение 2" xfId="21" xr:uid="{C4E22015-85D3-4E08-A633-76D6D904444D}"/>
    <cellStyle name="Примечание 2" xfId="22" xr:uid="{AA7AE6BC-59F1-48B6-9081-0BA8F02B6394}"/>
    <cellStyle name="Связанная ячейка 2" xfId="23" xr:uid="{9A9739FB-69C7-4B91-B5EC-7FFD43CF68D0}"/>
    <cellStyle name="Текст предупреждения 2" xfId="24" xr:uid="{9B047788-6D67-4827-8C59-86800474DAB8}"/>
    <cellStyle name="Финансовый 2" xfId="25" xr:uid="{527D13D1-DF30-4B92-8923-E3EE331FA06E}"/>
    <cellStyle name="Хороший 2" xfId="26" xr:uid="{54D136D0-6FF8-4F62-A29E-0F2BEF234009}"/>
  </cellStyles>
  <dxfs count="4">
    <dxf>
      <font>
        <condense val="0"/>
        <extend val="0"/>
        <color indexed="16"/>
      </font>
      <fill>
        <patternFill>
          <bgColor indexed="26"/>
        </patternFill>
      </fill>
      <border>
        <left/>
        <right/>
        <top/>
        <bottom/>
      </border>
    </dxf>
    <dxf>
      <font>
        <b/>
        <i val="0"/>
        <condense val="0"/>
        <extend val="0"/>
        <color indexed="10"/>
      </font>
      <fill>
        <patternFill>
          <bgColor indexed="47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51"/>
        </patternFill>
      </fill>
    </dxf>
    <dxf>
      <font>
        <b/>
        <i val="0"/>
        <condense val="0"/>
        <extend val="0"/>
        <color auto="1"/>
      </font>
      <fill>
        <patternFill>
          <bgColor indexed="5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Забойное давление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Лист1!$B$22:$B$42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Лист1!$C$22:$C$42</c:f>
              <c:numCache>
                <c:formatCode>0.0</c:formatCode>
                <c:ptCount val="21"/>
                <c:pt idx="0">
                  <c:v>346.58541539663992</c:v>
                </c:pt>
                <c:pt idx="1">
                  <c:v>323.17793870278177</c:v>
                </c:pt>
                <c:pt idx="2">
                  <c:v>307.18690435722527</c:v>
                </c:pt>
                <c:pt idx="3">
                  <c:v>294.87305974816957</c:v>
                </c:pt>
                <c:pt idx="4">
                  <c:v>285.0296440443081</c:v>
                </c:pt>
                <c:pt idx="5">
                  <c:v>276.57694402571224</c:v>
                </c:pt>
                <c:pt idx="6">
                  <c:v>268.24680217747351</c:v>
                </c:pt>
                <c:pt idx="7">
                  <c:v>261.83216092394542</c:v>
                </c:pt>
                <c:pt idx="8">
                  <c:v>255.29971958075311</c:v>
                </c:pt>
                <c:pt idx="9">
                  <c:v>248.34139792205647</c:v>
                </c:pt>
                <c:pt idx="10">
                  <c:v>242.10444212617833</c:v>
                </c:pt>
                <c:pt idx="11">
                  <c:v>236.43177342575302</c:v>
                </c:pt>
                <c:pt idx="12">
                  <c:v>231.34366105176954</c:v>
                </c:pt>
                <c:pt idx="13">
                  <c:v>226.63281113910614</c:v>
                </c:pt>
                <c:pt idx="14">
                  <c:v>222.38228148179562</c:v>
                </c:pt>
                <c:pt idx="15">
                  <c:v>218.59633951022843</c:v>
                </c:pt>
                <c:pt idx="16">
                  <c:v>215.03550723287194</c:v>
                </c:pt>
                <c:pt idx="17">
                  <c:v>211.71222796471616</c:v>
                </c:pt>
                <c:pt idx="18">
                  <c:v>208.8865215898247</c:v>
                </c:pt>
                <c:pt idx="19">
                  <c:v>206.266070223084</c:v>
                </c:pt>
                <c:pt idx="20">
                  <c:v>203.82862051599224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7-4961-9ED1-85C6B39D7633}"/>
            </c:ext>
          </c:extLst>
        </c:ser>
        <c:ser>
          <c:idx val="1"/>
          <c:order val="1"/>
          <c:tx>
            <c:v>Забойное давление 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Лист1!$B$22:$B$42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xVal>
          <c:yVal>
            <c:numRef>
              <c:f>Лист1!$D$22:$D$42</c:f>
              <c:numCache>
                <c:formatCode>0</c:formatCode>
                <c:ptCount val="21"/>
                <c:pt idx="0">
                  <c:v>399</c:v>
                </c:pt>
                <c:pt idx="1">
                  <c:v>341.79601433297705</c:v>
                </c:pt>
                <c:pt idx="2">
                  <c:v>284.59202866595416</c:v>
                </c:pt>
                <c:pt idx="3">
                  <c:v>227.38804299893121</c:v>
                </c:pt>
                <c:pt idx="4">
                  <c:v>167.90402238551408</c:v>
                </c:pt>
                <c:pt idx="5">
                  <c:v>92.705805320446004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37-4961-9ED1-85C6B39D763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06518272"/>
        <c:axId val="1706518688"/>
      </c:scatterChart>
      <c:valAx>
        <c:axId val="170651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 жидкости,</a:t>
                </a:r>
                <a:r>
                  <a:rPr lang="ru-RU" baseline="0"/>
                  <a:t> м3</a:t>
                </a:r>
                <a:r>
                  <a:rPr lang="en-US" baseline="0"/>
                  <a:t>/</a:t>
                </a:r>
                <a:r>
                  <a:rPr lang="ru-RU" baseline="0"/>
                  <a:t>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6518688"/>
        <c:crosses val="autoZero"/>
        <c:crossBetween val="midCat"/>
      </c:valAx>
      <c:valAx>
        <c:axId val="17065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651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18</xdr:row>
      <xdr:rowOff>165100</xdr:rowOff>
    </xdr:from>
    <xdr:to>
      <xdr:col>9</xdr:col>
      <xdr:colOff>727075</xdr:colOff>
      <xdr:row>35</xdr:row>
      <xdr:rowOff>174625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54FB1A2-E900-4F46-9F72-936EFEC88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IPR_pwf_atma"/>
      <definedName name="MF_gas_fraction_d"/>
      <definedName name="MF_mu_mix_cP"/>
      <definedName name="MF_p_pipelin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9246-BAD6-4673-9981-515E737B48B7}">
  <dimension ref="A1:AW50"/>
  <sheetViews>
    <sheetView tabSelected="1" topLeftCell="D35" workbookViewId="0">
      <selection activeCell="K51" sqref="K51"/>
    </sheetView>
  </sheetViews>
  <sheetFormatPr defaultRowHeight="14.5" x14ac:dyDescent="0.35"/>
  <cols>
    <col min="1" max="1" width="7.1796875" customWidth="1"/>
    <col min="2" max="2" width="9.1796875" customWidth="1"/>
    <col min="3" max="3" width="10.36328125" customWidth="1"/>
    <col min="4" max="4" width="10.453125" customWidth="1"/>
    <col min="5" max="5" width="9.54296875" customWidth="1"/>
    <col min="6" max="6" width="11.36328125" customWidth="1"/>
    <col min="7" max="7" width="11.54296875" customWidth="1"/>
    <col min="8" max="8" width="11.36328125" customWidth="1"/>
    <col min="9" max="9" width="11.453125" customWidth="1"/>
    <col min="10" max="10" width="12.7265625" customWidth="1"/>
    <col min="11" max="11" width="12.08984375" customWidth="1"/>
    <col min="12" max="15" width="10.453125" bestFit="1" customWidth="1"/>
  </cols>
  <sheetData>
    <row r="1" spans="1:49" s="32" customFormat="1" x14ac:dyDescent="0.35">
      <c r="A1" s="30"/>
      <c r="B1" s="29" t="s">
        <v>7</v>
      </c>
      <c r="C1" s="28" t="s">
        <v>8</v>
      </c>
      <c r="D1" s="27"/>
      <c r="E1" s="26" t="s">
        <v>9</v>
      </c>
      <c r="F1" s="13" t="s">
        <v>10</v>
      </c>
      <c r="G1" s="13" t="s">
        <v>11</v>
      </c>
      <c r="H1" s="13" t="s">
        <v>12</v>
      </c>
      <c r="I1" s="13" t="s">
        <v>13</v>
      </c>
      <c r="J1" s="25" t="s">
        <v>14</v>
      </c>
      <c r="K1" s="25" t="s">
        <v>15</v>
      </c>
      <c r="L1" s="24" t="s">
        <v>16</v>
      </c>
      <c r="M1" s="23" t="s">
        <v>17</v>
      </c>
      <c r="N1" s="25" t="s">
        <v>18</v>
      </c>
      <c r="O1" s="25" t="s">
        <v>19</v>
      </c>
      <c r="P1" s="25" t="s">
        <v>20</v>
      </c>
      <c r="Q1" s="24" t="s">
        <v>21</v>
      </c>
      <c r="R1" s="23" t="s">
        <v>22</v>
      </c>
      <c r="S1" s="25" t="s">
        <v>23</v>
      </c>
      <c r="T1" s="24" t="s">
        <v>72</v>
      </c>
      <c r="U1" s="25" t="s">
        <v>24</v>
      </c>
      <c r="V1" s="23" t="s">
        <v>25</v>
      </c>
      <c r="W1" s="24" t="s">
        <v>26</v>
      </c>
      <c r="X1" s="25" t="s">
        <v>27</v>
      </c>
      <c r="Y1" s="25" t="s">
        <v>28</v>
      </c>
      <c r="Z1" s="22" t="s">
        <v>29</v>
      </c>
      <c r="AA1" s="21"/>
      <c r="AB1" s="21"/>
      <c r="AC1" s="21"/>
      <c r="AD1" s="21"/>
      <c r="AE1" s="20"/>
      <c r="AF1" s="19" t="s">
        <v>30</v>
      </c>
      <c r="AG1" s="25" t="s">
        <v>31</v>
      </c>
      <c r="AH1" s="25" t="s">
        <v>32</v>
      </c>
      <c r="AI1" s="18" t="s">
        <v>33</v>
      </c>
      <c r="AJ1" s="17" t="s">
        <v>34</v>
      </c>
      <c r="AK1" s="16"/>
      <c r="AL1" s="16"/>
      <c r="AM1" s="15"/>
      <c r="AN1" s="19" t="s">
        <v>35</v>
      </c>
      <c r="AO1" s="25" t="s">
        <v>36</v>
      </c>
      <c r="AP1" s="25" t="s">
        <v>37</v>
      </c>
      <c r="AQ1" s="25" t="s">
        <v>38</v>
      </c>
      <c r="AR1" s="25" t="s">
        <v>39</v>
      </c>
      <c r="AS1" s="25" t="s">
        <v>40</v>
      </c>
      <c r="AT1" s="25" t="s">
        <v>41</v>
      </c>
      <c r="AU1" s="25" t="s">
        <v>42</v>
      </c>
      <c r="AV1" s="25" t="s">
        <v>43</v>
      </c>
      <c r="AW1" s="14" t="s">
        <v>44</v>
      </c>
    </row>
    <row r="2" spans="1:49" s="32" customFormat="1" ht="15" thickBot="1" x14ac:dyDescent="0.4">
      <c r="A2" s="30"/>
      <c r="B2" s="33"/>
      <c r="C2" s="34"/>
      <c r="D2" s="35"/>
      <c r="E2" s="36"/>
      <c r="F2" s="37"/>
      <c r="G2" s="37"/>
      <c r="H2" s="38"/>
      <c r="I2" s="38"/>
      <c r="J2" s="39"/>
      <c r="K2" s="39"/>
      <c r="L2" s="40"/>
      <c r="M2" s="41"/>
      <c r="N2" s="39"/>
      <c r="O2" s="39"/>
      <c r="P2" s="39"/>
      <c r="Q2" s="42"/>
      <c r="R2" s="41"/>
      <c r="S2" s="39"/>
      <c r="T2" s="42"/>
      <c r="U2" s="39"/>
      <c r="V2" s="41"/>
      <c r="W2" s="42"/>
      <c r="X2" s="39"/>
      <c r="Y2" s="39"/>
      <c r="Z2" s="43" t="s">
        <v>45</v>
      </c>
      <c r="AA2" s="44" t="s">
        <v>46</v>
      </c>
      <c r="AB2" s="44" t="s">
        <v>47</v>
      </c>
      <c r="AC2" s="45" t="s">
        <v>48</v>
      </c>
      <c r="AD2" s="46" t="s">
        <v>49</v>
      </c>
      <c r="AE2" s="45" t="s">
        <v>50</v>
      </c>
      <c r="AF2" s="47"/>
      <c r="AG2" s="39"/>
      <c r="AH2" s="39"/>
      <c r="AI2" s="48"/>
      <c r="AJ2" s="49"/>
      <c r="AK2" s="50"/>
      <c r="AL2" s="50"/>
      <c r="AM2" s="51"/>
      <c r="AN2" s="47"/>
      <c r="AO2" s="39"/>
      <c r="AP2" s="39"/>
      <c r="AQ2" s="39"/>
      <c r="AR2" s="39"/>
      <c r="AS2" s="39"/>
      <c r="AT2" s="39"/>
      <c r="AU2" s="39"/>
      <c r="AV2" s="39"/>
      <c r="AW2" s="52"/>
    </row>
    <row r="3" spans="1:49" s="32" customFormat="1" x14ac:dyDescent="0.35">
      <c r="A3" s="30"/>
      <c r="B3" s="33"/>
      <c r="C3" s="54" t="s">
        <v>52</v>
      </c>
      <c r="D3" s="55" t="s">
        <v>53</v>
      </c>
      <c r="E3" s="36"/>
      <c r="F3" s="37"/>
      <c r="G3" s="37"/>
      <c r="H3" s="38"/>
      <c r="I3" s="38"/>
      <c r="J3" s="39"/>
      <c r="K3" s="39"/>
      <c r="L3" s="56"/>
      <c r="M3" s="41"/>
      <c r="N3" s="39"/>
      <c r="O3" s="39"/>
      <c r="P3" s="39"/>
      <c r="Q3" s="53"/>
      <c r="R3" s="41"/>
      <c r="S3" s="39"/>
      <c r="T3" s="53"/>
      <c r="U3" s="39"/>
      <c r="V3" s="41"/>
      <c r="W3" s="53"/>
      <c r="X3" s="39"/>
      <c r="Y3" s="39"/>
      <c r="Z3" s="57"/>
      <c r="AA3" s="53"/>
      <c r="AB3" s="53"/>
      <c r="AC3" s="58"/>
      <c r="AD3" s="59"/>
      <c r="AE3" s="58"/>
      <c r="AF3" s="47"/>
      <c r="AG3" s="39"/>
      <c r="AH3" s="39"/>
      <c r="AI3" s="48"/>
      <c r="AJ3" s="60" t="s">
        <v>51</v>
      </c>
      <c r="AK3" s="61" t="s">
        <v>54</v>
      </c>
      <c r="AL3" s="61" t="s">
        <v>55</v>
      </c>
      <c r="AM3" s="62" t="s">
        <v>56</v>
      </c>
      <c r="AN3" s="47"/>
      <c r="AO3" s="39"/>
      <c r="AP3" s="39"/>
      <c r="AQ3" s="39"/>
      <c r="AR3" s="39"/>
      <c r="AS3" s="39"/>
      <c r="AT3" s="39"/>
      <c r="AU3" s="39"/>
      <c r="AV3" s="39"/>
      <c r="AW3" s="52"/>
    </row>
    <row r="4" spans="1:49" s="32" customFormat="1" ht="15" thickBot="1" x14ac:dyDescent="0.4">
      <c r="A4" s="30"/>
      <c r="B4" s="63"/>
      <c r="C4" s="64"/>
      <c r="D4" s="65"/>
      <c r="E4" s="66"/>
      <c r="F4" s="67"/>
      <c r="G4" s="67"/>
      <c r="H4" s="67"/>
      <c r="I4" s="67"/>
      <c r="J4" s="68" t="s">
        <v>57</v>
      </c>
      <c r="K4" s="68" t="s">
        <v>57</v>
      </c>
      <c r="L4" s="68" t="s">
        <v>57</v>
      </c>
      <c r="M4" s="68" t="s">
        <v>58</v>
      </c>
      <c r="N4" s="68" t="s">
        <v>58</v>
      </c>
      <c r="O4" s="68"/>
      <c r="P4" s="68"/>
      <c r="Q4" s="68"/>
      <c r="R4" s="68" t="s">
        <v>58</v>
      </c>
      <c r="S4" s="68" t="s">
        <v>60</v>
      </c>
      <c r="T4" s="68"/>
      <c r="U4" s="68" t="s">
        <v>60</v>
      </c>
      <c r="V4" s="68" t="s">
        <v>60</v>
      </c>
      <c r="W4" s="68" t="s">
        <v>60</v>
      </c>
      <c r="X4" s="68" t="s">
        <v>58</v>
      </c>
      <c r="Y4" s="68" t="s">
        <v>60</v>
      </c>
      <c r="Z4" s="69" t="s">
        <v>60</v>
      </c>
      <c r="AA4" s="68" t="s">
        <v>61</v>
      </c>
      <c r="AB4" s="68" t="s">
        <v>59</v>
      </c>
      <c r="AC4" s="70" t="s">
        <v>62</v>
      </c>
      <c r="AD4" s="70" t="s">
        <v>59</v>
      </c>
      <c r="AE4" s="70" t="s">
        <v>63</v>
      </c>
      <c r="AF4" s="71"/>
      <c r="AG4" s="68" t="s">
        <v>60</v>
      </c>
      <c r="AH4" s="68" t="s">
        <v>63</v>
      </c>
      <c r="AI4" s="72" t="s">
        <v>64</v>
      </c>
      <c r="AJ4" s="69"/>
      <c r="AK4" s="68"/>
      <c r="AL4" s="68" t="s">
        <v>65</v>
      </c>
      <c r="AM4" s="70"/>
      <c r="AN4" s="71" t="s">
        <v>66</v>
      </c>
      <c r="AO4" s="68" t="s">
        <v>66</v>
      </c>
      <c r="AP4" s="68" t="s">
        <v>66</v>
      </c>
      <c r="AQ4" s="68" t="s">
        <v>67</v>
      </c>
      <c r="AR4" s="68" t="s">
        <v>68</v>
      </c>
      <c r="AS4" s="68" t="s">
        <v>68</v>
      </c>
      <c r="AT4" s="68" t="s">
        <v>58</v>
      </c>
      <c r="AU4" s="68" t="s">
        <v>69</v>
      </c>
      <c r="AV4" s="68" t="s">
        <v>70</v>
      </c>
      <c r="AW4" s="70" t="s">
        <v>71</v>
      </c>
    </row>
    <row r="5" spans="1:49" s="12" customFormat="1" x14ac:dyDescent="0.35">
      <c r="A5" s="5"/>
      <c r="B5" s="6" t="s">
        <v>0</v>
      </c>
      <c r="C5" s="7" t="s">
        <v>1</v>
      </c>
      <c r="D5" s="7">
        <v>9999</v>
      </c>
      <c r="E5" s="7">
        <v>6</v>
      </c>
      <c r="F5" s="7" t="s">
        <v>2</v>
      </c>
      <c r="G5" s="7">
        <v>2</v>
      </c>
      <c r="H5" s="7" t="s">
        <v>3</v>
      </c>
      <c r="I5" s="7"/>
      <c r="J5" s="8">
        <v>159.6</v>
      </c>
      <c r="K5" s="7">
        <v>89</v>
      </c>
      <c r="L5" s="8">
        <v>14</v>
      </c>
      <c r="M5" s="8">
        <v>3990.14</v>
      </c>
      <c r="N5" s="8">
        <v>718.68</v>
      </c>
      <c r="O5" s="7" t="s">
        <v>4</v>
      </c>
      <c r="P5" s="7" t="s">
        <v>5</v>
      </c>
      <c r="Q5" s="7">
        <v>0.7</v>
      </c>
      <c r="R5" s="7">
        <v>3659.21</v>
      </c>
      <c r="S5" s="8">
        <v>30</v>
      </c>
      <c r="T5" s="8">
        <v>20</v>
      </c>
      <c r="U5" s="8">
        <v>27.85</v>
      </c>
      <c r="V5" s="8">
        <v>399</v>
      </c>
      <c r="W5" s="8">
        <v>399</v>
      </c>
      <c r="X5" s="8">
        <v>0</v>
      </c>
      <c r="Y5" s="8">
        <v>0</v>
      </c>
      <c r="Z5" s="4"/>
      <c r="AA5" s="1">
        <v>43.035998939999999</v>
      </c>
      <c r="AB5" s="7">
        <v>113.63</v>
      </c>
      <c r="AC5" s="1">
        <v>52.3</v>
      </c>
      <c r="AD5" s="2">
        <v>19839.596000000001</v>
      </c>
      <c r="AE5" s="1">
        <f>IF(AA5&lt;&gt;0,AD5/AA5,"")</f>
        <v>461.00001135468011</v>
      </c>
      <c r="AF5" s="7" t="s">
        <v>6</v>
      </c>
      <c r="AG5" s="9">
        <v>213.3</v>
      </c>
      <c r="AH5" s="9">
        <v>461</v>
      </c>
      <c r="AI5" s="7">
        <v>110</v>
      </c>
      <c r="AJ5" s="7">
        <v>-4.7</v>
      </c>
      <c r="AK5" s="3">
        <v>0.40826637198005378</v>
      </c>
      <c r="AL5" s="10">
        <v>43999</v>
      </c>
      <c r="AM5" s="7"/>
      <c r="AN5" s="11">
        <v>0.2</v>
      </c>
      <c r="AO5" s="11">
        <v>0.5</v>
      </c>
      <c r="AP5" s="4">
        <v>0.37053505261597747</v>
      </c>
      <c r="AQ5" s="9">
        <v>1.5330000000000001</v>
      </c>
      <c r="AR5" s="9">
        <v>0.79400000000000004</v>
      </c>
      <c r="AS5" s="9">
        <v>1.0090000000000001</v>
      </c>
      <c r="AT5" s="7">
        <v>6.29</v>
      </c>
      <c r="AU5" s="1">
        <v>1.7240167545141409</v>
      </c>
      <c r="AV5" s="1">
        <v>10.844065385893941</v>
      </c>
      <c r="AW5" s="4">
        <v>0.43703248486078922</v>
      </c>
    </row>
    <row r="7" spans="1:49" ht="12.5" customHeight="1" x14ac:dyDescent="0.35"/>
    <row r="8" spans="1:49" x14ac:dyDescent="0.35">
      <c r="B8" s="89" t="s">
        <v>73</v>
      </c>
      <c r="C8" s="90" t="s">
        <v>76</v>
      </c>
    </row>
    <row r="9" spans="1:49" ht="31" customHeight="1" x14ac:dyDescent="0.35">
      <c r="B9" s="91"/>
      <c r="C9" s="90"/>
    </row>
    <row r="10" spans="1:49" x14ac:dyDescent="0.35">
      <c r="B10" s="92" t="s">
        <v>74</v>
      </c>
      <c r="C10" s="75" t="str">
        <f>[1]!PVT_encode_string(,AR5,AS5,,AH5,AG5,AI5,AQ5,AN5,0,Q5,,,0)</f>
        <v>{"gamma_gas":0.6,"gamma_oil":0.794,"gamma_wat":1.009,"rsb_m3m3":100,"rp_m3m3":461,"pb_atma":213.3,"t_res_C":110,"bob_m3m3":1.533,"muob_cP":0.2,"PVTcorr":0,"ksep_fr":0.7}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</row>
    <row r="11" spans="1:49" x14ac:dyDescent="0.35">
      <c r="B11" s="92" t="s">
        <v>75</v>
      </c>
      <c r="C11" s="75" t="str">
        <f>[1]!PVT_encode_string(,AR5,AS5,,AH5,AG5,AI5,AQ5,AN5,1,Q5,,,0)</f>
        <v>{"gamma_gas":0.6,"gamma_oil":0.794,"gamma_wat":1.009,"rsb_m3m3":100,"rp_m3m3":461,"pb_atma":213.3,"t_res_C":110,"bob_m3m3":1.533,"muob_cP":0.2,"PVTcorr":1,"ksep_fr":0.7}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</row>
    <row r="14" spans="1:49" ht="14.5" customHeight="1" x14ac:dyDescent="0.35">
      <c r="A14" s="87" t="s">
        <v>77</v>
      </c>
      <c r="B14" s="74" t="s">
        <v>79</v>
      </c>
      <c r="C14" s="74" t="s">
        <v>82</v>
      </c>
      <c r="D14" s="79" t="s">
        <v>83</v>
      </c>
      <c r="E14" s="79"/>
      <c r="F14" s="77" t="s">
        <v>84</v>
      </c>
      <c r="G14" s="77"/>
      <c r="H14" s="83" t="s">
        <v>85</v>
      </c>
      <c r="I14" s="83"/>
      <c r="J14" s="84" t="s">
        <v>78</v>
      </c>
      <c r="K14" s="85"/>
    </row>
    <row r="15" spans="1:49" x14ac:dyDescent="0.35">
      <c r="A15" s="32"/>
      <c r="B15" s="31"/>
      <c r="C15" s="31"/>
      <c r="D15" s="78" t="s">
        <v>81</v>
      </c>
      <c r="E15" s="78" t="s">
        <v>80</v>
      </c>
      <c r="F15" s="82" t="s">
        <v>81</v>
      </c>
      <c r="G15" s="82" t="s">
        <v>80</v>
      </c>
      <c r="H15" s="73" t="s">
        <v>81</v>
      </c>
      <c r="I15" s="73" t="s">
        <v>80</v>
      </c>
      <c r="J15" s="86" t="s">
        <v>81</v>
      </c>
      <c r="K15" s="86" t="s">
        <v>80</v>
      </c>
    </row>
    <row r="16" spans="1:49" x14ac:dyDescent="0.35">
      <c r="A16" s="88">
        <v>0</v>
      </c>
      <c r="B16" s="80">
        <f>[1]!MF_q_mix_rc_m3day(AB5,AC5,S5,T5,C10)</f>
        <v>873.48703207040569</v>
      </c>
      <c r="C16" s="80">
        <f>[1]!MF_gas_fraction_d(S5,T5,AC5,C10)</f>
        <v>0.86724253306909704</v>
      </c>
      <c r="D16" s="80">
        <f>[1]!PVT_rho_gas_kgm3(S5,T5,,,,,,,,,,,,,,C10)</f>
        <v>23.437276000982319</v>
      </c>
      <c r="E16" s="80">
        <f>[1]!PVT_mu_gas_cP(S5,T5,,,,,,,,,,,,,,C10)</f>
        <v>1.1532547525922525E-2</v>
      </c>
      <c r="F16" s="80">
        <f>[1]!PVT_rho_oil_kgm3(S5,T5,,,,,,,,,,,,,,C10)</f>
        <v>772.17905179347645</v>
      </c>
      <c r="G16" s="81">
        <f>[1]!PVT_mu_oil_cP(S5,T5,,,,,,,,,,,,,,C10)</f>
        <v>0.67475272343378878</v>
      </c>
      <c r="H16" s="81">
        <f>[1]!PVT_rho_wat_kgm3(S5,T5,,,,,,,,,,,,,,C10)</f>
        <v>1007.7621590333351</v>
      </c>
      <c r="I16" s="81">
        <f>[1]!PVT_mu_wat_cP(S5,T5,,,,,,,,,,,,,,C10)</f>
        <v>1.03441319414987</v>
      </c>
      <c r="J16" s="81">
        <f>[1]!MF_rho_mix_kgm3(AB5,AC5,S5,T5,C10)</f>
        <v>139.1953804060615</v>
      </c>
      <c r="K16" s="80">
        <f>[1]!MF_mu_mix_cP(AB5,AC5,S5,T5,C10)</f>
        <v>0.12407986398499975</v>
      </c>
    </row>
    <row r="17" spans="1:13" x14ac:dyDescent="0.35">
      <c r="A17" s="88">
        <v>1</v>
      </c>
      <c r="B17" s="80">
        <f>[1]!MF_q_mix_rc_m3day(AB5,AC5,S5,T5,C11)</f>
        <v>857.91519966569308</v>
      </c>
      <c r="C17" s="80">
        <f>[1]!MF_gas_fraction_d(S5,T5,AC5,C11)</f>
        <v>0.86209149878991553</v>
      </c>
      <c r="D17" s="80">
        <f>[1]!PVT_rho_gas_kgm3(S5,T5,,,,,,,,,,,,,,C11)</f>
        <v>23.437276000982319</v>
      </c>
      <c r="E17" s="80">
        <f>[1]!PVT_mu_gas_cP(S5,T5,,,,,,,,,,,,,,C11)</f>
        <v>1.1532547525922525E-2</v>
      </c>
      <c r="F17" s="80">
        <f>[1]!PVT_rho_oil_kgm3(S5,T5,,,,,,,,,,,,,,C11)</f>
        <v>748.44278647006286</v>
      </c>
      <c r="G17" s="81">
        <f>[1]!PVT_mu_oil_cP(S5,T5,,,,,,,,,,,,,,C11)</f>
        <v>0.42658387563240902</v>
      </c>
      <c r="H17" s="81">
        <f>[1]!PVT_rho_wat_kgm3(S5,T5,,,,,,,,,,,,,,C11)</f>
        <v>1007.7621590333351</v>
      </c>
      <c r="I17" s="81">
        <f>[1]!PVT_mu_wat_cP(S5,T5,,,,,,,,,,,,,,C11)</f>
        <v>1.03441319414987</v>
      </c>
      <c r="J17" s="81">
        <f>[1]!MF_rho_mix_kgm3(AB5,AC5,S5,T5,C11)</f>
        <v>142.12540627940933</v>
      </c>
      <c r="K17" s="80">
        <f>[1]!MF_mu_mix_cP(AB5,AC5,S5,T5,C11)</f>
        <v>0.11092820751948906</v>
      </c>
    </row>
    <row r="20" spans="1:13" x14ac:dyDescent="0.35">
      <c r="A20" s="97" t="s">
        <v>86</v>
      </c>
      <c r="B20" s="93" t="s">
        <v>87</v>
      </c>
      <c r="C20" s="94" t="s">
        <v>88</v>
      </c>
      <c r="D20" s="94" t="s">
        <v>89</v>
      </c>
    </row>
    <row r="21" spans="1:13" ht="14.5" customHeight="1" x14ac:dyDescent="0.35">
      <c r="A21" s="97"/>
      <c r="B21" s="93"/>
      <c r="C21" s="94"/>
      <c r="D21" s="94"/>
      <c r="K21" s="103" t="s">
        <v>90</v>
      </c>
      <c r="L21" s="103"/>
      <c r="M21" s="76"/>
    </row>
    <row r="22" spans="1:13" x14ac:dyDescent="0.35">
      <c r="B22" s="95">
        <v>0</v>
      </c>
      <c r="C22" s="96">
        <f>[1]!MF_p_pipeline_atma($S$5,$T$5,$AI$5,$M$5,$J$5,B22,$AC$5,0,$C$10,10,1,0)</f>
        <v>346.58541539663992</v>
      </c>
      <c r="D22" s="106">
        <f>[1]!IPR_pwf_atma($AW$5,$V$5,B22,$AC$5,$AG$5)</f>
        <v>399</v>
      </c>
      <c r="K22" s="103"/>
      <c r="L22" s="103"/>
      <c r="M22" s="76"/>
    </row>
    <row r="23" spans="1:13" x14ac:dyDescent="0.35">
      <c r="B23" s="95">
        <v>25</v>
      </c>
      <c r="C23" s="96">
        <f>[1]!MF_p_pipeline_atma($S$5,$T$5,$AI$5,$M$5,$J$5,B23,$AC$5,0,$C$10,10,1,0)</f>
        <v>323.17793870278177</v>
      </c>
      <c r="D23" s="106">
        <f>[1]!IPR_pwf_atma($AW$5,$V$5,B23,$AC$5,$AG$5)</f>
        <v>341.79601433297705</v>
      </c>
      <c r="K23" s="104">
        <f>V5 -SQRT(AB5/AW5)</f>
        <v>382.87537424763747</v>
      </c>
      <c r="L23" s="104"/>
      <c r="M23" s="76"/>
    </row>
    <row r="24" spans="1:13" x14ac:dyDescent="0.35">
      <c r="B24" s="95">
        <v>50</v>
      </c>
      <c r="C24" s="96">
        <f>[1]!MF_p_pipeline_atma($S$5,$T$5,$AI$5,$M$5,$J$5,B24,$AC$5,0,$C$10,10,1,0)</f>
        <v>307.18690435722527</v>
      </c>
      <c r="D24" s="106">
        <f>[1]!IPR_pwf_atma($AW$5,$V$5,B24,$AC$5,$AG$5)</f>
        <v>284.59202866595416</v>
      </c>
      <c r="K24" s="104"/>
      <c r="L24" s="104"/>
      <c r="M24" s="76"/>
    </row>
    <row r="25" spans="1:13" ht="14.5" customHeight="1" x14ac:dyDescent="0.35">
      <c r="B25" s="95">
        <v>75</v>
      </c>
      <c r="C25" s="96">
        <f>[1]!MF_p_pipeline_atma($S$5,$T$5,$AI$5,$M$5,$J$5,B25,$AC$5,0,$C$10,10,1,0)</f>
        <v>294.87305974816957</v>
      </c>
      <c r="D25" s="106">
        <f>[1]!IPR_pwf_atma($AW$5,$V$5,B25,$AC$5,$AG$5)</f>
        <v>227.38804299893121</v>
      </c>
      <c r="K25" s="103" t="s">
        <v>91</v>
      </c>
      <c r="L25" s="103"/>
      <c r="M25" s="103"/>
    </row>
    <row r="26" spans="1:13" x14ac:dyDescent="0.35">
      <c r="B26" s="95">
        <v>100</v>
      </c>
      <c r="C26" s="96">
        <f>[1]!MF_p_pipeline_atma($S$5,$T$5,$AI$5,$M$5,$J$5,B26,$AC$5,0,$C$10,10,1,0)</f>
        <v>285.0296440443081</v>
      </c>
      <c r="D26" s="106">
        <f>[1]!IPR_pwf_atma($AW$5,$V$5,B26,$AC$5,$AG$5)</f>
        <v>167.90402238551408</v>
      </c>
      <c r="K26" s="103"/>
      <c r="L26" s="103"/>
      <c r="M26" s="103"/>
    </row>
    <row r="27" spans="1:13" x14ac:dyDescent="0.35">
      <c r="B27" s="95">
        <v>125</v>
      </c>
      <c r="C27" s="96">
        <f>[1]!MF_p_pipeline_atma($S$5,$T$5,$AI$5,$M$5,$J$5,B27,$AC$5,0,$C$10,10,1,0)</f>
        <v>276.57694402571224</v>
      </c>
      <c r="D27" s="106">
        <f>[1]!IPR_pwf_atma($AW$5,$V$5,B27,$AC$5,$AG$5)</f>
        <v>92.705805320446004</v>
      </c>
      <c r="K27" s="103"/>
      <c r="L27" s="103"/>
      <c r="M27" s="103"/>
    </row>
    <row r="28" spans="1:13" x14ac:dyDescent="0.35">
      <c r="B28" s="95">
        <v>150</v>
      </c>
      <c r="C28" s="96">
        <f>[1]!MF_p_pipeline_atma($S$5,$T$5,$AI$5,$M$5,$J$5,B28,$AC$5,0,$C$10,10,1,0)</f>
        <v>268.24680217747351</v>
      </c>
      <c r="D28" s="106">
        <f>[1]!IPR_pwf_atma($AW$5,$V$5,B28,$AC$5,$AG$5)</f>
        <v>0</v>
      </c>
      <c r="K28" s="103"/>
      <c r="L28" s="103"/>
      <c r="M28" s="103"/>
    </row>
    <row r="29" spans="1:13" x14ac:dyDescent="0.35">
      <c r="B29" s="95">
        <v>175</v>
      </c>
      <c r="C29" s="96">
        <f>[1]!MF_p_pipeline_atma($S$5,$T$5,$AI$5,$M$5,$J$5,B29,$AC$5,0,$C$10,10,1,0)</f>
        <v>261.83216092394542</v>
      </c>
      <c r="D29" s="106">
        <f>[1]!IPR_pwf_atma($AW$5,$V$5,B29,$AC$5,$AG$5)</f>
        <v>0</v>
      </c>
    </row>
    <row r="30" spans="1:13" x14ac:dyDescent="0.35">
      <c r="B30" s="95">
        <v>200</v>
      </c>
      <c r="C30" s="96">
        <f>[1]!MF_p_pipeline_atma($S$5,$T$5,$AI$5,$M$5,$J$5,B30,$AC$5,0,$C$10,10,1,0)</f>
        <v>255.29971958075311</v>
      </c>
      <c r="D30" s="106">
        <f>[1]!IPR_pwf_atma($AW$5,$V$5,B30,$AC$5,$AG$5)</f>
        <v>0</v>
      </c>
    </row>
    <row r="31" spans="1:13" x14ac:dyDescent="0.35">
      <c r="B31" s="95">
        <v>225</v>
      </c>
      <c r="C31" s="96">
        <f>[1]!MF_p_pipeline_atma($S$5,$T$5,$AI$5,$M$5,$J$5,B31,$AC$5,0,$C$10,10,1,0)</f>
        <v>248.34139792205647</v>
      </c>
      <c r="D31" s="106">
        <f>[1]!IPR_pwf_atma($AW$5,$V$5,B31,$AC$5,$AG$5)</f>
        <v>0</v>
      </c>
    </row>
    <row r="32" spans="1:13" x14ac:dyDescent="0.35">
      <c r="B32" s="95">
        <v>250</v>
      </c>
      <c r="C32" s="96">
        <f>[1]!MF_p_pipeline_atma($S$5,$T$5,$AI$5,$M$5,$J$5,B32,$AC$5,0,$C$10,10,1,0)</f>
        <v>242.10444212617833</v>
      </c>
      <c r="D32" s="106">
        <f>[1]!IPR_pwf_atma($AW$5,$V$5,B32,$AC$5,$AG$5)</f>
        <v>0</v>
      </c>
    </row>
    <row r="33" spans="2:16" x14ac:dyDescent="0.35">
      <c r="B33" s="95">
        <v>275</v>
      </c>
      <c r="C33" s="96">
        <f>[1]!MF_p_pipeline_atma($S$5,$T$5,$AI$5,$M$5,$J$5,B33,$AC$5,0,$C$10,10,1,0)</f>
        <v>236.43177342575302</v>
      </c>
      <c r="D33" s="106">
        <f>[1]!IPR_pwf_atma($AW$5,$V$5,B33,$AC$5,$AG$5)</f>
        <v>0</v>
      </c>
    </row>
    <row r="34" spans="2:16" x14ac:dyDescent="0.35">
      <c r="B34" s="95">
        <v>300</v>
      </c>
      <c r="C34" s="96">
        <f>[1]!MF_p_pipeline_atma($S$5,$T$5,$AI$5,$M$5,$J$5,B34,$AC$5,0,$C$10,10,1,0)</f>
        <v>231.34366105176954</v>
      </c>
      <c r="D34" s="106">
        <f>[1]!IPR_pwf_atma($AW$5,$V$5,B34,$AC$5,$AG$5)</f>
        <v>0</v>
      </c>
    </row>
    <row r="35" spans="2:16" x14ac:dyDescent="0.35">
      <c r="B35" s="95">
        <v>325</v>
      </c>
      <c r="C35" s="96">
        <f>[1]!MF_p_pipeline_atma($S$5,$T$5,$AI$5,$M$5,$J$5,B35,$AC$5,0,$C$10,10,1,0)</f>
        <v>226.63281113910614</v>
      </c>
      <c r="D35" s="106">
        <f>[1]!IPR_pwf_atma($AW$5,$V$5,B35,$AC$5,$AG$5)</f>
        <v>0</v>
      </c>
    </row>
    <row r="36" spans="2:16" x14ac:dyDescent="0.35">
      <c r="B36" s="95">
        <v>350</v>
      </c>
      <c r="C36" s="96">
        <f>[1]!MF_p_pipeline_atma($S$5,$T$5,$AI$5,$M$5,$J$5,B36,$AC$5,0,$C$10,10,1,0)</f>
        <v>222.38228148179562</v>
      </c>
      <c r="D36" s="106">
        <f>[1]!IPR_pwf_atma($AW$5,$V$5,B36,$AC$5,$AG$5)</f>
        <v>0</v>
      </c>
    </row>
    <row r="37" spans="2:16" ht="14.5" customHeight="1" x14ac:dyDescent="0.35">
      <c r="B37" s="95">
        <v>375</v>
      </c>
      <c r="C37" s="96">
        <f>[1]!MF_p_pipeline_atma($S$5,$T$5,$AI$5,$M$5,$J$5,B37,$AC$5,0,$C$10,10,1,0)</f>
        <v>218.59633951022843</v>
      </c>
      <c r="D37" s="106">
        <f>[1]!IPR_pwf_atma($AW$5,$V$5,B37,$AC$5,$AG$5)</f>
        <v>0</v>
      </c>
      <c r="E37" s="100" cm="1">
        <f t="array" ref="E37:M49">[1]!MF_p_pipeline_atma(S5,T5,AI5,M5,J5,AB5,AC5,0,C10,10,1,0,,,,10)</f>
        <v>280.49695120750425</v>
      </c>
      <c r="F37" s="100">
        <v>110</v>
      </c>
      <c r="G37" s="100">
        <v>30</v>
      </c>
      <c r="H37" s="100">
        <v>20</v>
      </c>
      <c r="I37" s="100">
        <v>280.49695120750425</v>
      </c>
      <c r="J37" s="100">
        <v>110</v>
      </c>
      <c r="K37" s="100">
        <v>1</v>
      </c>
      <c r="L37" s="32">
        <v>1</v>
      </c>
      <c r="M37" s="100">
        <v>24986.896109999998</v>
      </c>
    </row>
    <row r="38" spans="2:16" x14ac:dyDescent="0.35">
      <c r="B38" s="95">
        <v>400</v>
      </c>
      <c r="C38" s="96">
        <f>[1]!MF_p_pipeline_atma($S$5,$T$5,$AI$5,$M$5,$J$5,B38,$AC$5,0,$C$10,10,1,0)</f>
        <v>215.03550723287194</v>
      </c>
      <c r="D38" s="106">
        <f>[1]!IPR_pwf_atma($AW$5,$V$5,B38,$AC$5,$AG$5)</f>
        <v>0</v>
      </c>
      <c r="E38" s="100" t="str">
        <v>p_result_atma</v>
      </c>
      <c r="F38" s="100" t="str">
        <v>t_result_C</v>
      </c>
      <c r="G38" s="100" t="str">
        <v>p_1, atma</v>
      </c>
      <c r="H38" s="32" t="str">
        <v>t_1, C</v>
      </c>
      <c r="I38" s="100" t="str">
        <v>p_2, atma</v>
      </c>
      <c r="J38" s="100" t="str">
        <v>t_2, C</v>
      </c>
      <c r="K38" s="100" t="str">
        <v>c_calibr_grav</v>
      </c>
      <c r="L38" s="32" t="str">
        <v>c_calibr_fric</v>
      </c>
      <c r="M38" s="100" t="str">
        <v>q_gas_sm3day</v>
      </c>
      <c r="P38" s="99"/>
    </row>
    <row r="39" spans="2:16" x14ac:dyDescent="0.35">
      <c r="B39" s="95">
        <v>425</v>
      </c>
      <c r="C39" s="96">
        <f>[1]!MF_p_pipeline_atma($S$5,$T$5,$AI$5,$M$5,$J$5,B39,$AC$5,0,$C$10,10,1,0)</f>
        <v>211.71222796471616</v>
      </c>
      <c r="D39" s="106">
        <f>[1]!IPR_pwf_atma($AW$5,$V$5,B39,$AC$5,$AG$5)</f>
        <v>0</v>
      </c>
      <c r="E39" s="100" t="str">
        <v>num</v>
      </c>
      <c r="F39" s="100" t="str">
        <v>h,m</v>
      </c>
      <c r="G39" s="100" t="str">
        <v>hvert,m</v>
      </c>
      <c r="H39" s="32" t="str">
        <v>p,atma</v>
      </c>
      <c r="I39" s="100" t="str">
        <v>t,C</v>
      </c>
      <c r="J39" s="100" t="str">
        <v>Hl</v>
      </c>
      <c r="K39" s="100" t="str">
        <v>fpat</v>
      </c>
      <c r="L39" s="32" t="str">
        <v>t_amb, C</v>
      </c>
      <c r="M39" s="100" t="str">
        <v>diam, m</v>
      </c>
      <c r="P39" s="99"/>
    </row>
    <row r="40" spans="2:16" x14ac:dyDescent="0.35">
      <c r="B40" s="95">
        <v>450</v>
      </c>
      <c r="C40" s="96">
        <f>[1]!MF_p_pipeline_atma($S$5,$T$5,$AI$5,$M$5,$J$5,B40,$AC$5,0,$C$10,10,1,0)</f>
        <v>208.8865215898247</v>
      </c>
      <c r="D40" s="106">
        <f>[1]!IPR_pwf_atma($AW$5,$V$5,B40,$AC$5,$AG$5)</f>
        <v>0</v>
      </c>
      <c r="E40" s="98">
        <v>1</v>
      </c>
      <c r="F40" s="107">
        <v>0</v>
      </c>
      <c r="G40" s="98">
        <v>0</v>
      </c>
      <c r="H40" s="105">
        <v>30</v>
      </c>
      <c r="I40" s="98">
        <v>20</v>
      </c>
      <c r="J40" s="98">
        <v>0.5229624047679815</v>
      </c>
      <c r="K40" s="101">
        <v>103</v>
      </c>
      <c r="L40" s="105">
        <v>20</v>
      </c>
      <c r="M40" s="98">
        <v>0.15959999999999999</v>
      </c>
      <c r="P40" s="99"/>
    </row>
    <row r="41" spans="2:16" x14ac:dyDescent="0.35">
      <c r="B41" s="95">
        <v>475</v>
      </c>
      <c r="C41" s="96">
        <f>[1]!MF_p_pipeline_atma($S$5,$T$5,$AI$5,$M$5,$J$5,B41,$AC$5,0,$C$10,10,1,0)</f>
        <v>206.266070223084</v>
      </c>
      <c r="D41" s="106">
        <f>[1]!IPR_pwf_atma($AW$5,$V$5,B41,$AC$5,$AG$5)</f>
        <v>0</v>
      </c>
      <c r="E41" s="98">
        <v>2</v>
      </c>
      <c r="F41" s="107">
        <v>443.34888888888889</v>
      </c>
      <c r="G41" s="98">
        <v>443.34888888888889</v>
      </c>
      <c r="H41" s="105">
        <v>51.580080164203899</v>
      </c>
      <c r="I41" s="98">
        <v>30</v>
      </c>
      <c r="J41" s="98">
        <v>0.63930648642350318</v>
      </c>
      <c r="K41" s="101">
        <v>103</v>
      </c>
      <c r="L41" s="105">
        <v>30</v>
      </c>
      <c r="M41" s="98">
        <v>0.15959999999999999</v>
      </c>
      <c r="P41" s="99"/>
    </row>
    <row r="42" spans="2:16" x14ac:dyDescent="0.35">
      <c r="B42" s="95">
        <v>500</v>
      </c>
      <c r="C42" s="96">
        <f>[1]!MF_p_pipeline_atma($S$5,$T$5,$AI$5,$M$5,$J$5,B42,$AC$5,0,$C$10,10,1,0)</f>
        <v>203.82862051599224</v>
      </c>
      <c r="D42" s="106">
        <f>[1]!IPR_pwf_atma($AW$5,$V$5,B42,$AC$5,$AG$5)</f>
        <v>0</v>
      </c>
      <c r="E42" s="98">
        <v>3</v>
      </c>
      <c r="F42" s="107">
        <v>886.69777777777779</v>
      </c>
      <c r="G42" s="98">
        <v>886.69777777777779</v>
      </c>
      <c r="H42" s="105">
        <v>76.960816984329242</v>
      </c>
      <c r="I42" s="98">
        <v>40</v>
      </c>
      <c r="J42" s="98">
        <v>0.72287798590073304</v>
      </c>
      <c r="K42" s="101">
        <v>103</v>
      </c>
      <c r="L42" s="105">
        <v>40</v>
      </c>
      <c r="M42" s="98">
        <v>0.15959999999999999</v>
      </c>
      <c r="P42" s="99"/>
    </row>
    <row r="43" spans="2:16" x14ac:dyDescent="0.35">
      <c r="E43" s="98">
        <v>4</v>
      </c>
      <c r="F43" s="107">
        <v>1330.0466666666666</v>
      </c>
      <c r="G43" s="98">
        <v>1330.0466666666666</v>
      </c>
      <c r="H43" s="105">
        <v>104.89675071001099</v>
      </c>
      <c r="I43" s="98">
        <v>50</v>
      </c>
      <c r="J43" s="98">
        <v>0.78631263872096513</v>
      </c>
      <c r="K43" s="101">
        <v>103</v>
      </c>
      <c r="L43" s="105">
        <v>50</v>
      </c>
      <c r="M43" s="98">
        <v>0.15959999999999999</v>
      </c>
      <c r="P43" s="99"/>
    </row>
    <row r="44" spans="2:16" x14ac:dyDescent="0.35">
      <c r="E44" s="98">
        <v>5</v>
      </c>
      <c r="F44" s="107">
        <v>1773.3955555555556</v>
      </c>
      <c r="G44" s="98">
        <v>1773.3955555555556</v>
      </c>
      <c r="H44" s="105">
        <v>134.48840598525311</v>
      </c>
      <c r="I44" s="98">
        <v>60</v>
      </c>
      <c r="J44" s="98">
        <v>0.82269503546024425</v>
      </c>
      <c r="K44" s="101">
        <v>103</v>
      </c>
      <c r="L44" s="105">
        <v>60</v>
      </c>
      <c r="M44" s="98">
        <v>0.15959999999999999</v>
      </c>
      <c r="P44" s="99"/>
    </row>
    <row r="45" spans="2:16" x14ac:dyDescent="0.35">
      <c r="E45" s="98">
        <v>6</v>
      </c>
      <c r="F45" s="108">
        <v>2216.7444444444445</v>
      </c>
      <c r="G45" s="98">
        <v>2216.7444444444445</v>
      </c>
      <c r="H45" s="105">
        <v>164.13850426039679</v>
      </c>
      <c r="I45" s="98">
        <v>70</v>
      </c>
      <c r="J45" s="98">
        <v>0.79742945765391293</v>
      </c>
      <c r="K45" s="102">
        <v>102</v>
      </c>
      <c r="L45" s="105">
        <v>70</v>
      </c>
      <c r="M45" s="98">
        <v>0.15959999999999999</v>
      </c>
      <c r="P45" s="99"/>
    </row>
    <row r="46" spans="2:16" x14ac:dyDescent="0.35">
      <c r="E46" s="98">
        <v>7</v>
      </c>
      <c r="F46" s="108">
        <v>2660.0933333333332</v>
      </c>
      <c r="G46" s="98">
        <v>2660.0933333333332</v>
      </c>
      <c r="H46" s="105">
        <v>192.98715934384873</v>
      </c>
      <c r="I46" s="98">
        <v>80</v>
      </c>
      <c r="J46" s="98">
        <v>0.81834091928258323</v>
      </c>
      <c r="K46" s="102">
        <v>102</v>
      </c>
      <c r="L46" s="105">
        <v>80</v>
      </c>
      <c r="M46" s="98">
        <v>0.15959999999999999</v>
      </c>
      <c r="P46" s="99"/>
    </row>
    <row r="47" spans="2:16" x14ac:dyDescent="0.35">
      <c r="E47" s="98">
        <v>8</v>
      </c>
      <c r="F47" s="108">
        <v>3103.4422222222224</v>
      </c>
      <c r="G47" s="98">
        <v>3103.4422222222224</v>
      </c>
      <c r="H47" s="105">
        <v>222.05055258662159</v>
      </c>
      <c r="I47" s="98">
        <v>90</v>
      </c>
      <c r="J47" s="98">
        <v>0.82833012037171705</v>
      </c>
      <c r="K47" s="102">
        <v>102</v>
      </c>
      <c r="L47" s="105">
        <v>90</v>
      </c>
      <c r="M47" s="98">
        <v>0.15959999999999999</v>
      </c>
      <c r="P47" s="99"/>
    </row>
    <row r="48" spans="2:16" x14ac:dyDescent="0.35">
      <c r="E48" s="98">
        <v>9</v>
      </c>
      <c r="F48" s="108">
        <v>3546.7911111111111</v>
      </c>
      <c r="G48" s="98">
        <v>3546.7911111111111</v>
      </c>
      <c r="H48" s="105">
        <v>251.24940533667507</v>
      </c>
      <c r="I48" s="98">
        <v>100</v>
      </c>
      <c r="J48" s="98">
        <v>0.83552382411356874</v>
      </c>
      <c r="K48" s="102">
        <v>102</v>
      </c>
      <c r="L48" s="105">
        <v>100</v>
      </c>
      <c r="M48" s="98">
        <v>0.15959999999999999</v>
      </c>
      <c r="P48" s="99"/>
    </row>
    <row r="49" spans="5:16" x14ac:dyDescent="0.35">
      <c r="E49" s="98">
        <v>10</v>
      </c>
      <c r="F49" s="108">
        <v>3990.14</v>
      </c>
      <c r="G49" s="98">
        <v>3990.14</v>
      </c>
      <c r="H49" s="105">
        <v>280.49695120750425</v>
      </c>
      <c r="I49" s="98">
        <v>110</v>
      </c>
      <c r="J49" s="98">
        <v>0.84096908955956762</v>
      </c>
      <c r="K49" s="102">
        <v>102</v>
      </c>
      <c r="L49" s="105">
        <v>110</v>
      </c>
      <c r="M49" s="98">
        <v>0.15959999999999999</v>
      </c>
      <c r="P49" s="99"/>
    </row>
    <row r="50" spans="5:16" x14ac:dyDescent="0.35">
      <c r="G50" s="99"/>
      <c r="H50" s="99"/>
      <c r="I50" s="99"/>
      <c r="J50" s="99"/>
      <c r="K50" s="99"/>
      <c r="L50" s="99"/>
      <c r="M50" s="99"/>
      <c r="N50" s="99"/>
      <c r="O50" s="99"/>
      <c r="P50" s="99"/>
    </row>
  </sheetData>
  <mergeCells count="60">
    <mergeCell ref="K21:L22"/>
    <mergeCell ref="K23:L24"/>
    <mergeCell ref="K25:M28"/>
    <mergeCell ref="B20:B21"/>
    <mergeCell ref="C20:C21"/>
    <mergeCell ref="D20:D21"/>
    <mergeCell ref="A20:A21"/>
    <mergeCell ref="C14:C15"/>
    <mergeCell ref="B14:B15"/>
    <mergeCell ref="J14:K14"/>
    <mergeCell ref="D14:E14"/>
    <mergeCell ref="F14:G14"/>
    <mergeCell ref="H14:I14"/>
    <mergeCell ref="B8:B9"/>
    <mergeCell ref="C8:C9"/>
    <mergeCell ref="W1:W3"/>
    <mergeCell ref="AS1:AS3"/>
    <mergeCell ref="AI1:AI3"/>
    <mergeCell ref="Y1:Y3"/>
    <mergeCell ref="AV1:AV3"/>
    <mergeCell ref="AJ1:AM2"/>
    <mergeCell ref="R1:R3"/>
    <mergeCell ref="AA2:AA3"/>
    <mergeCell ref="AW1:AW3"/>
    <mergeCell ref="AQ1:AQ3"/>
    <mergeCell ref="AN1:AN3"/>
    <mergeCell ref="AR1:AR3"/>
    <mergeCell ref="AT1:AT3"/>
    <mergeCell ref="AU1:AU3"/>
    <mergeCell ref="AO1:AO3"/>
    <mergeCell ref="T1:T3"/>
    <mergeCell ref="B1:B3"/>
    <mergeCell ref="G1:G3"/>
    <mergeCell ref="AB2:AB3"/>
    <mergeCell ref="AP1:AP3"/>
    <mergeCell ref="AG1:AG3"/>
    <mergeCell ref="AF1:AF3"/>
    <mergeCell ref="F1:F3"/>
    <mergeCell ref="M1:M3"/>
    <mergeCell ref="K1:K3"/>
    <mergeCell ref="N1:N3"/>
    <mergeCell ref="L1:L3"/>
    <mergeCell ref="H1:H3"/>
    <mergeCell ref="J1:J3"/>
    <mergeCell ref="Z2:Z3"/>
    <mergeCell ref="I1:I3"/>
    <mergeCell ref="C1:D2"/>
    <mergeCell ref="P1:P3"/>
    <mergeCell ref="O1:O3"/>
    <mergeCell ref="X1:X3"/>
    <mergeCell ref="AH1:AH3"/>
    <mergeCell ref="V1:V3"/>
    <mergeCell ref="U1:U3"/>
    <mergeCell ref="Q1:Q3"/>
    <mergeCell ref="E1:E3"/>
    <mergeCell ref="S1:S3"/>
    <mergeCell ref="AD2:AD3"/>
    <mergeCell ref="AE2:AE3"/>
    <mergeCell ref="Z1:AE1"/>
    <mergeCell ref="AC2:AC3"/>
  </mergeCells>
  <conditionalFormatting sqref="AA5">
    <cfRule type="expression" dxfId="3" priority="4" stopIfTrue="1">
      <formula>AND(AA5&lt;=1,AF5="в работе")</formula>
    </cfRule>
  </conditionalFormatting>
  <conditionalFormatting sqref="AC5">
    <cfRule type="expression" dxfId="2" priority="9" stopIfTrue="1">
      <formula>AND(AC5&gt;98,AF5="в работе")</formula>
    </cfRule>
  </conditionalFormatting>
  <conditionalFormatting sqref="Z5">
    <cfRule type="expression" dxfId="1" priority="12" stopIfTrue="1">
      <formula>IF(O5&lt;&gt;"ФОН",n_calc(Q5,J5,Y5,AG5,AH5,AB5,AQ5,AR5,AE5,,,K5,AI5,,(R5-X5)*(1+N5/M5))&gt;10000,FALSE)</formula>
    </cfRule>
    <cfRule type="expression" dxfId="0" priority="13" stopIfTrue="1">
      <formula>IF(O5&lt;&gt;"ФОН",n_calc(Q5,J5,Y5,AG5,AH5,AB5,AQ5,AR5,AE5,,,K5,AI5)+1&gt;0.75,FALSE)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2021-02-23T13:24:01Z</dcterms:created>
  <dcterms:modified xsi:type="dcterms:W3CDTF">2021-02-24T23:56:46Z</dcterms:modified>
</cp:coreProperties>
</file>