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lexey\Documents\GitHub\course_sppu_2021\task 4\"/>
    </mc:Choice>
  </mc:AlternateContent>
  <xr:revisionPtr revIDLastSave="0" documentId="13_ncr:1_{F59959A2-1E49-4895-9F0F-8FA82C1DF5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  <sheet name="Лист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K58" i="1"/>
  <c r="I28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E12" i="2"/>
  <c r="E38" i="1"/>
  <c r="E32" i="1"/>
  <c r="H17" i="1"/>
  <c r="E10" i="2"/>
  <c r="E31" i="1"/>
  <c r="F21" i="2"/>
  <c r="F19" i="2"/>
  <c r="F17" i="2"/>
  <c r="F15" i="2"/>
  <c r="F13" i="2"/>
  <c r="F11" i="2"/>
  <c r="F9" i="2"/>
  <c r="E33" i="1"/>
  <c r="E21" i="2"/>
  <c r="E19" i="2"/>
  <c r="E17" i="2"/>
  <c r="E15" i="2"/>
  <c r="E13" i="2"/>
  <c r="E11" i="2"/>
  <c r="E9" i="2"/>
  <c r="J38" i="1"/>
  <c r="J33" i="1"/>
  <c r="E48" i="1" s="1"/>
  <c r="J32" i="1"/>
  <c r="E47" i="1" s="1"/>
  <c r="J31" i="1"/>
  <c r="E46" i="1" s="1"/>
  <c r="I29" i="1"/>
  <c r="E14" i="2"/>
  <c r="E40" i="1"/>
  <c r="J40" i="1" s="1"/>
  <c r="E34" i="1"/>
  <c r="J34" i="1" s="1"/>
  <c r="E28" i="1"/>
  <c r="J28" i="1" s="1"/>
  <c r="E43" i="1" s="1"/>
  <c r="F7" i="2"/>
  <c r="D44" i="1"/>
  <c r="I40" i="1"/>
  <c r="I39" i="1"/>
  <c r="D54" i="1" s="1"/>
  <c r="I38" i="1"/>
  <c r="I37" i="1"/>
  <c r="D52" i="1" s="1"/>
  <c r="I36" i="1"/>
  <c r="I35" i="1"/>
  <c r="D50" i="1" s="1"/>
  <c r="I34" i="1"/>
  <c r="I33" i="1"/>
  <c r="D48" i="1" s="1"/>
  <c r="I32" i="1"/>
  <c r="I31" i="1"/>
  <c r="D46" i="1" s="1"/>
  <c r="I30" i="1"/>
  <c r="E16" i="2"/>
  <c r="E49" i="1"/>
  <c r="E37" i="1"/>
  <c r="E29" i="1"/>
  <c r="E7" i="2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E18" i="2"/>
  <c r="E36" i="1"/>
  <c r="J36" i="1" s="1"/>
  <c r="E51" i="1" s="1"/>
  <c r="E30" i="1"/>
  <c r="J30" i="1" s="1"/>
  <c r="E45" i="1" s="1"/>
  <c r="F20" i="2"/>
  <c r="F18" i="2"/>
  <c r="F16" i="2"/>
  <c r="F14" i="2"/>
  <c r="F12" i="2"/>
  <c r="F10" i="2"/>
  <c r="F40" i="1"/>
  <c r="F39" i="1"/>
  <c r="K39" i="1" s="1"/>
  <c r="F38" i="1"/>
  <c r="F37" i="1"/>
  <c r="K37" i="1" s="1"/>
  <c r="F36" i="1"/>
  <c r="F35" i="1"/>
  <c r="K35" i="1" s="1"/>
  <c r="F34" i="1"/>
  <c r="F33" i="1"/>
  <c r="K33" i="1" s="1"/>
  <c r="F48" i="1" s="1"/>
  <c r="F32" i="1"/>
  <c r="F31" i="1"/>
  <c r="K31" i="1" s="1"/>
  <c r="F46" i="1" s="1"/>
  <c r="F30" i="1"/>
  <c r="F29" i="1"/>
  <c r="K29" i="1" s="1"/>
  <c r="F28" i="1"/>
  <c r="E20" i="2"/>
  <c r="E53" i="1"/>
  <c r="E39" i="1"/>
  <c r="E35" i="1"/>
  <c r="L29" i="1"/>
  <c r="L30" i="1"/>
  <c r="L31" i="1"/>
  <c r="L32" i="1"/>
  <c r="L33" i="1"/>
  <c r="L34" i="1"/>
  <c r="L35" i="1"/>
  <c r="L36" i="1"/>
  <c r="L37" i="1"/>
  <c r="L38" i="1"/>
  <c r="L39" i="1"/>
  <c r="L40" i="1"/>
  <c r="G44" i="1"/>
  <c r="G46" i="1"/>
  <c r="G48" i="1"/>
  <c r="G50" i="1"/>
  <c r="G52" i="1"/>
  <c r="G54" i="1"/>
  <c r="E55" i="1"/>
  <c r="L28" i="1"/>
  <c r="D43" i="1"/>
  <c r="D45" i="1"/>
  <c r="D47" i="1"/>
  <c r="D49" i="1"/>
  <c r="D51" i="1"/>
  <c r="D53" i="1"/>
  <c r="D55" i="1"/>
  <c r="H10" i="2"/>
  <c r="H12" i="2"/>
  <c r="H14" i="2"/>
  <c r="H16" i="2"/>
  <c r="H18" i="2"/>
  <c r="H20" i="2"/>
  <c r="H9" i="2"/>
  <c r="H11" i="2"/>
  <c r="H13" i="2"/>
  <c r="H15" i="2"/>
  <c r="H17" i="2"/>
  <c r="H19" i="2"/>
  <c r="H21" i="2"/>
  <c r="J37" i="1"/>
  <c r="E52" i="1" s="1"/>
  <c r="F52" i="1"/>
  <c r="J29" i="1"/>
  <c r="E44" i="1" s="1"/>
  <c r="F44" i="1"/>
  <c r="G10" i="2"/>
  <c r="G12" i="2"/>
  <c r="G14" i="2"/>
  <c r="G16" i="2"/>
  <c r="G18" i="2"/>
  <c r="G20" i="2"/>
  <c r="G9" i="2"/>
  <c r="G11" i="2"/>
  <c r="G13" i="2"/>
  <c r="G15" i="2"/>
  <c r="G17" i="2"/>
  <c r="G19" i="2"/>
  <c r="G21" i="2"/>
  <c r="G55" i="1"/>
  <c r="K40" i="1"/>
  <c r="F55" i="1" s="1"/>
  <c r="G53" i="1"/>
  <c r="K38" i="1"/>
  <c r="F53" i="1" s="1"/>
  <c r="G51" i="1"/>
  <c r="K36" i="1"/>
  <c r="F51" i="1" s="1"/>
  <c r="G49" i="1"/>
  <c r="K34" i="1"/>
  <c r="F49" i="1" s="1"/>
  <c r="G47" i="1"/>
  <c r="K32" i="1"/>
  <c r="F47" i="1" s="1"/>
  <c r="G45" i="1"/>
  <c r="K30" i="1"/>
  <c r="F45" i="1" s="1"/>
  <c r="G43" i="1"/>
  <c r="K28" i="1"/>
  <c r="F43" i="1" s="1"/>
  <c r="J39" i="1"/>
  <c r="E54" i="1" s="1"/>
  <c r="F54" i="1"/>
  <c r="J35" i="1"/>
  <c r="E50" i="1" s="1"/>
  <c r="F50" i="1"/>
  <c r="F65" i="1" s="1"/>
  <c r="D64" i="1"/>
  <c r="D59" i="1"/>
  <c r="D67" i="1"/>
  <c r="D61" i="1"/>
  <c r="E59" i="1"/>
  <c r="E67" i="1"/>
  <c r="E64" i="1"/>
  <c r="E61" i="1"/>
  <c r="E62" i="1"/>
  <c r="I10" i="1" l="1"/>
  <c r="D4" i="1"/>
  <c r="D3" i="1"/>
  <c r="R22" i="1" l="1"/>
  <c r="T22" i="1" l="1"/>
  <c r="P22" i="1"/>
  <c r="N22" i="1"/>
  <c r="J22" i="1" l="1"/>
  <c r="O22" i="1" s="1"/>
  <c r="J23" i="1"/>
  <c r="Q22" i="1" s="1"/>
  <c r="J24" i="1"/>
  <c r="J25" i="1"/>
  <c r="J21" i="1"/>
  <c r="M22" i="1" s="1"/>
  <c r="S22" i="1" l="1"/>
  <c r="F68" i="1" l="1"/>
  <c r="E65" i="1"/>
  <c r="G63" i="1"/>
  <c r="D62" i="1"/>
  <c r="F60" i="1"/>
  <c r="E68" i="1"/>
  <c r="G66" i="1"/>
  <c r="D65" i="1"/>
  <c r="F63" i="1"/>
  <c r="E60" i="1"/>
  <c r="G58" i="1"/>
  <c r="G60" i="1"/>
  <c r="D68" i="1"/>
  <c r="F66" i="1"/>
  <c r="E63" i="1"/>
  <c r="G61" i="1"/>
  <c r="D60" i="1"/>
  <c r="F58" i="1"/>
  <c r="G68" i="1"/>
  <c r="E66" i="1"/>
  <c r="G64" i="1"/>
  <c r="D63" i="1"/>
  <c r="F61" i="1"/>
  <c r="E58" i="1"/>
  <c r="G67" i="1"/>
  <c r="D66" i="1"/>
  <c r="F64" i="1"/>
  <c r="G59" i="1"/>
  <c r="D58" i="1"/>
  <c r="F67" i="1"/>
  <c r="G62" i="1"/>
  <c r="F59" i="1"/>
  <c r="G65" i="1"/>
  <c r="F62" i="1"/>
  <c r="H62" i="1"/>
  <c r="I64" i="1"/>
  <c r="I68" i="1"/>
  <c r="H65" i="1"/>
  <c r="H64" i="1"/>
  <c r="H61" i="1"/>
  <c r="H59" i="1"/>
  <c r="I67" i="1"/>
  <c r="I61" i="1"/>
  <c r="I63" i="1"/>
  <c r="H60" i="1"/>
  <c r="H66" i="1"/>
  <c r="I62" i="1"/>
  <c r="I59" i="1"/>
  <c r="H58" i="1"/>
  <c r="I65" i="1"/>
  <c r="I60" i="1"/>
  <c r="I66" i="1"/>
  <c r="I58" i="1"/>
  <c r="J58" i="1"/>
  <c r="H63" i="1"/>
  <c r="J63" i="1" s="1"/>
  <c r="K63" i="1"/>
  <c r="J65" i="1"/>
  <c r="K65" i="1"/>
  <c r="J62" i="1"/>
  <c r="K62" i="1"/>
  <c r="J60" i="1"/>
  <c r="K60" i="1"/>
  <c r="J66" i="1"/>
  <c r="K66" i="1"/>
  <c r="J64" i="1"/>
  <c r="K64" i="1"/>
  <c r="J61" i="1"/>
  <c r="K61" i="1"/>
  <c r="H68" i="1"/>
  <c r="J68" i="1" s="1"/>
  <c r="K68" i="1"/>
  <c r="J59" i="1"/>
  <c r="K59" i="1"/>
  <c r="H67" i="1"/>
  <c r="J67" i="1" s="1"/>
  <c r="K67" i="1"/>
</calcChain>
</file>

<file path=xl/sharedStrings.xml><?xml version="1.0" encoding="utf-8"?>
<sst xmlns="http://schemas.openxmlformats.org/spreadsheetml/2006/main" count="200" uniqueCount="161">
  <si>
    <t>ro_oil</t>
  </si>
  <si>
    <t>ro_wat</t>
  </si>
  <si>
    <t>ro_gaz</t>
  </si>
  <si>
    <t>P_upn</t>
  </si>
  <si>
    <t>GOR</t>
  </si>
  <si>
    <t>P_nas</t>
  </si>
  <si>
    <t>T_plastovaya</t>
  </si>
  <si>
    <t>K_прод</t>
  </si>
  <si>
    <t>Обводнонность</t>
  </si>
  <si>
    <t>Pпл</t>
  </si>
  <si>
    <t>Инклинометрия</t>
  </si>
  <si>
    <t>MD</t>
  </si>
  <si>
    <t>TVD</t>
  </si>
  <si>
    <t>2, 4</t>
  </si>
  <si>
    <t>T_plasta</t>
  </si>
  <si>
    <t>gradT</t>
  </si>
  <si>
    <t>d_НКТ</t>
  </si>
  <si>
    <t>L_НКТ</t>
  </si>
  <si>
    <t>D_ЭК</t>
  </si>
  <si>
    <t>L_ЭК</t>
  </si>
  <si>
    <t>Z0</t>
  </si>
  <si>
    <t>Z1</t>
  </si>
  <si>
    <t>x0,м</t>
  </si>
  <si>
    <t>x1,м</t>
  </si>
  <si>
    <t>y0,м</t>
  </si>
  <si>
    <t>y1,м</t>
  </si>
  <si>
    <t>D,мм</t>
  </si>
  <si>
    <t>dвык. линии 1</t>
  </si>
  <si>
    <t>dвык. линии 2</t>
  </si>
  <si>
    <t>dвык. линии 3</t>
  </si>
  <si>
    <t>dвык. линии 4</t>
  </si>
  <si>
    <t>dтрубы до упн</t>
  </si>
  <si>
    <t>Q</t>
  </si>
  <si>
    <t>Дано</t>
  </si>
  <si>
    <t>Pзаб_1</t>
  </si>
  <si>
    <t>Pзаб_2</t>
  </si>
  <si>
    <t>Pзаб_3</t>
  </si>
  <si>
    <t>Pзаб_4</t>
  </si>
  <si>
    <t>[0, 892, 1989]</t>
  </si>
  <si>
    <t>[0, 845, 1991]</t>
  </si>
  <si>
    <t>P_буф1</t>
  </si>
  <si>
    <t>P_буф2</t>
  </si>
  <si>
    <t>P_буф3</t>
  </si>
  <si>
    <t>P_буф4</t>
  </si>
  <si>
    <t>z1</t>
  </si>
  <si>
    <t>z</t>
  </si>
  <si>
    <t>L</t>
  </si>
  <si>
    <t>P в точке стока 1</t>
  </si>
  <si>
    <t>P в точке стока 2</t>
  </si>
  <si>
    <t>P в точке стока 3</t>
  </si>
  <si>
    <t>P в точке стока 4</t>
  </si>
  <si>
    <t>UPN</t>
  </si>
  <si>
    <t>Qж</t>
  </si>
  <si>
    <t>Qв</t>
  </si>
  <si>
    <t>Обводн</t>
  </si>
  <si>
    <t>P на узле</t>
  </si>
  <si>
    <t>T_ust</t>
  </si>
  <si>
    <t>№п/п</t>
  </si>
  <si>
    <t>Дата составления</t>
  </si>
  <si>
    <t>Организация</t>
  </si>
  <si>
    <t>Месторождение</t>
  </si>
  <si>
    <t>Цех</t>
  </si>
  <si>
    <t>ТЛ</t>
  </si>
  <si>
    <t>АГЗУ</t>
  </si>
  <si>
    <t>№ Скв</t>
  </si>
  <si>
    <t>Номер куста</t>
  </si>
  <si>
    <t>Дата ввода в эксплуатацию</t>
  </si>
  <si>
    <t>Тип ствола скв.</t>
  </si>
  <si>
    <t>Пласт</t>
  </si>
  <si>
    <t>Состояние по фонду</t>
  </si>
  <si>
    <t>Текущее состояние</t>
  </si>
  <si>
    <t>Dэк 
внешн.</t>
  </si>
  <si>
    <t>мм</t>
  </si>
  <si>
    <t>Исскуств. забой</t>
  </si>
  <si>
    <t>Текущий забой</t>
  </si>
  <si>
    <t>м</t>
  </si>
  <si>
    <t>Тип конструкции забоя</t>
  </si>
  <si>
    <t>Интервалы перфорации</t>
  </si>
  <si>
    <t>СЭ</t>
  </si>
  <si>
    <t>Тип насоса</t>
  </si>
  <si>
    <t>Напор</t>
  </si>
  <si>
    <t>Частота</t>
  </si>
  <si>
    <t>Гц</t>
  </si>
  <si>
    <t>Глубина спуска ПО</t>
  </si>
  <si>
    <t>Наличие АСУРГ</t>
  </si>
  <si>
    <t>Модификация АСУРГ</t>
  </si>
  <si>
    <t>Рвхода АСУРГ</t>
  </si>
  <si>
    <t>Рвыхода АСУРГ</t>
  </si>
  <si>
    <t>Расход г/г</t>
  </si>
  <si>
    <t>Dшт.</t>
  </si>
  <si>
    <t>Вид штуцера</t>
  </si>
  <si>
    <t>Режим работы</t>
  </si>
  <si>
    <t>Время работы</t>
  </si>
  <si>
    <t>Время
накопления</t>
  </si>
  <si>
    <t>Рбуф</t>
  </si>
  <si>
    <t>Рзатр</t>
  </si>
  <si>
    <t>Рлин</t>
  </si>
  <si>
    <t>ат</t>
  </si>
  <si>
    <t>тыс.м3/сут</t>
  </si>
  <si>
    <t>час</t>
  </si>
  <si>
    <t>Рпл</t>
  </si>
  <si>
    <t>Рг/г</t>
  </si>
  <si>
    <t>Dшт. Линии подачи г/г</t>
  </si>
  <si>
    <t>Ндин. расч.</t>
  </si>
  <si>
    <t>Рпр</t>
  </si>
  <si>
    <t>Рзаб</t>
  </si>
  <si>
    <t>Дебит нефти</t>
  </si>
  <si>
    <t>Дебит жидкости</t>
  </si>
  <si>
    <t>Обводненность</t>
  </si>
  <si>
    <t>Дебит газа</t>
  </si>
  <si>
    <t>Дебит попутного газа</t>
  </si>
  <si>
    <t>ГФ ПНГ</t>
  </si>
  <si>
    <t>ГФ общий</t>
  </si>
  <si>
    <t>УРГГ</t>
  </si>
  <si>
    <t>т/сут</t>
  </si>
  <si>
    <t>м3/сут</t>
  </si>
  <si>
    <t>%</t>
  </si>
  <si>
    <t>м3/т</t>
  </si>
  <si>
    <t>Комментарии/ замечания по фактическому режиму работы</t>
  </si>
  <si>
    <t>Политеховское</t>
  </si>
  <si>
    <t>Политех</t>
  </si>
  <si>
    <t>К-1</t>
  </si>
  <si>
    <t>Гор.</t>
  </si>
  <si>
    <t>Р4+5_Block3</t>
  </si>
  <si>
    <t>Действующий</t>
  </si>
  <si>
    <t>В работе</t>
  </si>
  <si>
    <t>ЗУ-4</t>
  </si>
  <si>
    <t>Р4+5+6_Block2</t>
  </si>
  <si>
    <t xml:space="preserve">В работе </t>
  </si>
  <si>
    <t>1 ств 2500
2 ств 2125
3 ств 2174</t>
  </si>
  <si>
    <t>открытый</t>
  </si>
  <si>
    <t>2110-2126; 2133-2162; 2166-2182; 2186-2198;ПВР
откр. Ствол 2214-2780</t>
  </si>
  <si>
    <t>1 ств 2032-2500;
2 ств 2045-2125;
3 ств 2075-2174</t>
  </si>
  <si>
    <t>Газлифт</t>
  </si>
  <si>
    <t>Есть</t>
  </si>
  <si>
    <t>Сиант</t>
  </si>
  <si>
    <t>Угловик</t>
  </si>
  <si>
    <t>Постоянный</t>
  </si>
  <si>
    <t>Периодический</t>
  </si>
  <si>
    <t>Kпрод</t>
  </si>
  <si>
    <t>Pпл2</t>
  </si>
  <si>
    <t>Pпл1</t>
  </si>
  <si>
    <t>pзаб</t>
  </si>
  <si>
    <t>Рнас</t>
  </si>
  <si>
    <t>Ro_o</t>
  </si>
  <si>
    <t>Ro_w</t>
  </si>
  <si>
    <t>T_pl</t>
  </si>
  <si>
    <t>mu_o</t>
  </si>
  <si>
    <t>mu_w</t>
  </si>
  <si>
    <t>b_o</t>
  </si>
  <si>
    <t>ГС</t>
  </si>
  <si>
    <t>Q5</t>
  </si>
  <si>
    <t>Q6</t>
  </si>
  <si>
    <t>P5_equip</t>
  </si>
  <si>
    <t>P6_equip</t>
  </si>
  <si>
    <t>L_to_eq_5</t>
  </si>
  <si>
    <t>L_to_eq_6</t>
  </si>
  <si>
    <t>d_klap</t>
  </si>
  <si>
    <t>Qг</t>
  </si>
  <si>
    <t>pнкт</t>
  </si>
  <si>
    <t>Qsum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</si>
</sst>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1"/>
      <color theme="9" tint="-0.499984740745262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FF"/>
      <name val="Calibri"/>
      <family val="2"/>
      <charset val="204"/>
    </font>
    <font>
      <b/>
      <sz val="9"/>
      <color theme="9" tint="-0.499984740745262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9"/>
      <color rgb="FF0000FF"/>
      <name val="Calibri"/>
      <family val="2"/>
      <charset val="204"/>
    </font>
    <font>
      <sz val="9"/>
      <color indexed="8"/>
      <name val="Calibri"/>
      <family val="2"/>
      <scheme val="minor"/>
    </font>
    <font>
      <b/>
      <sz val="9"/>
      <color theme="9" tint="-0.499984740745262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color rgb="FF0000FF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4" xfId="1" applyFont="1" applyFill="1" applyBorder="1" applyAlignment="1" applyProtection="1">
      <alignment horizontal="center" vertical="center" wrapText="1"/>
    </xf>
    <xf numFmtId="0" fontId="4" fillId="0" borderId="14" xfId="1" applyFont="1" applyFill="1" applyBorder="1" applyAlignment="1" applyProtection="1">
      <alignment horizontal="center" vertical="center" wrapText="1"/>
    </xf>
    <xf numFmtId="0" fontId="5" fillId="0" borderId="28" xfId="1" applyFont="1" applyFill="1" applyBorder="1" applyAlignment="1" applyProtection="1">
      <alignment horizontal="center" vertical="center"/>
    </xf>
    <xf numFmtId="0" fontId="5" fillId="0" borderId="29" xfId="1" applyFont="1" applyFill="1" applyBorder="1" applyAlignment="1" applyProtection="1">
      <alignment horizontal="center" vertical="center"/>
    </xf>
    <xf numFmtId="0" fontId="3" fillId="0" borderId="31" xfId="1" applyFont="1" applyFill="1" applyBorder="1" applyAlignment="1" applyProtection="1">
      <alignment horizontal="center" vertical="center" wrapText="1"/>
    </xf>
    <xf numFmtId="0" fontId="6" fillId="0" borderId="27" xfId="1" applyFont="1" applyFill="1" applyBorder="1" applyAlignment="1" applyProtection="1">
      <alignment horizontal="center" vertical="center" wrapText="1"/>
    </xf>
    <xf numFmtId="164" fontId="7" fillId="0" borderId="14" xfId="1" applyNumberFormat="1" applyFont="1" applyFill="1" applyBorder="1" applyAlignment="1" applyProtection="1">
      <alignment horizontal="center" vertical="center" wrapText="1"/>
    </xf>
    <xf numFmtId="0" fontId="8" fillId="0" borderId="14" xfId="1" applyFont="1" applyFill="1" applyBorder="1" applyAlignment="1" applyProtection="1">
      <alignment horizontal="center" vertical="center" wrapText="1"/>
    </xf>
    <xf numFmtId="0" fontId="4" fillId="0" borderId="31" xfId="1" applyFont="1" applyFill="1" applyBorder="1" applyAlignment="1" applyProtection="1">
      <alignment horizontal="center" vertical="center" wrapText="1"/>
    </xf>
    <xf numFmtId="0" fontId="9" fillId="0" borderId="27" xfId="1" applyFont="1" applyFill="1" applyBorder="1" applyAlignment="1" applyProtection="1">
      <alignment horizontal="center" vertical="center" wrapText="1"/>
    </xf>
    <xf numFmtId="164" fontId="10" fillId="0" borderId="14" xfId="1" applyNumberFormat="1" applyFont="1" applyFill="1" applyBorder="1" applyAlignment="1" applyProtection="1">
      <alignment horizontal="center" vertical="center" wrapText="1"/>
    </xf>
    <xf numFmtId="0" fontId="11" fillId="0" borderId="14" xfId="1" applyFont="1" applyFill="1" applyBorder="1" applyAlignment="1" applyProtection="1">
      <alignment horizontal="center" vertical="center" wrapText="1"/>
    </xf>
    <xf numFmtId="0" fontId="9" fillId="0" borderId="32" xfId="1" applyFont="1" applyFill="1" applyBorder="1" applyAlignment="1" applyProtection="1">
      <alignment horizontal="center" vertical="center"/>
    </xf>
    <xf numFmtId="0" fontId="10" fillId="0" borderId="28" xfId="1" applyFont="1" applyFill="1" applyBorder="1" applyAlignment="1" applyProtection="1">
      <alignment horizontal="center" vertical="center"/>
    </xf>
    <xf numFmtId="0" fontId="11" fillId="0" borderId="28" xfId="1" applyFont="1" applyFill="1" applyBorder="1" applyAlignment="1" applyProtection="1">
      <alignment horizontal="center" vertical="center"/>
    </xf>
    <xf numFmtId="0" fontId="5" fillId="0" borderId="33" xfId="1" applyFont="1" applyFill="1" applyBorder="1" applyAlignment="1" applyProtection="1">
      <alignment horizontal="center" vertical="center"/>
    </xf>
    <xf numFmtId="1" fontId="12" fillId="0" borderId="4" xfId="1" applyNumberFormat="1" applyFont="1" applyFill="1" applyBorder="1" applyAlignment="1" applyProtection="1">
      <alignment horizontal="center" vertical="center"/>
    </xf>
    <xf numFmtId="164" fontId="13" fillId="0" borderId="9" xfId="1" applyNumberFormat="1" applyFont="1" applyFill="1" applyBorder="1" applyAlignment="1" applyProtection="1">
      <alignment horizontal="center" vertical="center"/>
    </xf>
    <xf numFmtId="1" fontId="14" fillId="0" borderId="4" xfId="1" applyNumberFormat="1" applyFont="1" applyFill="1" applyBorder="1" applyAlignment="1" applyProtection="1">
      <alignment horizontal="center" vertical="center"/>
    </xf>
    <xf numFmtId="1" fontId="15" fillId="0" borderId="4" xfId="1" applyNumberFormat="1" applyFont="1" applyFill="1" applyBorder="1" applyAlignment="1" applyProtection="1">
      <alignment horizontal="center" vertical="center"/>
    </xf>
    <xf numFmtId="1" fontId="12" fillId="0" borderId="24" xfId="1" applyNumberFormat="1" applyFont="1" applyFill="1" applyBorder="1" applyAlignment="1" applyProtection="1">
      <alignment horizontal="center" vertical="center"/>
    </xf>
    <xf numFmtId="1" fontId="12" fillId="0" borderId="14" xfId="1" applyNumberFormat="1" applyFont="1" applyFill="1" applyBorder="1" applyAlignment="1" applyProtection="1">
      <alignment horizontal="center" vertical="center"/>
    </xf>
    <xf numFmtId="0" fontId="12" fillId="0" borderId="13" xfId="1" applyFont="1" applyFill="1" applyBorder="1" applyAlignment="1" applyProtection="1">
      <alignment horizontal="center" vertical="center" wrapText="1"/>
    </xf>
    <xf numFmtId="1" fontId="16" fillId="0" borderId="30" xfId="0" applyNumberFormat="1" applyFont="1" applyFill="1" applyBorder="1" applyAlignment="1" applyProtection="1">
      <alignment horizontal="center" vertical="center"/>
    </xf>
    <xf numFmtId="1" fontId="17" fillId="0" borderId="30" xfId="0" applyNumberFormat="1" applyFont="1" applyFill="1" applyBorder="1" applyAlignment="1" applyProtection="1">
      <alignment horizontal="center" vertical="center"/>
    </xf>
    <xf numFmtId="1" fontId="18" fillId="0" borderId="30" xfId="0" applyNumberFormat="1" applyFont="1" applyFill="1" applyBorder="1" applyAlignment="1" applyProtection="1">
      <alignment horizontal="center" vertical="center"/>
    </xf>
    <xf numFmtId="1" fontId="1" fillId="0" borderId="30" xfId="0" applyNumberFormat="1" applyFont="1" applyFill="1" applyBorder="1" applyAlignment="1" applyProtection="1">
      <alignment horizontal="center" vertical="center"/>
    </xf>
    <xf numFmtId="0" fontId="19" fillId="4" borderId="0" xfId="0" applyFont="1" applyFill="1" applyAlignment="1" applyProtection="1">
      <alignment horizontal="left" vertical="center"/>
    </xf>
    <xf numFmtId="0" fontId="0" fillId="0" borderId="0" xfId="0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Обычный" xfId="0" builtinId="0"/>
    <cellStyle name="Обычный 2 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41842323455055E-2"/>
          <c:y val="1.8546310715754473E-2"/>
          <c:w val="0.93567905627318926"/>
          <c:h val="0.88842938641541946"/>
        </c:manualLayout>
      </c:layout>
      <c:scatterChart>
        <c:scatterStyle val="smoothMarker"/>
        <c:varyColors val="0"/>
        <c:ser>
          <c:idx val="0"/>
          <c:order val="0"/>
          <c:tx>
            <c:v>UPN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1'!$I$58:$I$68</c:f>
              <c:numCache>
                <c:formatCode>General</c:formatCode>
                <c:ptCount val="11"/>
                <c:pt idx="0">
                  <c:v>242.8189410200788</c:v>
                </c:pt>
                <c:pt idx="1">
                  <c:v>175.88305608872338</c:v>
                </c:pt>
                <c:pt idx="2">
                  <c:v>163.3829548872655</c:v>
                </c:pt>
                <c:pt idx="3">
                  <c:v>158.55570954834553</c:v>
                </c:pt>
                <c:pt idx="4">
                  <c:v>145.47467997119435</c:v>
                </c:pt>
                <c:pt idx="5">
                  <c:v>133.96855539455305</c:v>
                </c:pt>
                <c:pt idx="6">
                  <c:v>90.439295515925096</c:v>
                </c:pt>
                <c:pt idx="7">
                  <c:v>71.001562790180031</c:v>
                </c:pt>
                <c:pt idx="8">
                  <c:v>52.293124352076788</c:v>
                </c:pt>
                <c:pt idx="9">
                  <c:v>35.056037771925901</c:v>
                </c:pt>
                <c:pt idx="10">
                  <c:v>17.851392418661455</c:v>
                </c:pt>
              </c:numCache>
            </c:numRef>
          </c:xVal>
          <c:yVal>
            <c:numRef>
              <c:f>'Задание 1'!$K$58:$K$68</c:f>
              <c:numCache>
                <c:formatCode>General</c:formatCode>
                <c:ptCount val="11"/>
                <c:pt idx="0">
                  <c:v>9.7382247772498012</c:v>
                </c:pt>
                <c:pt idx="1">
                  <c:v>8.8744451803504649</c:v>
                </c:pt>
                <c:pt idx="2">
                  <c:v>8.7115578793277564</c:v>
                </c:pt>
                <c:pt idx="3">
                  <c:v>8.6507129249955472</c:v>
                </c:pt>
                <c:pt idx="4">
                  <c:v>8.4924114087238269</c:v>
                </c:pt>
                <c:pt idx="5">
                  <c:v>8.3560427265915127</c:v>
                </c:pt>
                <c:pt idx="6">
                  <c:v>7.9220739352318805</c:v>
                </c:pt>
                <c:pt idx="7">
                  <c:v>7.7133973068924888</c:v>
                </c:pt>
                <c:pt idx="8">
                  <c:v>7.6200465442302843</c:v>
                </c:pt>
                <c:pt idx="9">
                  <c:v>7.5644192706725271</c:v>
                </c:pt>
                <c:pt idx="10">
                  <c:v>7.522684703724952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E-484D-AA43-9F72AEEF2C1E}"/>
            </c:ext>
          </c:extLst>
        </c:ser>
        <c:ser>
          <c:idx val="1"/>
          <c:order val="1"/>
          <c:tx>
            <c:v>Сток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1'!$I$58:$I$68</c:f>
              <c:numCache>
                <c:formatCode>General</c:formatCode>
                <c:ptCount val="11"/>
                <c:pt idx="0">
                  <c:v>242.8189410200788</c:v>
                </c:pt>
                <c:pt idx="1">
                  <c:v>175.88305608872338</c:v>
                </c:pt>
                <c:pt idx="2">
                  <c:v>163.3829548872655</c:v>
                </c:pt>
                <c:pt idx="3">
                  <c:v>158.55570954834553</c:v>
                </c:pt>
                <c:pt idx="4">
                  <c:v>145.47467997119435</c:v>
                </c:pt>
                <c:pt idx="5">
                  <c:v>133.96855539455305</c:v>
                </c:pt>
                <c:pt idx="6">
                  <c:v>90.439295515925096</c:v>
                </c:pt>
                <c:pt idx="7">
                  <c:v>71.001562790180031</c:v>
                </c:pt>
                <c:pt idx="8">
                  <c:v>52.293124352076788</c:v>
                </c:pt>
                <c:pt idx="9">
                  <c:v>35.056037771925901</c:v>
                </c:pt>
                <c:pt idx="10">
                  <c:v>17.851392418661455</c:v>
                </c:pt>
              </c:numCache>
            </c:numRef>
          </c:xVal>
          <c:yVal>
            <c:numRef>
              <c:f>'Задание 1'!$C$58:$C$68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7.5</c:v>
                </c:pt>
                <c:pt idx="3">
                  <c:v>8.65</c:v>
                </c:pt>
                <c:pt idx="4">
                  <c:v>12</c:v>
                </c:pt>
                <c:pt idx="5">
                  <c:v>15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6E-484D-AA43-9F72AEEF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38448"/>
        <c:axId val="536045112"/>
      </c:scatterChart>
      <c:valAx>
        <c:axId val="5360384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045112"/>
        <c:crosses val="autoZero"/>
        <c:crossBetween val="midCat"/>
        <c:majorUnit val="25"/>
      </c:valAx>
      <c:valAx>
        <c:axId val="5360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0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61413845549705"/>
          <c:y val="0.95080291657814675"/>
          <c:w val="0.17077172308900576"/>
          <c:h val="4.1771152695456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111637</xdr:colOff>
      <xdr:row>0</xdr:row>
      <xdr:rowOff>0</xdr:rowOff>
    </xdr:from>
    <xdr:to>
      <xdr:col>19</xdr:col>
      <xdr:colOff>581026</xdr:colOff>
      <xdr:row>18</xdr:row>
      <xdr:rowOff>53532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5970" y="0"/>
          <a:ext cx="5939914" cy="3419032"/>
        </a:xfrm>
        <a:prstGeom prst="rect">
          <a:avLst/>
        </a:prstGeom>
      </xdr:spPr>
    </xdr:pic>
    <xdr:clientData/>
  </xdr:twoCellAnchor>
  <xdr:twoCellAnchor>
    <xdr:from>
      <xdr:col>11</xdr:col>
      <xdr:colOff>132130</xdr:colOff>
      <xdr:row>40</xdr:row>
      <xdr:rowOff>48107</xdr:rowOff>
    </xdr:from>
    <xdr:to>
      <xdr:col>23</xdr:col>
      <xdr:colOff>118663</xdr:colOff>
      <xdr:row>68</xdr:row>
      <xdr:rowOff>14111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_disk/&#1088;&#1072;&#1073;&#1086;&#1095;&#1080;&#1081;%20&#1085;&#1086;&#1091;&#1090;&#1073;&#1091;&#1082;/&#1050;&#1091;&#1088;&#1089;%20&#1057;&#1055;&#1041;&#1055;&#1059;/&#1044;&#1047;%20&#1087;&#1086;&#1083;&#1080;&#1090;&#1077;&#1093;/unifloc_vba_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polation"/>
      <definedName name="IPR_pwf_atma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A69"/>
  <sheetViews>
    <sheetView tabSelected="1" topLeftCell="B1" zoomScale="90" zoomScaleNormal="90" workbookViewId="0">
      <selection activeCell="K59" sqref="K59"/>
    </sheetView>
  </sheetViews>
  <sheetFormatPr defaultColWidth="8.7109375" defaultRowHeight="15" x14ac:dyDescent="0.25"/>
  <cols>
    <col min="1" max="1" width="11.7109375" style="1" customWidth="1"/>
    <col min="2" max="2" width="7.42578125" style="1" customWidth="1"/>
    <col min="3" max="6" width="15.140625" style="1" bestFit="1" customWidth="1"/>
    <col min="7" max="7" width="15.28515625" style="1" bestFit="1" customWidth="1"/>
    <col min="8" max="16384" width="8.7109375" style="1"/>
  </cols>
  <sheetData>
    <row r="1" spans="3:27" ht="15.75" thickBot="1" x14ac:dyDescent="0.3">
      <c r="C1" s="61" t="s">
        <v>33</v>
      </c>
      <c r="D1" s="63"/>
      <c r="F1" s="11"/>
      <c r="G1" s="21">
        <v>1</v>
      </c>
      <c r="H1" s="22">
        <v>2</v>
      </c>
      <c r="I1" s="22">
        <v>3</v>
      </c>
      <c r="J1" s="23">
        <v>4</v>
      </c>
      <c r="L1" s="2"/>
      <c r="M1" s="2"/>
      <c r="N1" s="2"/>
    </row>
    <row r="2" spans="3:27" x14ac:dyDescent="0.25">
      <c r="C2" s="18" t="s">
        <v>3</v>
      </c>
      <c r="D2" s="13">
        <v>7.5</v>
      </c>
      <c r="F2" s="3" t="s">
        <v>7</v>
      </c>
      <c r="G2" s="12">
        <v>0.39</v>
      </c>
      <c r="H2" s="12">
        <v>0.41</v>
      </c>
      <c r="I2" s="12">
        <v>0.49</v>
      </c>
      <c r="J2" s="12">
        <v>0.41</v>
      </c>
      <c r="L2" s="2"/>
      <c r="M2" s="2"/>
      <c r="N2" s="2"/>
    </row>
    <row r="3" spans="3:27" x14ac:dyDescent="0.25">
      <c r="C3" s="16" t="s">
        <v>0</v>
      </c>
      <c r="D3" s="4">
        <f>803.8/1000</f>
        <v>0.80379999999999996</v>
      </c>
      <c r="F3" s="3" t="s">
        <v>8</v>
      </c>
      <c r="G3" s="3">
        <v>40</v>
      </c>
      <c r="H3" s="3">
        <v>84</v>
      </c>
      <c r="I3" s="3">
        <v>29</v>
      </c>
      <c r="J3" s="3">
        <v>11</v>
      </c>
      <c r="L3" s="2"/>
      <c r="M3" s="2"/>
      <c r="N3" s="2"/>
    </row>
    <row r="4" spans="3:27" x14ac:dyDescent="0.25">
      <c r="C4" s="16" t="s">
        <v>1</v>
      </c>
      <c r="D4" s="4">
        <f>1061.3/1000</f>
        <v>1.0612999999999999</v>
      </c>
      <c r="F4" s="3" t="s">
        <v>9</v>
      </c>
      <c r="G4" s="3">
        <v>236</v>
      </c>
      <c r="H4" s="3">
        <v>239</v>
      </c>
      <c r="I4" s="3">
        <v>221</v>
      </c>
      <c r="J4" s="3">
        <v>239.9</v>
      </c>
      <c r="L4" s="2"/>
      <c r="M4" s="2"/>
      <c r="N4" s="2"/>
    </row>
    <row r="5" spans="3:27" x14ac:dyDescent="0.25">
      <c r="C5" s="16" t="s">
        <v>2</v>
      </c>
      <c r="D5" s="4">
        <v>0.9</v>
      </c>
      <c r="F5" s="3" t="s">
        <v>16</v>
      </c>
      <c r="G5" s="3">
        <v>72</v>
      </c>
      <c r="H5" s="3">
        <v>67</v>
      </c>
      <c r="I5" s="3">
        <v>72</v>
      </c>
      <c r="J5" s="3">
        <v>67</v>
      </c>
      <c r="L5" s="2"/>
      <c r="M5" s="2"/>
      <c r="N5" s="2"/>
    </row>
    <row r="6" spans="3:27" x14ac:dyDescent="0.25">
      <c r="C6" s="16" t="s">
        <v>4</v>
      </c>
      <c r="D6" s="4">
        <v>121.8</v>
      </c>
      <c r="F6" s="3" t="s">
        <v>18</v>
      </c>
      <c r="G6" s="3">
        <v>92</v>
      </c>
      <c r="H6" s="3">
        <v>91</v>
      </c>
      <c r="I6" s="3">
        <v>92</v>
      </c>
      <c r="J6" s="3">
        <v>91</v>
      </c>
      <c r="L6" s="2"/>
      <c r="M6" s="2"/>
      <c r="N6" s="2"/>
    </row>
    <row r="7" spans="3:27" x14ac:dyDescent="0.25">
      <c r="C7" s="16" t="s">
        <v>5</v>
      </c>
      <c r="D7" s="4">
        <v>157</v>
      </c>
      <c r="F7" s="3" t="s">
        <v>17</v>
      </c>
      <c r="G7" s="3">
        <v>892</v>
      </c>
      <c r="H7" s="3">
        <v>845</v>
      </c>
      <c r="I7" s="3">
        <v>892</v>
      </c>
      <c r="J7" s="3">
        <v>845</v>
      </c>
      <c r="L7" s="2"/>
      <c r="M7" s="2"/>
      <c r="N7" s="2"/>
      <c r="O7" s="2"/>
    </row>
    <row r="8" spans="3:27" ht="15.75" thickBot="1" x14ac:dyDescent="0.3">
      <c r="C8" s="17" t="s">
        <v>6</v>
      </c>
      <c r="D8" s="4">
        <v>92</v>
      </c>
      <c r="F8" s="3" t="s">
        <v>19</v>
      </c>
      <c r="G8" s="3">
        <v>1989</v>
      </c>
      <c r="H8" s="3">
        <v>1991</v>
      </c>
      <c r="I8" s="3">
        <v>1989</v>
      </c>
      <c r="J8" s="3">
        <v>1991</v>
      </c>
      <c r="L8" s="2"/>
      <c r="M8" s="2"/>
      <c r="N8" s="2"/>
      <c r="O8" s="2"/>
      <c r="V8" s="2"/>
      <c r="W8" s="2"/>
      <c r="X8" s="2"/>
      <c r="Y8" s="2"/>
      <c r="Z8" s="2"/>
      <c r="AA8" s="2"/>
    </row>
    <row r="9" spans="3:27" ht="15.75" thickBot="1" x14ac:dyDescent="0.3">
      <c r="I9" s="2"/>
      <c r="J9" s="2"/>
      <c r="K9" s="2"/>
      <c r="L9" s="2"/>
      <c r="M9" s="2"/>
      <c r="N9" s="2"/>
      <c r="O9" s="2"/>
    </row>
    <row r="10" spans="3:27" ht="15.75" thickBot="1" x14ac:dyDescent="0.3">
      <c r="C10" s="61" t="s">
        <v>10</v>
      </c>
      <c r="D10" s="62"/>
      <c r="E10" s="62"/>
      <c r="F10" s="63"/>
      <c r="H10" s="3" t="s">
        <v>56</v>
      </c>
      <c r="I10" s="3">
        <f>I11-D15*I12/100</f>
        <v>58.22</v>
      </c>
      <c r="J10" s="2"/>
      <c r="K10" s="2"/>
      <c r="L10" s="2"/>
      <c r="M10" s="2"/>
      <c r="N10" s="2"/>
      <c r="O10" s="2"/>
    </row>
    <row r="11" spans="3:27" ht="15.75" thickBot="1" x14ac:dyDescent="0.3">
      <c r="C11" s="61">
        <v>1.3</v>
      </c>
      <c r="D11" s="63"/>
      <c r="E11" s="61" t="s">
        <v>13</v>
      </c>
      <c r="F11" s="63"/>
      <c r="H11" s="26" t="s">
        <v>14</v>
      </c>
      <c r="I11" s="3">
        <v>92</v>
      </c>
      <c r="K11" s="2"/>
      <c r="L11" s="2"/>
      <c r="M11" s="2"/>
      <c r="N11" s="2"/>
      <c r="O11" s="2"/>
    </row>
    <row r="12" spans="3:27" ht="15.75" thickBot="1" x14ac:dyDescent="0.3">
      <c r="C12" s="25" t="s">
        <v>11</v>
      </c>
      <c r="D12" s="25" t="s">
        <v>12</v>
      </c>
      <c r="E12" s="25" t="s">
        <v>11</v>
      </c>
      <c r="F12" s="25" t="s">
        <v>12</v>
      </c>
      <c r="H12" s="26" t="s">
        <v>15</v>
      </c>
      <c r="I12" s="3">
        <v>2</v>
      </c>
      <c r="K12" s="2"/>
      <c r="L12" s="2"/>
      <c r="M12" s="2"/>
      <c r="N12" s="2"/>
      <c r="O12" s="2"/>
    </row>
    <row r="13" spans="3:27" x14ac:dyDescent="0.25">
      <c r="C13" s="5">
        <v>0</v>
      </c>
      <c r="D13" s="6">
        <v>0</v>
      </c>
      <c r="E13" s="5">
        <v>0</v>
      </c>
      <c r="F13" s="6">
        <v>0</v>
      </c>
      <c r="H13" s="27"/>
      <c r="I13" s="2"/>
      <c r="K13" s="2"/>
      <c r="L13" s="2"/>
      <c r="M13" s="2"/>
      <c r="N13" s="2"/>
      <c r="O13" s="2"/>
    </row>
    <row r="14" spans="3:27" x14ac:dyDescent="0.25">
      <c r="C14" s="7">
        <v>892</v>
      </c>
      <c r="D14" s="8">
        <v>792</v>
      </c>
      <c r="E14" s="7">
        <v>845</v>
      </c>
      <c r="F14" s="8">
        <v>845</v>
      </c>
      <c r="H14" s="26" t="s">
        <v>20</v>
      </c>
      <c r="I14" s="3">
        <v>0</v>
      </c>
      <c r="K14" s="2"/>
      <c r="L14" s="2"/>
      <c r="M14" s="2"/>
      <c r="N14" s="2"/>
      <c r="O14" s="2"/>
    </row>
    <row r="15" spans="3:27" ht="15.75" thickBot="1" x14ac:dyDescent="0.3">
      <c r="C15" s="9">
        <v>1989</v>
      </c>
      <c r="D15" s="10">
        <v>1689</v>
      </c>
      <c r="E15" s="9">
        <v>1991</v>
      </c>
      <c r="F15" s="10">
        <v>1991</v>
      </c>
      <c r="H15" s="26" t="s">
        <v>21</v>
      </c>
      <c r="I15" s="3">
        <v>-70</v>
      </c>
      <c r="K15" s="2"/>
      <c r="L15" s="2"/>
      <c r="M15" s="2"/>
      <c r="N15" s="2"/>
      <c r="O15" s="2"/>
    </row>
    <row r="16" spans="3:27" ht="15.75" thickBot="1" x14ac:dyDescent="0.3">
      <c r="I16" s="2"/>
      <c r="J16" s="2"/>
      <c r="K16" s="2"/>
      <c r="L16" s="2"/>
      <c r="M16" s="2"/>
      <c r="N16" s="2"/>
      <c r="O16" s="2"/>
    </row>
    <row r="17" spans="3:20" ht="15.75" thickBot="1" x14ac:dyDescent="0.3">
      <c r="C17" s="21">
        <v>1</v>
      </c>
      <c r="D17" s="22">
        <v>2</v>
      </c>
      <c r="E17" s="22">
        <v>3</v>
      </c>
      <c r="F17" s="23">
        <v>4</v>
      </c>
      <c r="H17" s="1" t="str">
        <f>[1]!PVT_encode_string(D5,D3,D4,,D6,D7,D8)</f>
        <v>{"gamma_gas":0.9,"gamma_oil":0.8038,"gamma_wat":1.0613,"rsb_m3m3":100,"rp_m3m3":121.8,"pb_atma":157,"t_res_C":92}</v>
      </c>
      <c r="I17" s="2"/>
      <c r="J17" s="2"/>
      <c r="K17" s="2"/>
      <c r="L17" s="2"/>
      <c r="M17" s="2"/>
      <c r="N17" s="2"/>
      <c r="O17" s="2"/>
    </row>
    <row r="18" spans="3:20" x14ac:dyDescent="0.25">
      <c r="C18" s="12" t="s">
        <v>38</v>
      </c>
      <c r="D18" s="12" t="s">
        <v>39</v>
      </c>
      <c r="E18" s="12" t="s">
        <v>38</v>
      </c>
      <c r="F18" s="12" t="s">
        <v>39</v>
      </c>
    </row>
    <row r="19" spans="3:20" ht="15.75" thickBot="1" x14ac:dyDescent="0.3">
      <c r="E19" s="19"/>
    </row>
    <row r="20" spans="3:20" ht="15.75" thickBot="1" x14ac:dyDescent="0.3">
      <c r="C20" s="14"/>
      <c r="D20" s="21" t="s">
        <v>22</v>
      </c>
      <c r="E20" s="22" t="s">
        <v>23</v>
      </c>
      <c r="F20" s="22" t="s">
        <v>24</v>
      </c>
      <c r="G20" s="22" t="s">
        <v>25</v>
      </c>
      <c r="H20" s="22" t="s">
        <v>45</v>
      </c>
      <c r="I20" s="22" t="s">
        <v>44</v>
      </c>
      <c r="J20" s="22" t="s">
        <v>46</v>
      </c>
      <c r="K20" s="23" t="s">
        <v>26</v>
      </c>
      <c r="M20" s="59">
        <v>1</v>
      </c>
      <c r="N20" s="64"/>
      <c r="O20" s="64">
        <v>2</v>
      </c>
      <c r="P20" s="60"/>
      <c r="Q20" s="65">
        <v>3</v>
      </c>
      <c r="R20" s="66"/>
      <c r="S20" s="66">
        <v>4</v>
      </c>
      <c r="T20" s="66"/>
    </row>
    <row r="21" spans="3:20" x14ac:dyDescent="0.25">
      <c r="C21" s="15" t="s">
        <v>27</v>
      </c>
      <c r="D21" s="13">
        <v>1</v>
      </c>
      <c r="E21" s="12">
        <v>500</v>
      </c>
      <c r="F21" s="12">
        <v>1</v>
      </c>
      <c r="G21" s="12">
        <v>500</v>
      </c>
      <c r="H21" s="12">
        <v>0</v>
      </c>
      <c r="I21" s="12">
        <v>-70</v>
      </c>
      <c r="J21" s="12">
        <f>SQRT((E21-D21)^2+(F21-G21)^2+(H21-I21)^2)</f>
        <v>709.15583618835149</v>
      </c>
      <c r="K21" s="12">
        <v>102</v>
      </c>
      <c r="M21" s="12">
        <v>0</v>
      </c>
      <c r="N21" s="12">
        <v>0</v>
      </c>
      <c r="O21" s="12">
        <v>0</v>
      </c>
      <c r="P21" s="12">
        <v>0</v>
      </c>
      <c r="Q21" s="3">
        <v>0</v>
      </c>
      <c r="R21" s="3">
        <v>0</v>
      </c>
      <c r="S21" s="3">
        <v>0</v>
      </c>
      <c r="T21" s="3">
        <v>0</v>
      </c>
    </row>
    <row r="22" spans="3:20" ht="15.75" thickBot="1" x14ac:dyDescent="0.3">
      <c r="C22" s="16" t="s">
        <v>28</v>
      </c>
      <c r="D22" s="4">
        <v>1000</v>
      </c>
      <c r="E22" s="3">
        <v>500</v>
      </c>
      <c r="F22" s="3">
        <v>1000</v>
      </c>
      <c r="G22" s="3">
        <v>600</v>
      </c>
      <c r="H22" s="3">
        <v>0</v>
      </c>
      <c r="I22" s="12">
        <v>-70</v>
      </c>
      <c r="J22" s="3">
        <f>SQRT((E22-D22)^2+(F22-G22)^2+(H22-I22)^2)</f>
        <v>644.1273166075166</v>
      </c>
      <c r="K22" s="3">
        <v>102</v>
      </c>
      <c r="M22" s="19">
        <f>J21</f>
        <v>709.15583618835149</v>
      </c>
      <c r="N22" s="19">
        <f>I21</f>
        <v>-70</v>
      </c>
      <c r="O22" s="3">
        <f>J22</f>
        <v>644.1273166075166</v>
      </c>
      <c r="P22" s="3">
        <f>I22</f>
        <v>-70</v>
      </c>
      <c r="Q22" s="3">
        <f>J23</f>
        <v>643.35138143941219</v>
      </c>
      <c r="R22" s="3">
        <f>I23</f>
        <v>-70</v>
      </c>
      <c r="S22" s="3">
        <f>J24</f>
        <v>783.39070711874035</v>
      </c>
      <c r="T22" s="3">
        <f>I24</f>
        <v>-70</v>
      </c>
    </row>
    <row r="23" spans="3:20" ht="15.75" thickBot="1" x14ac:dyDescent="0.3">
      <c r="C23" s="16" t="s">
        <v>29</v>
      </c>
      <c r="D23" s="4">
        <v>1</v>
      </c>
      <c r="E23" s="3">
        <v>500</v>
      </c>
      <c r="F23" s="3">
        <v>1000</v>
      </c>
      <c r="G23" s="3">
        <v>600</v>
      </c>
      <c r="H23" s="3">
        <v>0</v>
      </c>
      <c r="I23" s="12">
        <v>-70</v>
      </c>
      <c r="J23" s="3">
        <f>SQRT((E23-D23)^2+(F23-G23)^2+(H23-I23)^2)</f>
        <v>643.35138143941219</v>
      </c>
      <c r="K23" s="3">
        <v>104</v>
      </c>
      <c r="M23" s="59" t="s">
        <v>51</v>
      </c>
      <c r="N23" s="60"/>
    </row>
    <row r="24" spans="3:20" x14ac:dyDescent="0.25">
      <c r="C24" s="16" t="s">
        <v>30</v>
      </c>
      <c r="D24" s="4">
        <v>500</v>
      </c>
      <c r="E24" s="3">
        <v>1000</v>
      </c>
      <c r="F24" s="3">
        <v>600</v>
      </c>
      <c r="G24" s="3">
        <v>1</v>
      </c>
      <c r="H24" s="3">
        <v>0</v>
      </c>
      <c r="I24" s="12">
        <v>-70</v>
      </c>
      <c r="J24" s="3">
        <f>SQRT((E24-D24)^2+(F24-G24)^2+(H24-I24)^2)</f>
        <v>783.39070711874035</v>
      </c>
      <c r="K24" s="3">
        <v>106</v>
      </c>
      <c r="M24" s="12">
        <v>0</v>
      </c>
      <c r="N24" s="12">
        <v>0</v>
      </c>
    </row>
    <row r="25" spans="3:20" ht="15.75" thickBot="1" x14ac:dyDescent="0.3">
      <c r="C25" s="17" t="s">
        <v>31</v>
      </c>
      <c r="D25" s="4">
        <v>500</v>
      </c>
      <c r="E25" s="3">
        <v>500</v>
      </c>
      <c r="F25" s="3">
        <v>600</v>
      </c>
      <c r="G25" s="3">
        <v>2500</v>
      </c>
      <c r="H25" s="3">
        <v>0</v>
      </c>
      <c r="I25" s="3">
        <v>0</v>
      </c>
      <c r="J25" s="3">
        <f>SQRT((E25-D25)^2+(F25-G25)^2+(H25-I25)^2)</f>
        <v>1900</v>
      </c>
      <c r="K25" s="3">
        <v>111</v>
      </c>
      <c r="M25" s="3">
        <v>1900</v>
      </c>
      <c r="N25" s="3">
        <v>0</v>
      </c>
    </row>
    <row r="26" spans="3:20" ht="15.75" thickBot="1" x14ac:dyDescent="0.3"/>
    <row r="27" spans="3:20" ht="15.75" thickBot="1" x14ac:dyDescent="0.3">
      <c r="C27" s="21" t="s">
        <v>32</v>
      </c>
      <c r="D27" s="22" t="s">
        <v>34</v>
      </c>
      <c r="E27" s="22" t="s">
        <v>35</v>
      </c>
      <c r="F27" s="22" t="s">
        <v>36</v>
      </c>
      <c r="G27" s="23" t="s">
        <v>37</v>
      </c>
      <c r="I27" s="21" t="s">
        <v>40</v>
      </c>
      <c r="J27" s="22" t="s">
        <v>41</v>
      </c>
      <c r="K27" s="22" t="s">
        <v>42</v>
      </c>
      <c r="L27" s="23" t="s">
        <v>43</v>
      </c>
    </row>
    <row r="28" spans="3:20" x14ac:dyDescent="0.25">
      <c r="C28" s="12">
        <v>1</v>
      </c>
      <c r="D28" s="12">
        <f>[1]!IPR_pwf_atma(G$2,G$4,$C28,G$3,$D$7)</f>
        <v>233.43589743589743</v>
      </c>
      <c r="E28" s="12">
        <f>[1]!IPR_pwf_atma(H$2,H$4,$C28,H$3,$D$7)</f>
        <v>236.5609756097561</v>
      </c>
      <c r="F28" s="12">
        <f>[1]!IPR_pwf_atma(I$2,I$4,$C28,I$3,$D$7)</f>
        <v>218.9591836734694</v>
      </c>
      <c r="G28" s="12">
        <f>[1]!IPR_pwf_atma(J$2,J$4,$C28,J$3,$D$7)</f>
        <v>237.4609756097561</v>
      </c>
      <c r="I28" s="12">
        <f>[1]!MF_p_pipeline_atma(D28,$D$8,$I$10,C$13:D$15,G$5:G$6,C28,G$3,,$H$17,0)</f>
        <v>98.690540402459831</v>
      </c>
      <c r="J28" s="12">
        <f>[1]!MF_p_pipeline_atma(E28,$D$8,$I$10,E$13:F$15,H$5:H$6,$C28,H$3,,$H$17,0)</f>
        <v>47.372263538946541</v>
      </c>
      <c r="K28" s="12">
        <f>[1]!MF_p_pipeline_atma(F28,$D$8,$I$10,C$13:D$15,I$5:I$6,$C28,I$3,,$H$17,0)</f>
        <v>90.356338283309611</v>
      </c>
      <c r="L28" s="12">
        <f>[1]!MF_p_pipeline_atma(G28,$D$8,$I$10,E$13:F$15,J$5:J$6,$C28,J$3,,$H$17,0)</f>
        <v>98.056672978725544</v>
      </c>
    </row>
    <row r="29" spans="3:20" x14ac:dyDescent="0.25">
      <c r="C29" s="3">
        <v>10</v>
      </c>
      <c r="D29" s="3">
        <f>[1]!IPR_pwf_atma(G$2,G$4,$C29,G$3,$D$7)</f>
        <v>210.35897435897436</v>
      </c>
      <c r="E29" s="3">
        <f>[1]!IPR_pwf_atma(H$2,H$4,$C29,H$3,$D$7)</f>
        <v>214.60975609756096</v>
      </c>
      <c r="F29" s="3">
        <f>[1]!IPR_pwf_atma(I$2,I$4,$C29,I$3,$D$7)</f>
        <v>200.59183673469389</v>
      </c>
      <c r="G29" s="3">
        <f>[1]!IPR_pwf_atma(J$2,J$4,$C29,J$3,$D$7)</f>
        <v>215.50975609756097</v>
      </c>
      <c r="I29" s="12">
        <f>[1]!MF_p_pipeline_atma(D29,$D$8,$I$10,C$13:D$15,G$5:G$6,C29,G$3,,$H$17,0)</f>
        <v>75.128686703072944</v>
      </c>
      <c r="J29" s="12">
        <f>[1]!MF_p_pipeline_atma(E29,$D$8,$I$10,E$13:F$15,H$5:H$6,$C29,H$3,,$H$17,0)</f>
        <v>25.352548017822155</v>
      </c>
      <c r="K29" s="12">
        <f>[1]!MF_p_pipeline_atma(F29,$D$8,$I$10,C$13:D$15,I$5:I$6,$C29,I$3,,$H$17,0)</f>
        <v>71.393406063729088</v>
      </c>
      <c r="L29" s="12">
        <f>[1]!MF_p_pipeline_atma(G29,$D$8,$I$10,E$13:F$15,J$5:J$6,$C29,J$3,,$H$17,0)</f>
        <v>75.411799318302016</v>
      </c>
    </row>
    <row r="30" spans="3:20" x14ac:dyDescent="0.25">
      <c r="C30" s="3">
        <v>20</v>
      </c>
      <c r="D30" s="3">
        <f>[1]!IPR_pwf_atma(G$2,G$4,$C30,G$3,$D$7)</f>
        <v>184.71794871794873</v>
      </c>
      <c r="E30" s="3">
        <f>[1]!IPR_pwf_atma(H$2,H$4,$C30,H$3,$D$7)</f>
        <v>190.21951219512195</v>
      </c>
      <c r="F30" s="3">
        <f>[1]!IPR_pwf_atma(I$2,I$4,$C30,I$3,$D$7)</f>
        <v>180.18367346938774</v>
      </c>
      <c r="G30" s="3">
        <f>[1]!IPR_pwf_atma(J$2,J$4,$C30,J$3,$D$7)</f>
        <v>191.11951219512196</v>
      </c>
      <c r="I30" s="12">
        <f>[1]!MF_p_pipeline_atma(D30,$D$8,$I$10,C$13:D$15,G$5:G$6,C30,G$3,,$H$17,0)</f>
        <v>49.078004825251938</v>
      </c>
      <c r="J30" s="12">
        <f>[1]!MF_p_pipeline_atma(E30,$D$8,$I$10,E$13:F$15,H$5:H$6,$C30,H$3,,$H$17,0)</f>
        <v>4.1855778523162632</v>
      </c>
      <c r="K30" s="12">
        <f>[1]!MF_p_pipeline_atma(F30,$D$8,$I$10,C$13:D$15,I$5:I$6,$C30,I$3,,$H$17,0)</f>
        <v>50.600656144601935</v>
      </c>
      <c r="L30" s="12">
        <f>[1]!MF_p_pipeline_atma(G30,$D$8,$I$10,E$13:F$15,J$5:J$6,$C30,J$3,,$H$17,0)</f>
        <v>51.214457416855488</v>
      </c>
    </row>
    <row r="31" spans="3:20" x14ac:dyDescent="0.25">
      <c r="C31" s="3">
        <v>30</v>
      </c>
      <c r="D31" s="3">
        <f>[1]!IPR_pwf_atma(G$2,G$4,$C31,G$3,$D$7)</f>
        <v>159.07692307692307</v>
      </c>
      <c r="E31" s="3">
        <f>[1]!IPR_pwf_atma(H$2,H$4,$C31,H$3,$D$7)</f>
        <v>165.82926829268291</v>
      </c>
      <c r="F31" s="3">
        <f>[1]!IPR_pwf_atma(I$2,I$4,$C31,I$3,$D$7)</f>
        <v>159.77551020408163</v>
      </c>
      <c r="G31" s="3">
        <f>[1]!IPR_pwf_atma(J$2,J$4,$C31,J$3,$D$7)</f>
        <v>166.72926829268292</v>
      </c>
      <c r="I31" s="12">
        <f>[1]!MF_p_pipeline_atma(D31,$D$8,$I$10,C$13:D$15,G$5:G$6,C31,G$3,,$H$17,0)</f>
        <v>24.577301983944523</v>
      </c>
      <c r="J31" s="12">
        <f>[1]!MF_p_pipeline_atma(E31,$D$8,$I$10,E$13:F$15,H$5:H$6,$C31,H$3,,$H$17,0)</f>
        <v>0.88288374528707059</v>
      </c>
      <c r="K31" s="12">
        <f>[1]!MF_p_pipeline_atma(F31,$D$8,$I$10,C$13:D$15,I$5:I$6,$C31,I$3,,$H$17,0)</f>
        <v>31.236934425404986</v>
      </c>
      <c r="L31" s="12">
        <f>[1]!MF_p_pipeline_atma(G31,$D$8,$I$10,E$13:F$15,J$5:J$6,$C31,J$3,,$H$17,0)</f>
        <v>32.732686316750375</v>
      </c>
    </row>
    <row r="32" spans="3:20" x14ac:dyDescent="0.25">
      <c r="C32" s="3">
        <v>40</v>
      </c>
      <c r="D32" s="3">
        <f>[1]!IPR_pwf_atma(G$2,G$4,$C32,G$3,$D$7)</f>
        <v>132.34104565651779</v>
      </c>
      <c r="E32" s="3">
        <f>[1]!IPR_pwf_atma(H$2,H$4,$C32,H$3,$D$7)</f>
        <v>141.31847025914234</v>
      </c>
      <c r="F32" s="3">
        <f>[1]!IPR_pwf_atma(I$2,I$4,$C32,I$3,$D$7)</f>
        <v>138.67099458714881</v>
      </c>
      <c r="G32" s="3">
        <f>[1]!IPR_pwf_atma(J$2,J$4,$C32,J$3,$D$7)</f>
        <v>141.74724535231755</v>
      </c>
      <c r="I32" s="12">
        <f>[1]!MF_p_pipeline_atma(D32,$D$8,$I$10,C$13:D$15,G$5:G$6,C32,G$3,,$H$17,0)</f>
        <v>8.2927349398532062</v>
      </c>
      <c r="J32" s="12">
        <f>[1]!MF_p_pipeline_atma(E32,$D$8,$I$10,E$13:F$15,H$5:H$6,$C32,H$3,,$H$17,0)</f>
        <v>0.88495612060452222</v>
      </c>
      <c r="K32" s="12">
        <f>[1]!MF_p_pipeline_atma(F32,$D$8,$I$10,C$13:D$15,I$5:I$6,$C32,I$3,,$H$17,0)</f>
        <v>16.468871962930073</v>
      </c>
      <c r="L32" s="12">
        <f>[1]!MF_p_pipeline_atma(G32,$D$8,$I$10,E$13:F$15,J$5:J$6,$C32,J$3,,$H$17,0)</f>
        <v>22.564191199508553</v>
      </c>
    </row>
    <row r="33" spans="3:12" x14ac:dyDescent="0.25">
      <c r="C33" s="3">
        <v>50</v>
      </c>
      <c r="D33" s="3">
        <f>[1]!IPR_pwf_atma(G$2,G$4,$C33,G$3,$D$7)</f>
        <v>101.864466506166</v>
      </c>
      <c r="E33" s="3">
        <f>[1]!IPR_pwf_atma(H$2,H$4,$C33,H$3,$D$7)</f>
        <v>116.09366868614673</v>
      </c>
      <c r="F33" s="3">
        <f>[1]!IPR_pwf_atma(I$2,I$4,$C33,I$3,$D$7)</f>
        <v>115.17966502253026</v>
      </c>
      <c r="G33" s="3">
        <f>[1]!IPR_pwf_atma(J$2,J$4,$C33,J$3,$D$7)</f>
        <v>112.91239874797357</v>
      </c>
      <c r="I33" s="12">
        <f>[1]!MF_p_pipeline_atma(D33,$D$8,$I$10,C$13:D$15,G$5:G$6,C33,G$3,,$H$17,0)</f>
        <v>3.0340609972303172</v>
      </c>
      <c r="J33" s="12">
        <f>[1]!MF_p_pipeline_atma(E33,$D$8,$I$10,E$13:F$15,H$5:H$6,$C33,H$3,,$H$17,0)</f>
        <v>0.88824967972863311</v>
      </c>
      <c r="K33" s="12">
        <f>[1]!MF_p_pipeline_atma(F33,$D$8,$I$10,C$13:D$15,I$5:I$6,$C33,I$3,,$H$17,0)</f>
        <v>9.8171200476440408</v>
      </c>
      <c r="L33" s="12">
        <f>[1]!MF_p_pipeline_atma(G33,$D$8,$I$10,E$13:F$15,J$5:J$6,$C33,J$3,,$H$17,0)</f>
        <v>16.222372332228932</v>
      </c>
    </row>
    <row r="34" spans="3:12" x14ac:dyDescent="0.25">
      <c r="C34" s="3">
        <v>60</v>
      </c>
      <c r="D34" s="3">
        <f>[1]!IPR_pwf_atma(G$2,G$4,$C34,G$3,$D$7)</f>
        <v>62.46908599530704</v>
      </c>
      <c r="E34" s="3">
        <f>[1]!IPR_pwf_atma(H$2,H$4,$C34,H$3,$D$7)</f>
        <v>89.416447474633131</v>
      </c>
      <c r="F34" s="3">
        <f>[1]!IPR_pwf_atma(I$2,I$4,$C34,I$3,$D$7)</f>
        <v>87.569954036946569</v>
      </c>
      <c r="G34" s="3">
        <f>[1]!IPR_pwf_atma(J$2,J$4,$C34,J$3,$D$7)</f>
        <v>76.246696796675948</v>
      </c>
      <c r="I34" s="12">
        <f>[1]!MF_p_pipeline_atma(D34,$D$8,$I$10,C$13:D$15,G$5:G$6,C34,G$3,,$H$17,0)</f>
        <v>0.89690319071182323</v>
      </c>
      <c r="J34" s="12">
        <f>[1]!MF_p_pipeline_atma(E34,$D$8,$I$10,E$13:F$15,H$5:H$6,$C34,H$3,,$H$17,0)</f>
        <v>0.85712505637200354</v>
      </c>
      <c r="K34" s="12">
        <f>[1]!MF_p_pipeline_atma(F34,$D$8,$I$10,C$13:D$15,I$5:I$6,$C34,I$3,,$H$17,0)</f>
        <v>5.1471143466040745</v>
      </c>
      <c r="L34" s="12">
        <f>[1]!MF_p_pipeline_atma(G34,$D$8,$I$10,E$13:F$15,J$5:J$6,$C34,J$3,,$H$17,0)</f>
        <v>5.7739300314875592</v>
      </c>
    </row>
    <row r="35" spans="3:12" x14ac:dyDescent="0.25">
      <c r="C35" s="3">
        <v>70</v>
      </c>
      <c r="D35" s="3">
        <f>[1]!IPR_pwf_atma(G$2,G$4,$C35,G$3,$D$7)</f>
        <v>0</v>
      </c>
      <c r="E35" s="3">
        <f>[1]!IPR_pwf_atma(H$2,H$4,$C35,H$3,$D$7)</f>
        <v>55.250078450077808</v>
      </c>
      <c r="F35" s="3">
        <f>[1]!IPR_pwf_atma(I$2,I$4,$C35,I$3,$D$7)</f>
        <v>49.761163501313192</v>
      </c>
      <c r="G35" s="3">
        <f>[1]!IPR_pwf_atma(J$2,J$4,$C35,J$3,$D$7)</f>
        <v>2.9034266110860867</v>
      </c>
      <c r="I35" s="12">
        <f>[1]!MF_p_pipeline_atma(D35,$D$8,$I$10,C$13:D$15,G$5:G$6,C35,G$3,,$H$17,0)</f>
        <v>0</v>
      </c>
      <c r="J35" s="12">
        <f>[1]!MF_p_pipeline_atma(E35,$D$8,$I$10,E$13:F$15,H$5:H$6,$C35,H$3,,$H$17,0)</f>
        <v>0.87067955067256797</v>
      </c>
      <c r="K35" s="12">
        <f>[1]!MF_p_pipeline_atma(F35,$D$8,$I$10,C$13:D$15,I$5:I$6,$C35,I$3,,$H$17,0)</f>
        <v>0.87494840052278122</v>
      </c>
      <c r="L35" s="12">
        <f>[1]!MF_p_pipeline_atma(G35,$D$8,$I$10,E$13:F$15,J$5:J$6,$C35,J$3,,$H$17,0)</f>
        <v>0.75086225445426058</v>
      </c>
    </row>
    <row r="36" spans="3:12" x14ac:dyDescent="0.25">
      <c r="C36" s="3">
        <v>80</v>
      </c>
      <c r="D36" s="3">
        <f>[1]!IPR_pwf_atma(G$2,G$4,$C36,G$3,$D$7)</f>
        <v>0</v>
      </c>
      <c r="E36" s="3">
        <f>[1]!IPR_pwf_atma(H$2,H$4,$C36,H$3,$D$7)</f>
        <v>0.90664227539273023</v>
      </c>
      <c r="F36" s="3">
        <f>[1]!IPR_pwf_atma(I$2,I$4,$C36,I$3,$D$7)</f>
        <v>0</v>
      </c>
      <c r="G36" s="3">
        <f>[1]!IPR_pwf_atma(J$2,J$4,$C36,J$3,$D$7)</f>
        <v>0</v>
      </c>
      <c r="I36" s="12">
        <f>[1]!MF_p_pipeline_atma(D36,$D$8,$I$10,C$13:D$15,G$5:G$6,C36,G$3,,$H$17,0)</f>
        <v>0</v>
      </c>
      <c r="J36" s="12">
        <f>[1]!MF_p_pipeline_atma(E36,$D$8,$I$10,E$13:F$15,H$5:H$6,$C36,H$3,,$H$17,0)</f>
        <v>0.86785414557430285</v>
      </c>
      <c r="K36" s="12">
        <f>[1]!MF_p_pipeline_atma(F36,$D$8,$I$10,C$13:D$15,I$5:I$6,$C36,I$3,,$H$17,0)</f>
        <v>0</v>
      </c>
      <c r="L36" s="12">
        <f>[1]!MF_p_pipeline_atma(G36,$D$8,$I$10,E$13:F$15,J$5:J$6,$C36,J$3,,$H$17,0)</f>
        <v>0</v>
      </c>
    </row>
    <row r="37" spans="3:12" x14ac:dyDescent="0.25">
      <c r="C37" s="3">
        <v>90</v>
      </c>
      <c r="D37" s="3">
        <f>[1]!IPR_pwf_atma(G$2,G$4,$C37,G$3,$D$7)</f>
        <v>0</v>
      </c>
      <c r="E37" s="3">
        <f>[1]!IPR_pwf_atma(H$2,H$4,$C37,H$3,$D$7)</f>
        <v>0</v>
      </c>
      <c r="F37" s="3">
        <f>[1]!IPR_pwf_atma(I$2,I$4,$C37,I$3,$D$7)</f>
        <v>0</v>
      </c>
      <c r="G37" s="3">
        <f>[1]!IPR_pwf_atma(J$2,J$4,$C37,J$3,$D$7)</f>
        <v>0</v>
      </c>
      <c r="I37" s="12">
        <f>[1]!MF_p_pipeline_atma(D37,$D$8,$I$10,C$13:D$15,G$5:G$6,C37,G$3,,$H$17,0)</f>
        <v>0</v>
      </c>
      <c r="J37" s="12">
        <f>[1]!MF_p_pipeline_atma(E37,$D$8,$I$10,E$13:F$15,H$5:H$6,$C37,H$3,,$H$17,0)</f>
        <v>0</v>
      </c>
      <c r="K37" s="12">
        <f>[1]!MF_p_pipeline_atma(F37,$D$8,$I$10,C$13:D$15,I$5:I$6,$C37,I$3,,$H$17,0)</f>
        <v>0</v>
      </c>
      <c r="L37" s="12">
        <f>[1]!MF_p_pipeline_atma(G37,$D$8,$I$10,E$13:F$15,J$5:J$6,$C37,J$3,,$H$17,0)</f>
        <v>0</v>
      </c>
    </row>
    <row r="38" spans="3:12" x14ac:dyDescent="0.25">
      <c r="C38" s="3">
        <v>100</v>
      </c>
      <c r="D38" s="3">
        <f>[1]!IPR_pwf_atma(G$2,G$4,$C38,G$3,$D$7)</f>
        <v>0</v>
      </c>
      <c r="E38" s="3">
        <f>[1]!IPR_pwf_atma(H$2,H$4,$C38,H$3,$D$7)</f>
        <v>0</v>
      </c>
      <c r="F38" s="3">
        <f>[1]!IPR_pwf_atma(I$2,I$4,$C38,I$3,$D$7)</f>
        <v>0</v>
      </c>
      <c r="G38" s="3">
        <f>[1]!IPR_pwf_atma(J$2,J$4,$C38,J$3,$D$7)</f>
        <v>0</v>
      </c>
      <c r="I38" s="12">
        <f>[1]!MF_p_pipeline_atma(D38,$D$8,$I$10,C$13:D$15,G$5:G$6,C38,G$3,,$H$17,0)</f>
        <v>0</v>
      </c>
      <c r="J38" s="12">
        <f>[1]!MF_p_pipeline_atma(E38,$D$8,$I$10,E$13:F$15,H$5:H$6,$C38,H$3,,$H$17,0)</f>
        <v>0</v>
      </c>
      <c r="K38" s="12">
        <f>[1]!MF_p_pipeline_atma(F38,$D$8,$I$10,C$13:D$15,I$5:I$6,$C38,I$3,,$H$17,0)</f>
        <v>0</v>
      </c>
      <c r="L38" s="12">
        <f>[1]!MF_p_pipeline_atma(G38,$D$8,$I$10,E$13:F$15,J$5:J$6,$C38,J$3,,$H$17,0)</f>
        <v>0</v>
      </c>
    </row>
    <row r="39" spans="3:12" x14ac:dyDescent="0.25">
      <c r="C39" s="3">
        <v>110</v>
      </c>
      <c r="D39" s="3">
        <f>[1]!IPR_pwf_atma(G$2,G$4,$C39,G$3,$D$7)</f>
        <v>0</v>
      </c>
      <c r="E39" s="3">
        <f>[1]!IPR_pwf_atma(H$2,H$4,$C39,H$3,$D$7)</f>
        <v>0</v>
      </c>
      <c r="F39" s="3">
        <f>[1]!IPR_pwf_atma(I$2,I$4,$C39,I$3,$D$7)</f>
        <v>0</v>
      </c>
      <c r="G39" s="3">
        <f>[1]!IPR_pwf_atma(J$2,J$4,$C39,J$3,$D$7)</f>
        <v>0</v>
      </c>
      <c r="I39" s="12">
        <f>[1]!MF_p_pipeline_atma(D39,$D$8,$I$10,C$13:D$15,G$5:G$6,C39,G$3,,$H$17,0)</f>
        <v>0</v>
      </c>
      <c r="J39" s="12">
        <f>[1]!MF_p_pipeline_atma(E39,$D$8,$I$10,E$13:F$15,H$5:H$6,$C39,H$3,,$H$17,0)</f>
        <v>0</v>
      </c>
      <c r="K39" s="12">
        <f>[1]!MF_p_pipeline_atma(F39,$D$8,$I$10,C$13:D$15,I$5:I$6,$C39,I$3,,$H$17,0)</f>
        <v>0</v>
      </c>
      <c r="L39" s="12">
        <f>[1]!MF_p_pipeline_atma(G39,$D$8,$I$10,E$13:F$15,J$5:J$6,$C39,J$3,,$H$17,0)</f>
        <v>0</v>
      </c>
    </row>
    <row r="40" spans="3:12" x14ac:dyDescent="0.25">
      <c r="C40" s="3">
        <v>120</v>
      </c>
      <c r="D40" s="3">
        <f>[1]!IPR_pwf_atma(G$2,G$4,$C40,G$3,$D$7)</f>
        <v>0</v>
      </c>
      <c r="E40" s="3">
        <f>[1]!IPR_pwf_atma(H$2,H$4,$C40,H$3,$D$7)</f>
        <v>0</v>
      </c>
      <c r="F40" s="3">
        <f>[1]!IPR_pwf_atma(I$2,I$4,$C40,I$3,$D$7)</f>
        <v>0</v>
      </c>
      <c r="G40" s="3">
        <f>[1]!IPR_pwf_atma(J$2,J$4,$C40,J$3,$D$7)</f>
        <v>0</v>
      </c>
      <c r="I40" s="12">
        <f>[1]!MF_p_pipeline_atma(D40,$D$8,$I$10,C$13:D$15,G$5:G$6,C40,G$3,,$H$17,0)</f>
        <v>0</v>
      </c>
      <c r="J40" s="12">
        <f>[1]!MF_p_pipeline_atma(E40,$D$8,$I$10,E$13:F$15,H$5:H$6,$C40,H$3,,$H$17,0)</f>
        <v>0</v>
      </c>
      <c r="K40" s="12">
        <f>[1]!MF_p_pipeline_atma(F40,$D$8,$I$10,C$13:D$15,I$5:I$6,$C40,I$3,,$H$17,0)</f>
        <v>0</v>
      </c>
      <c r="L40" s="12">
        <f>[1]!MF_p_pipeline_atma(G40,$D$8,$I$10,E$13:F$15,J$5:J$6,$C40,J$3,,$H$17,0)</f>
        <v>0</v>
      </c>
    </row>
    <row r="41" spans="3:12" ht="15.75" thickBot="1" x14ac:dyDescent="0.3"/>
    <row r="42" spans="3:12" ht="15.75" thickBot="1" x14ac:dyDescent="0.3">
      <c r="C42" s="21" t="s">
        <v>32</v>
      </c>
      <c r="D42" s="22" t="s">
        <v>47</v>
      </c>
      <c r="E42" s="22" t="s">
        <v>48</v>
      </c>
      <c r="F42" s="24" t="s">
        <v>49</v>
      </c>
      <c r="G42" s="23" t="s">
        <v>50</v>
      </c>
      <c r="H42" s="2"/>
    </row>
    <row r="43" spans="3:12" x14ac:dyDescent="0.25">
      <c r="C43" s="12">
        <v>1</v>
      </c>
      <c r="D43" s="12">
        <f>[1]!MF_p_pipeline_atma(I28,$I$10,20,$M$21:$N$22,$K$21,C28,G$3,,$H$17,11)</f>
        <v>92.88060598951563</v>
      </c>
      <c r="E43" s="12">
        <f>[1]!MF_p_pipeline_atma(J28,$I$10,20,$O$21:$P$22,$K$21,D28,H$3,,$H$17,11)</f>
        <v>41.804645618431586</v>
      </c>
      <c r="F43" s="12">
        <f>[1]!MF_p_pipeline_atma(K28,$I$10,20,$Q$21:$R$22,$K$21,E28,I$3,,$H$17,11)</f>
        <v>85.571524354664859</v>
      </c>
      <c r="G43" s="12">
        <f>[1]!MF_p_pipeline_atma(L28,$I$10,20,$S$21:$T$22,$K$21,F28,J$3,,$H$17,11)</f>
        <v>93.537522553050309</v>
      </c>
      <c r="H43" s="2"/>
    </row>
    <row r="44" spans="3:12" x14ac:dyDescent="0.25">
      <c r="C44" s="3">
        <v>10</v>
      </c>
      <c r="D44" s="12">
        <f>[1]!MF_p_pipeline_atma(I29,$I$10,20,$M$21:$N$22,$K$21,C29,G$3,,$H$17,11)</f>
        <v>69.241105428289202</v>
      </c>
      <c r="E44" s="12">
        <f>[1]!MF_p_pipeline_atma(J29,$I$10,20,$O$21:$P$22,$K$21,D29,H$3,,$H$17,11)</f>
        <v>20.540726559386389</v>
      </c>
      <c r="F44" s="12">
        <f>[1]!MF_p_pipeline_atma(K29,$I$10,20,$Q$21:$R$22,$K$21,E29,I$3,,$H$17,11)</f>
        <v>66.965624022823079</v>
      </c>
      <c r="G44" s="12">
        <f>[1]!MF_p_pipeline_atma(L29,$I$10,20,$S$21:$T$22,$K$21,F29,J$3,,$H$17,11)</f>
        <v>71.278340619381865</v>
      </c>
      <c r="H44" s="2"/>
    </row>
    <row r="45" spans="3:12" x14ac:dyDescent="0.25">
      <c r="C45" s="3">
        <v>20</v>
      </c>
      <c r="D45" s="12">
        <f>[1]!MF_p_pipeline_atma(I30,$I$10,20,$M$21:$N$22,$K$21,C30,G$3,,$H$17,11)</f>
        <v>43.109008204323594</v>
      </c>
      <c r="E45" s="12">
        <f>[1]!MF_p_pipeline_atma(J30,$I$10,20,$O$21:$P$22,$K$21,D30,H$3,,$H$17,11)</f>
        <v>1.6460240469212575</v>
      </c>
      <c r="F45" s="12">
        <f>[1]!MF_p_pipeline_atma(K30,$I$10,20,$Q$21:$R$22,$K$21,E30,I$3,,$H$17,11)</f>
        <v>46.719448709031035</v>
      </c>
      <c r="G45" s="12">
        <f>[1]!MF_p_pipeline_atma(L30,$I$10,20,$S$21:$T$22,$K$21,F30,J$3,,$H$17,11)</f>
        <v>47.685916100378876</v>
      </c>
      <c r="H45" s="2"/>
    </row>
    <row r="46" spans="3:12" x14ac:dyDescent="0.25">
      <c r="C46" s="3">
        <v>30</v>
      </c>
      <c r="D46" s="12">
        <f>[1]!MF_p_pipeline_atma(I31,$I$10,20,$M$21:$N$22,$K$21,C31,G$3,,$H$17,11)</f>
        <v>19.386906864088964</v>
      </c>
      <c r="E46" s="12">
        <f>[1]!MF_p_pipeline_atma(J31,$I$10,20,$O$21:$P$22,$K$21,D31,H$3,,$H$17,11)</f>
        <v>0.88288374528707059</v>
      </c>
      <c r="F46" s="12">
        <f>[1]!MF_p_pipeline_atma(K31,$I$10,20,$Q$21:$R$22,$K$21,E31,I$3,,$H$17,11)</f>
        <v>28.114554966871854</v>
      </c>
      <c r="G46" s="12">
        <f>[1]!MF_p_pipeline_atma(L31,$I$10,20,$S$21:$T$22,$K$21,F31,J$3,,$H$17,11)</f>
        <v>29.87585191459749</v>
      </c>
      <c r="H46" s="2"/>
    </row>
    <row r="47" spans="3:12" x14ac:dyDescent="0.25">
      <c r="C47" s="3">
        <v>40</v>
      </c>
      <c r="D47" s="12">
        <f>[1]!MF_p_pipeline_atma(I32,$I$10,20,$M$21:$N$22,$K$21,C32,G$3,,$H$17,11)</f>
        <v>5.5738510933306715</v>
      </c>
      <c r="E47" s="12">
        <f>[1]!MF_p_pipeline_atma(J32,$I$10,20,$O$21:$P$22,$K$21,D32,H$3,,$H$17,11)</f>
        <v>0.88495612060452222</v>
      </c>
      <c r="F47" s="12">
        <f>[1]!MF_p_pipeline_atma(K32,$I$10,20,$Q$21:$R$22,$K$21,E32,I$3,,$H$17,11)</f>
        <v>14.14500010623836</v>
      </c>
      <c r="G47" s="12">
        <f>[1]!MF_p_pipeline_atma(L32,$I$10,20,$S$21:$T$22,$K$21,F32,J$3,,$H$17,11)</f>
        <v>20.177991921166864</v>
      </c>
      <c r="H47" s="2"/>
    </row>
    <row r="48" spans="3:12" x14ac:dyDescent="0.25">
      <c r="C48" s="3">
        <v>50</v>
      </c>
      <c r="D48" s="12">
        <f>[1]!MF_p_pipeline_atma(I33,$I$10,20,$M$21:$N$22,$K$21,C33,G$3,,$H$17,11)</f>
        <v>1.5352937142794101</v>
      </c>
      <c r="E48" s="12">
        <f>[1]!MF_p_pipeline_atma(J33,$I$10,20,$O$21:$P$22,$K$21,D33,H$3,,$H$17,11)</f>
        <v>0.88824967972863311</v>
      </c>
      <c r="F48" s="12">
        <f>[1]!MF_p_pipeline_atma(K33,$I$10,20,$Q$21:$R$22,$K$21,E33,I$3,,$H$17,11)</f>
        <v>7.9858783322905875</v>
      </c>
      <c r="G48" s="12">
        <f>[1]!MF_p_pipeline_atma(L33,$I$10,20,$S$21:$T$22,$K$21,F33,J$3,,$H$17,11)</f>
        <v>14.066293836288651</v>
      </c>
      <c r="H48" s="2"/>
    </row>
    <row r="49" spans="3:11" x14ac:dyDescent="0.25">
      <c r="C49" s="3">
        <v>60</v>
      </c>
      <c r="D49" s="12">
        <f>[1]!MF_p_pipeline_atma(I34,$I$10,20,$M$21:$N$22,$K$21,C34,G$3,,$H$17,11)</f>
        <v>0.89690319071182323</v>
      </c>
      <c r="E49" s="12">
        <f>[1]!MF_p_pipeline_atma(J34,$I$10,20,$O$21:$P$22,$K$21,D34,H$3,,$H$17,11)</f>
        <v>0.85712505637200354</v>
      </c>
      <c r="F49" s="12">
        <f>[1]!MF_p_pipeline_atma(K34,$I$10,20,$Q$21:$R$22,$K$21,E34,I$3,,$H$17,11)</f>
        <v>3.6693335163334551</v>
      </c>
      <c r="G49" s="12">
        <f>[1]!MF_p_pipeline_atma(L34,$I$10,20,$S$21:$T$22,$K$21,F34,J$3,,$H$17,11)</f>
        <v>4.3384327465757861</v>
      </c>
      <c r="H49" s="2"/>
    </row>
    <row r="50" spans="3:11" x14ac:dyDescent="0.25">
      <c r="C50" s="3">
        <v>70</v>
      </c>
      <c r="D50" s="12">
        <f>[1]!MF_p_pipeline_atma(I35,$I$10,20,$M$21:$N$22,$K$21,C35,G$3,,$H$17,11)</f>
        <v>0</v>
      </c>
      <c r="E50" s="12">
        <f>[1]!MF_p_pipeline_atma(J35,$I$10,20,$O$21:$P$22,$K$21,D35,H$3,,$H$17,11)</f>
        <v>0.87067955067256797</v>
      </c>
      <c r="F50" s="12">
        <f>[1]!MF_p_pipeline_atma(K35,$I$10,20,$Q$21:$R$22,$K$21,E35,I$3,,$H$17,11)</f>
        <v>0.87494840052278122</v>
      </c>
      <c r="G50" s="12">
        <f>[1]!MF_p_pipeline_atma(L35,$I$10,20,$S$21:$T$22,$K$21,F35,J$3,,$H$17,11)</f>
        <v>0.75086225445426058</v>
      </c>
      <c r="H50" s="2"/>
    </row>
    <row r="51" spans="3:11" x14ac:dyDescent="0.25">
      <c r="C51" s="3">
        <v>80</v>
      </c>
      <c r="D51" s="12">
        <f>[1]!MF_p_pipeline_atma(I36,$I$10,20,$M$21:$N$22,$K$21,C36,G$3,,$H$17,11)</f>
        <v>0</v>
      </c>
      <c r="E51" s="12">
        <f>[1]!MF_p_pipeline_atma(J36,$I$10,20,$O$21:$P$22,$K$21,D36,H$3,,$H$17,11)</f>
        <v>0.86785414557430285</v>
      </c>
      <c r="F51" s="12">
        <f>[1]!MF_p_pipeline_atma(K36,$I$10,20,$Q$21:$R$22,$K$21,E36,I$3,,$H$17,11)</f>
        <v>0</v>
      </c>
      <c r="G51" s="12">
        <f>[1]!MF_p_pipeline_atma(L36,$I$10,20,$S$21:$T$22,$K$21,F36,J$3,,$H$17,11)</f>
        <v>0</v>
      </c>
      <c r="H51" s="2"/>
    </row>
    <row r="52" spans="3:11" x14ac:dyDescent="0.25">
      <c r="C52" s="3">
        <v>90</v>
      </c>
      <c r="D52" s="12">
        <f>[1]!MF_p_pipeline_atma(I37,$I$10,20,$M$21:$N$22,$K$21,C37,G$3,,$H$17,11)</f>
        <v>0</v>
      </c>
      <c r="E52" s="12">
        <f>[1]!MF_p_pipeline_atma(J37,$I$10,20,$O$21:$P$22,$K$21,D37,H$3,,$H$17,11)</f>
        <v>0</v>
      </c>
      <c r="F52" s="12">
        <f>[1]!MF_p_pipeline_atma(K37,$I$10,20,$Q$21:$R$22,$K$21,E37,I$3,,$H$17,11)</f>
        <v>0</v>
      </c>
      <c r="G52" s="12">
        <f>[1]!MF_p_pipeline_atma(L37,$I$10,20,$S$21:$T$22,$K$21,F37,J$3,,$H$17,11)</f>
        <v>0</v>
      </c>
      <c r="H52" s="2"/>
    </row>
    <row r="53" spans="3:11" x14ac:dyDescent="0.25">
      <c r="C53" s="3">
        <v>100</v>
      </c>
      <c r="D53" s="12">
        <f>[1]!MF_p_pipeline_atma(I38,$I$10,20,$M$21:$N$22,$K$21,C38,G$3,,$H$17,11)</f>
        <v>0</v>
      </c>
      <c r="E53" s="12">
        <f>[1]!MF_p_pipeline_atma(J38,$I$10,20,$O$21:$P$22,$K$21,D38,H$3,,$H$17,11)</f>
        <v>0</v>
      </c>
      <c r="F53" s="12">
        <f>[1]!MF_p_pipeline_atma(K38,$I$10,20,$Q$21:$R$22,$K$21,E38,I$3,,$H$17,11)</f>
        <v>0</v>
      </c>
      <c r="G53" s="12">
        <f>[1]!MF_p_pipeline_atma(L38,$I$10,20,$S$21:$T$22,$K$21,F38,J$3,,$H$17,11)</f>
        <v>0</v>
      </c>
      <c r="H53" s="2"/>
    </row>
    <row r="54" spans="3:11" x14ac:dyDescent="0.25">
      <c r="C54" s="3">
        <v>110</v>
      </c>
      <c r="D54" s="12">
        <f>[1]!MF_p_pipeline_atma(I39,$I$10,20,$M$21:$N$22,$K$21,C39,G$3,,$H$17,11)</f>
        <v>0</v>
      </c>
      <c r="E54" s="12">
        <f>[1]!MF_p_pipeline_atma(J39,$I$10,20,$O$21:$P$22,$K$21,D39,H$3,,$H$17,11)</f>
        <v>0</v>
      </c>
      <c r="F54" s="12">
        <f>[1]!MF_p_pipeline_atma(K39,$I$10,20,$Q$21:$R$22,$K$21,E39,I$3,,$H$17,11)</f>
        <v>0</v>
      </c>
      <c r="G54" s="12">
        <f>[1]!MF_p_pipeline_atma(L39,$I$10,20,$S$21:$T$22,$K$21,F39,J$3,,$H$17,11)</f>
        <v>0</v>
      </c>
      <c r="H54" s="2"/>
    </row>
    <row r="55" spans="3:11" x14ac:dyDescent="0.25">
      <c r="C55" s="3">
        <v>120</v>
      </c>
      <c r="D55" s="12">
        <f>[1]!MF_p_pipeline_atma(I40,$I$10,20,$M$21:$N$22,$K$21,C40,G$3,,$H$17,11)</f>
        <v>0</v>
      </c>
      <c r="E55" s="12">
        <f>[1]!MF_p_pipeline_atma(J40,$I$10,20,$O$21:$P$22,$K$21,D40,H$3,,$H$17,11)</f>
        <v>0</v>
      </c>
      <c r="F55" s="12">
        <f>[1]!MF_p_pipeline_atma(K40,$I$10,20,$Q$21:$R$22,$K$21,E40,I$3,,$H$17,11)</f>
        <v>0</v>
      </c>
      <c r="G55" s="12">
        <f>[1]!MF_p_pipeline_atma(L40,$I$10,20,$S$21:$T$22,$K$21,F40,J$3,,$H$17,11)</f>
        <v>0</v>
      </c>
      <c r="H55" s="2"/>
    </row>
    <row r="56" spans="3:11" ht="15.75" thickBot="1" x14ac:dyDescent="0.3"/>
    <row r="57" spans="3:11" ht="15.75" thickBot="1" x14ac:dyDescent="0.3">
      <c r="C57" s="21" t="s">
        <v>55</v>
      </c>
      <c r="D57" s="22">
        <v>1</v>
      </c>
      <c r="E57" s="22">
        <v>2</v>
      </c>
      <c r="F57" s="22">
        <v>3</v>
      </c>
      <c r="G57" s="22">
        <v>4</v>
      </c>
      <c r="H57" s="22" t="s">
        <v>53</v>
      </c>
      <c r="I57" s="22" t="s">
        <v>52</v>
      </c>
      <c r="J57" s="22" t="s">
        <v>54</v>
      </c>
      <c r="K57" s="23" t="s">
        <v>55</v>
      </c>
    </row>
    <row r="58" spans="3:11" x14ac:dyDescent="0.25">
      <c r="C58" s="12">
        <v>1</v>
      </c>
      <c r="D58" s="12">
        <f>[1]!crv_interpolation(D$43:D$55,$C$43:$C$55,$C58)</f>
        <v>58.385051070118806</v>
      </c>
      <c r="E58" s="12">
        <f>[1]!crv_interpolation(E$43:E$55,$C$43:$C$55,$C58)</f>
        <v>45.575847173926896</v>
      </c>
      <c r="F58" s="12">
        <f>[1]!crv_interpolation(F$43:F$55,$C$43:$C$55,$C58)</f>
        <v>69.552489745347998</v>
      </c>
      <c r="G58" s="12">
        <f>[1]!crv_interpolation(G$43:G$55,$C$43:$C$55,$C58)</f>
        <v>69.30555303068509</v>
      </c>
      <c r="H58" s="12">
        <f>(D58*$G$3+E58*$H$3+F58*$I$3+G58*$J$3)/100</f>
        <v>89.431564913672403</v>
      </c>
      <c r="I58" s="12">
        <f>SUM(D58:G58)</f>
        <v>242.8189410200788</v>
      </c>
      <c r="J58" s="12">
        <f>H58/I58*100</f>
        <v>36.830555531612035</v>
      </c>
      <c r="K58" s="12">
        <f>[1]!MF_p_pipeline_atma($D$2,20,20,$M$24:$N$25,$K$25,I58,J58,,$H$17,10)</f>
        <v>9.7382247772498012</v>
      </c>
    </row>
    <row r="59" spans="3:11" x14ac:dyDescent="0.25">
      <c r="C59" s="3">
        <v>5</v>
      </c>
      <c r="D59" s="3">
        <f>[1]!crv_interpolation(D$43:D$55,$C$43:$C$55,$C59)</f>
        <v>41.420930890588167</v>
      </c>
      <c r="E59" s="3">
        <f>[1]!crv_interpolation(E$43:E$55,$C$43:$C$55,$C59)</f>
        <v>18.224912008608726</v>
      </c>
      <c r="F59" s="3">
        <f>[1]!crv_interpolation(F$43:F$55,$C$43:$C$55,$C59)</f>
        <v>56.917287922628717</v>
      </c>
      <c r="G59" s="3">
        <f>[1]!crv_interpolation(G$43:G$55,$C$43:$C$55,$C59)</f>
        <v>59.319925266897762</v>
      </c>
      <c r="H59" s="3">
        <f t="shared" ref="H59:H68" si="0">(D59*$G$3+E59*$H$3+F59*$I$3+G59*$J$3)/100</f>
        <v>54.908503720387678</v>
      </c>
      <c r="I59" s="3">
        <f t="shared" ref="I59:I68" si="1">SUM(D59:G59)</f>
        <v>175.88305608872338</v>
      </c>
      <c r="J59" s="3">
        <f t="shared" ref="J59:J68" si="2">H59/I59*100</f>
        <v>31.218756906685396</v>
      </c>
      <c r="K59" s="12">
        <f>[1]!MF_p_pipeline_atma($D$2,20,20,$M$24:$N$25,$K$25,I59,J59,,$H$17,10)</f>
        <v>8.8744451803504649</v>
      </c>
    </row>
    <row r="60" spans="3:11" x14ac:dyDescent="0.25">
      <c r="C60" s="3">
        <v>7.5</v>
      </c>
      <c r="D60" s="3">
        <f>[1]!crv_interpolation(D$43:D$55,$C$43:$C$55,$C60)</f>
        <v>38.605559161827962</v>
      </c>
      <c r="E60" s="3">
        <f>[1]!crv_interpolation(E$43:E$55,$C$43:$C$55,$C60)</f>
        <v>16.901789827483771</v>
      </c>
      <c r="F60" s="3">
        <f>[1]!crv_interpolation(F$43:F$55,$C$43:$C$55,$C60)</f>
        <v>51.125618644093358</v>
      </c>
      <c r="G60" s="3">
        <f>[1]!crv_interpolation(G$43:G$55,$C$43:$C$55,$C60)</f>
        <v>56.749987253860411</v>
      </c>
      <c r="H60" s="3">
        <f t="shared" si="0"/>
        <v>50.708655124529265</v>
      </c>
      <c r="I60" s="3">
        <f t="shared" si="1"/>
        <v>163.3829548872655</v>
      </c>
      <c r="J60" s="3">
        <f t="shared" si="2"/>
        <v>31.036686268477837</v>
      </c>
      <c r="K60" s="12">
        <f>[1]!MF_p_pipeline_atma($D$2,20,20,$M$24:$N$25,$K$25,I60,J60,,$H$17,10)</f>
        <v>8.7115578793277564</v>
      </c>
    </row>
    <row r="61" spans="3:11" x14ac:dyDescent="0.25">
      <c r="C61" s="20">
        <v>8.65</v>
      </c>
      <c r="D61" s="20">
        <f>[1]!crv_interpolation(D$43:D$55,$C$43:$C$55,$C61)</f>
        <v>37.77301347527937</v>
      </c>
      <c r="E61" s="20">
        <f>[1]!crv_interpolation(E$43:E$55,$C$43:$C$55,$C61)</f>
        <v>16.293153624166294</v>
      </c>
      <c r="F61" s="20">
        <f>[1]!crv_interpolation(F$43:F$55,$C$43:$C$55,$C61)</f>
        <v>48.921726681036645</v>
      </c>
      <c r="G61" s="20">
        <f>[1]!crv_interpolation(G$43:G$55,$C$43:$C$55,$C61)</f>
        <v>55.567815767863237</v>
      </c>
      <c r="H61" s="20">
        <f t="shared" si="0"/>
        <v>49.095214906377016</v>
      </c>
      <c r="I61" s="20">
        <f t="shared" si="1"/>
        <v>158.55570954834553</v>
      </c>
      <c r="J61" s="20">
        <f t="shared" si="2"/>
        <v>30.964015768481236</v>
      </c>
      <c r="K61" s="29">
        <f>[1]!MF_p_pipeline_atma($D$2,20,20,$M$24:$N$25,$K$25,I61,J61,,$H$17,10)</f>
        <v>8.6507129249955472</v>
      </c>
    </row>
    <row r="62" spans="3:11" x14ac:dyDescent="0.25">
      <c r="C62" s="3">
        <v>12</v>
      </c>
      <c r="D62" s="3">
        <f>[1]!crv_interpolation(D$43:D$55,$C$43:$C$55,$C62)</f>
        <v>35.347771692724763</v>
      </c>
      <c r="E62" s="3">
        <f>[1]!crv_interpolation(E$43:E$55,$C$43:$C$55,$C62)</f>
        <v>14.520169901458855</v>
      </c>
      <c r="F62" s="3">
        <f>[1]!crv_interpolation(F$43:F$55,$C$43:$C$55,$C62)</f>
        <v>43.482639546617527</v>
      </c>
      <c r="G62" s="3">
        <f>[1]!crv_interpolation(G$43:G$55,$C$43:$C$55,$C62)</f>
        <v>52.124098830393187</v>
      </c>
      <c r="H62" s="3">
        <f t="shared" si="0"/>
        <v>44.679667734177684</v>
      </c>
      <c r="I62" s="3">
        <f t="shared" si="1"/>
        <v>145.47467997119435</v>
      </c>
      <c r="J62" s="3">
        <f t="shared" si="2"/>
        <v>30.71302012351893</v>
      </c>
      <c r="K62" s="12">
        <f>[1]!MF_p_pipeline_atma($D$2,20,20,$M$24:$N$25,$K$25,I62,J62,,$H$17,10)</f>
        <v>8.4924114087238269</v>
      </c>
    </row>
    <row r="63" spans="3:11" x14ac:dyDescent="0.25">
      <c r="C63" s="3">
        <v>15</v>
      </c>
      <c r="D63" s="3">
        <f>[1]!crv_interpolation(D$43:D$55,$C$43:$C$55,$C63)</f>
        <v>33.175913379989296</v>
      </c>
      <c r="E63" s="3">
        <f>[1]!crv_interpolation(E$43:E$55,$C$43:$C$55,$C63)</f>
        <v>12.932423284108911</v>
      </c>
      <c r="F63" s="3">
        <f>[1]!crv_interpolation(F$43:F$55,$C$43:$C$55,$C63)</f>
        <v>39.387954804364561</v>
      </c>
      <c r="G63" s="3">
        <f>[1]!crv_interpolation(G$43:G$55,$C$43:$C$55,$C63)</f>
        <v>48.472263926090264</v>
      </c>
      <c r="H63" s="3">
        <f t="shared" si="0"/>
        <v>40.888056835782855</v>
      </c>
      <c r="I63" s="3">
        <f t="shared" si="1"/>
        <v>133.96855539455305</v>
      </c>
      <c r="J63" s="3">
        <f t="shared" si="2"/>
        <v>30.520637261007071</v>
      </c>
      <c r="K63" s="12">
        <f>[1]!MF_p_pipeline_atma($D$2,20,20,$M$24:$N$25,$K$25,I63,J63,,$H$17,10)</f>
        <v>8.3560427265915127</v>
      </c>
    </row>
    <row r="64" spans="3:11" x14ac:dyDescent="0.25">
      <c r="C64" s="3">
        <v>30</v>
      </c>
      <c r="D64" s="3">
        <f>[1]!crv_interpolation(D$43:D$55,$C$43:$C$55,$C64)</f>
        <v>25.526073772431637</v>
      </c>
      <c r="E64" s="3">
        <f>[1]!crv_interpolation(E$43:E$55,$C$43:$C$55,$C64)</f>
        <v>5.996341938232284</v>
      </c>
      <c r="F64" s="3">
        <f>[1]!crv_interpolation(F$43:F$55,$C$43:$C$55,$C64)</f>
        <v>28.986586508228381</v>
      </c>
      <c r="G64" s="3">
        <f>[1]!crv_interpolation(G$43:G$55,$C$43:$C$55,$C64)</f>
        <v>29.930293297032797</v>
      </c>
      <c r="H64" s="3">
        <f t="shared" si="0"/>
        <v>26.945799087147613</v>
      </c>
      <c r="I64" s="3">
        <f t="shared" si="1"/>
        <v>90.439295515925096</v>
      </c>
      <c r="J64" s="3">
        <f t="shared" si="2"/>
        <v>29.794348721350705</v>
      </c>
      <c r="K64" s="12">
        <f>[1]!MF_p_pipeline_atma($D$2,20,20,$M$24:$N$25,$K$25,I64,J64,,$H$17,10)</f>
        <v>7.9220739352318805</v>
      </c>
    </row>
    <row r="65" spans="3:11" x14ac:dyDescent="0.25">
      <c r="C65" s="3">
        <v>40</v>
      </c>
      <c r="D65" s="3">
        <f>[1]!crv_interpolation(D$43:D$55,$C$43:$C$55,$C65)</f>
        <v>21.310595617029282</v>
      </c>
      <c r="E65" s="3">
        <f>[1]!crv_interpolation(E$43:E$55,$C$43:$C$55,$C65)</f>
        <v>1.7638201838891678</v>
      </c>
      <c r="F65" s="3">
        <f>[1]!crv_interpolation(F$43:F$55,$C$43:$C$55,$C65)</f>
        <v>23.611656590010288</v>
      </c>
      <c r="G65" s="3">
        <f>[1]!crv_interpolation(G$43:G$55,$C$43:$C$55,$C65)</f>
        <v>24.315490399251289</v>
      </c>
      <c r="H65" s="3">
        <f t="shared" si="0"/>
        <v>19.527931556299237</v>
      </c>
      <c r="I65" s="3">
        <f t="shared" si="1"/>
        <v>71.001562790180031</v>
      </c>
      <c r="J65" s="3">
        <f t="shared" si="2"/>
        <v>27.503523568920755</v>
      </c>
      <c r="K65" s="12">
        <f>[1]!MF_p_pipeline_atma($D$2,20,20,$M$24:$N$25,$K$25,I65,J65,,$H$17,10)</f>
        <v>7.7133973068924888</v>
      </c>
    </row>
    <row r="66" spans="3:11" x14ac:dyDescent="0.25">
      <c r="C66" s="3">
        <v>50</v>
      </c>
      <c r="D66" s="3">
        <f>[1]!crv_interpolation(D$43:D$55,$C$43:$C$55,$C66)</f>
        <v>17.36301616490363</v>
      </c>
      <c r="E66" s="3">
        <f>[1]!crv_interpolation(E$43:E$55,$C$43:$C$55,$C66)</f>
        <v>-2.4687015704539483</v>
      </c>
      <c r="F66" s="3">
        <f>[1]!crv_interpolation(F$43:F$55,$C$43:$C$55,$C66)</f>
        <v>18.379668633643512</v>
      </c>
      <c r="G66" s="3">
        <f>[1]!crv_interpolation(G$43:G$55,$C$43:$C$55,$C66)</f>
        <v>19.019141123983591</v>
      </c>
      <c r="H66" s="3">
        <f t="shared" si="0"/>
        <v>12.293706574174948</v>
      </c>
      <c r="I66" s="3">
        <f t="shared" si="1"/>
        <v>52.293124352076788</v>
      </c>
      <c r="J66" s="3">
        <f t="shared" si="2"/>
        <v>23.509221769585682</v>
      </c>
      <c r="K66" s="12">
        <f>[1]!MF_p_pipeline_atma($D$2,20,20,$M$24:$N$25,$K$25,I66,J66,,$H$17,10)</f>
        <v>7.6200465442302843</v>
      </c>
    </row>
    <row r="67" spans="3:11" x14ac:dyDescent="0.25">
      <c r="C67" s="3">
        <v>60</v>
      </c>
      <c r="D67" s="3">
        <f>[1]!crv_interpolation(D$43:D$55,$C$43:$C$55,$C67)</f>
        <v>13.536304548803773</v>
      </c>
      <c r="E67" s="3">
        <f>[1]!crv_interpolation(E$43:E$55,$C$43:$C$55,$C67)</f>
        <v>-6.7012233247970654</v>
      </c>
      <c r="F67" s="3">
        <f>[1]!crv_interpolation(F$43:F$55,$C$43:$C$55,$C67)</f>
        <v>13.440464144394706</v>
      </c>
      <c r="G67" s="3">
        <f>[1]!crv_interpolation(G$43:G$55,$C$43:$C$55,$C67)</f>
        <v>14.780492403524487</v>
      </c>
      <c r="H67" s="3">
        <f t="shared" si="0"/>
        <v>5.3090829929541314</v>
      </c>
      <c r="I67" s="3">
        <f t="shared" si="1"/>
        <v>35.056037771925901</v>
      </c>
      <c r="J67" s="3">
        <f t="shared" si="2"/>
        <v>15.144560909863666</v>
      </c>
      <c r="K67" s="12">
        <f>[1]!MF_p_pipeline_atma($D$2,20,20,$M$24:$N$25,$K$25,I67,J67,,$H$17,10)</f>
        <v>7.5644192706725271</v>
      </c>
    </row>
    <row r="68" spans="3:11" x14ac:dyDescent="0.25">
      <c r="C68" s="19">
        <v>70</v>
      </c>
      <c r="D68" s="19">
        <f>[1]!crv_interpolation(D$43:D$55,$C$43:$C$55,$C68)</f>
        <v>9.7110746427274428</v>
      </c>
      <c r="E68" s="19">
        <f>[1]!crv_interpolation(E$43:E$55,$C$43:$C$55,$C68)</f>
        <v>-10.933745079140182</v>
      </c>
      <c r="F68" s="19">
        <f>[1]!crv_interpolation(F$43:F$55,$C$43:$C$55,$C68)</f>
        <v>8.5322191720088103</v>
      </c>
      <c r="G68" s="19">
        <f>[1]!crv_interpolation(G$43:G$55,$C$43:$C$55,$C68)</f>
        <v>10.541843683065384</v>
      </c>
      <c r="H68" s="19">
        <f t="shared" si="0"/>
        <v>-1.6659696443670287</v>
      </c>
      <c r="I68" s="19">
        <f t="shared" si="1"/>
        <v>17.851392418661455</v>
      </c>
      <c r="J68" s="19">
        <f t="shared" si="2"/>
        <v>-9.3324352817736536</v>
      </c>
      <c r="K68" s="12">
        <f>[1]!MF_p_pipeline_atma($D$2,20,20,$M$24:$N$25,$K$25,I68,J68,,$H$17,10)</f>
        <v>7.522684703724952</v>
      </c>
    </row>
    <row r="69" spans="3:11" x14ac:dyDescent="0.25">
      <c r="C69" s="28"/>
      <c r="D69" s="28"/>
      <c r="E69" s="28"/>
      <c r="F69" s="28"/>
      <c r="G69" s="28"/>
      <c r="H69" s="28"/>
      <c r="I69" s="28"/>
      <c r="J69" s="28"/>
      <c r="K69" s="28"/>
    </row>
  </sheetData>
  <mergeCells count="9">
    <mergeCell ref="O20:P20"/>
    <mergeCell ref="Q20:R20"/>
    <mergeCell ref="S20:T20"/>
    <mergeCell ref="M23:N23"/>
    <mergeCell ref="C10:F10"/>
    <mergeCell ref="C11:D11"/>
    <mergeCell ref="E11:F11"/>
    <mergeCell ref="C1:D1"/>
    <mergeCell ref="M20:N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2"/>
  <sheetViews>
    <sheetView topLeftCell="A2" workbookViewId="0">
      <selection activeCell="K9" sqref="K9"/>
    </sheetView>
  </sheetViews>
  <sheetFormatPr defaultRowHeight="15" x14ac:dyDescent="0.25"/>
  <cols>
    <col min="2" max="2" width="16.140625" bestFit="1" customWidth="1"/>
  </cols>
  <sheetData>
    <row r="1" spans="1:53" ht="27" customHeight="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73</v>
      </c>
      <c r="Q1" t="s">
        <v>74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s="35" t="s">
        <v>106</v>
      </c>
      <c r="AS1" s="36" t="s">
        <v>107</v>
      </c>
      <c r="AT1" s="37" t="s">
        <v>108</v>
      </c>
      <c r="AU1" s="30" t="s">
        <v>109</v>
      </c>
      <c r="AV1" s="30" t="s">
        <v>88</v>
      </c>
      <c r="AW1" s="30" t="s">
        <v>110</v>
      </c>
      <c r="AX1" s="30" t="s">
        <v>111</v>
      </c>
      <c r="AY1" s="30" t="s">
        <v>112</v>
      </c>
      <c r="AZ1" s="30" t="s">
        <v>113</v>
      </c>
      <c r="BA1" s="34" t="s">
        <v>118</v>
      </c>
    </row>
    <row r="2" spans="1:53" ht="24" x14ac:dyDescent="0.25">
      <c r="O2" t="s">
        <v>72</v>
      </c>
      <c r="P2" t="s">
        <v>75</v>
      </c>
      <c r="Q2" t="s">
        <v>75</v>
      </c>
      <c r="S2" t="s">
        <v>75</v>
      </c>
      <c r="V2" t="s">
        <v>75</v>
      </c>
      <c r="W2" t="s">
        <v>82</v>
      </c>
      <c r="X2" t="s">
        <v>75</v>
      </c>
      <c r="AA2" t="s">
        <v>97</v>
      </c>
      <c r="AB2" t="s">
        <v>97</v>
      </c>
      <c r="AC2" t="s">
        <v>98</v>
      </c>
      <c r="AD2" t="s">
        <v>72</v>
      </c>
      <c r="AG2" t="s">
        <v>99</v>
      </c>
      <c r="AH2" t="s">
        <v>99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72</v>
      </c>
      <c r="AO2" t="s">
        <v>75</v>
      </c>
      <c r="AP2" t="s">
        <v>97</v>
      </c>
      <c r="AQ2" t="s">
        <v>97</v>
      </c>
      <c r="AR2" s="39" t="s">
        <v>114</v>
      </c>
      <c r="AS2" s="40" t="s">
        <v>115</v>
      </c>
      <c r="AT2" s="41" t="s">
        <v>116</v>
      </c>
      <c r="AU2" s="31" t="s">
        <v>98</v>
      </c>
      <c r="AV2" s="31" t="s">
        <v>98</v>
      </c>
      <c r="AW2" s="31" t="s">
        <v>98</v>
      </c>
      <c r="AX2" s="31" t="s">
        <v>117</v>
      </c>
      <c r="AY2" s="31" t="s">
        <v>117</v>
      </c>
      <c r="AZ2" s="31" t="s">
        <v>117</v>
      </c>
      <c r="BA2" s="38"/>
    </row>
    <row r="3" spans="1:53" ht="15.75" thickBot="1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 s="42">
        <v>43</v>
      </c>
      <c r="AS3" s="43">
        <v>44</v>
      </c>
      <c r="AT3" s="44">
        <v>45</v>
      </c>
      <c r="AU3" s="32">
        <v>46</v>
      </c>
      <c r="AV3" s="32">
        <v>47</v>
      </c>
      <c r="AW3" s="32">
        <v>48</v>
      </c>
      <c r="AX3" s="32">
        <v>49</v>
      </c>
      <c r="AY3" s="33">
        <v>50</v>
      </c>
      <c r="AZ3" s="33">
        <v>51</v>
      </c>
      <c r="BA3" s="45">
        <v>52</v>
      </c>
    </row>
    <row r="4" spans="1:53" x14ac:dyDescent="0.25">
      <c r="A4">
        <v>5</v>
      </c>
      <c r="B4" t="e">
        <v>#REF!</v>
      </c>
      <c r="C4" t="s">
        <v>119</v>
      </c>
      <c r="D4" t="s">
        <v>120</v>
      </c>
      <c r="E4">
        <v>9999</v>
      </c>
      <c r="F4" t="e">
        <v>#N/A</v>
      </c>
      <c r="G4" t="s">
        <v>121</v>
      </c>
      <c r="H4">
        <v>5</v>
      </c>
      <c r="I4">
        <v>1</v>
      </c>
      <c r="J4">
        <v>41440</v>
      </c>
      <c r="K4" t="s">
        <v>122</v>
      </c>
      <c r="L4" t="s">
        <v>123</v>
      </c>
      <c r="M4" t="s">
        <v>124</v>
      </c>
      <c r="N4" t="s">
        <v>125</v>
      </c>
      <c r="O4">
        <v>177.8</v>
      </c>
      <c r="P4">
        <v>2780</v>
      </c>
      <c r="Q4">
        <v>2780</v>
      </c>
      <c r="R4" t="s">
        <v>130</v>
      </c>
      <c r="S4" t="s">
        <v>131</v>
      </c>
      <c r="T4" t="s">
        <v>133</v>
      </c>
      <c r="X4">
        <v>2500</v>
      </c>
      <c r="Y4" t="s">
        <v>134</v>
      </c>
      <c r="Z4" t="s">
        <v>135</v>
      </c>
      <c r="AA4">
        <v>74</v>
      </c>
      <c r="AB4">
        <v>65</v>
      </c>
      <c r="AC4">
        <v>10</v>
      </c>
      <c r="AD4">
        <v>18</v>
      </c>
      <c r="AE4" t="s">
        <v>136</v>
      </c>
      <c r="AF4" t="s">
        <v>137</v>
      </c>
      <c r="AG4">
        <v>24</v>
      </c>
      <c r="AH4">
        <v>0</v>
      </c>
      <c r="AI4">
        <v>25</v>
      </c>
      <c r="AJ4">
        <v>65</v>
      </c>
      <c r="AK4">
        <v>24</v>
      </c>
      <c r="AL4" t="e">
        <v>#N/A</v>
      </c>
      <c r="AM4">
        <v>74</v>
      </c>
      <c r="AN4">
        <v>6</v>
      </c>
      <c r="AQ4">
        <v>57</v>
      </c>
      <c r="AR4" s="47">
        <v>7.5540868040000007</v>
      </c>
      <c r="AS4" s="48">
        <v>10.97</v>
      </c>
      <c r="AT4" s="49">
        <v>17.63</v>
      </c>
      <c r="AU4" s="46">
        <v>25.4</v>
      </c>
      <c r="AV4" s="46">
        <v>10</v>
      </c>
      <c r="AW4" s="46">
        <v>15.399999999999999</v>
      </c>
      <c r="AX4" s="50">
        <v>2038.6315910277162</v>
      </c>
      <c r="AY4" s="46">
        <v>3362.4183384483117</v>
      </c>
      <c r="AZ4" s="51" t="e">
        <v>#REF!</v>
      </c>
      <c r="BA4" s="52"/>
    </row>
    <row r="5" spans="1:53" x14ac:dyDescent="0.25">
      <c r="A5">
        <v>6</v>
      </c>
      <c r="B5" t="e">
        <v>#REF!</v>
      </c>
      <c r="C5" t="s">
        <v>119</v>
      </c>
      <c r="D5" t="s">
        <v>120</v>
      </c>
      <c r="E5">
        <v>9999</v>
      </c>
      <c r="F5" t="e">
        <v>#N/A</v>
      </c>
      <c r="G5" t="s">
        <v>126</v>
      </c>
      <c r="H5">
        <v>6</v>
      </c>
      <c r="I5">
        <v>1</v>
      </c>
      <c r="J5">
        <v>39609</v>
      </c>
      <c r="K5" t="s">
        <v>122</v>
      </c>
      <c r="L5" t="s">
        <v>127</v>
      </c>
      <c r="M5" t="s">
        <v>124</v>
      </c>
      <c r="N5" t="s">
        <v>128</v>
      </c>
      <c r="O5">
        <v>139.69999999999999</v>
      </c>
      <c r="P5" t="s">
        <v>129</v>
      </c>
      <c r="Q5" s="58">
        <v>2500</v>
      </c>
      <c r="R5" t="s">
        <v>130</v>
      </c>
      <c r="S5" t="s">
        <v>132</v>
      </c>
      <c r="T5" t="s">
        <v>133</v>
      </c>
      <c r="X5">
        <v>2282</v>
      </c>
      <c r="Y5" t="s">
        <v>134</v>
      </c>
      <c r="Z5" t="s">
        <v>135</v>
      </c>
      <c r="AA5">
        <v>77</v>
      </c>
      <c r="AB5">
        <v>47</v>
      </c>
      <c r="AC5">
        <v>5</v>
      </c>
      <c r="AD5">
        <v>65</v>
      </c>
      <c r="AE5" t="s">
        <v>136</v>
      </c>
      <c r="AF5" t="s">
        <v>138</v>
      </c>
      <c r="AG5">
        <v>24</v>
      </c>
      <c r="AH5">
        <v>24</v>
      </c>
      <c r="AI5">
        <v>25</v>
      </c>
      <c r="AJ5">
        <v>47</v>
      </c>
      <c r="AK5">
        <v>24</v>
      </c>
      <c r="AL5" t="e">
        <v>#N/A</v>
      </c>
      <c r="AM5">
        <v>77</v>
      </c>
      <c r="AN5">
        <v>6</v>
      </c>
      <c r="AQ5">
        <v>58</v>
      </c>
      <c r="AR5" s="47">
        <v>6.6873312</v>
      </c>
      <c r="AS5" s="48">
        <v>8</v>
      </c>
      <c r="AT5" s="49">
        <v>0.01</v>
      </c>
      <c r="AU5" s="51">
        <v>9.5</v>
      </c>
      <c r="AV5" s="46">
        <v>5</v>
      </c>
      <c r="AW5" s="46">
        <v>4.5</v>
      </c>
      <c r="AX5" s="50">
        <v>672.91418137029018</v>
      </c>
      <c r="AY5" s="46">
        <v>1420.5966051150569</v>
      </c>
      <c r="AZ5" s="51" t="e">
        <v>#REF!</v>
      </c>
      <c r="BA5" s="52"/>
    </row>
    <row r="6" spans="1:53" ht="15.75" thickBot="1" x14ac:dyDescent="0.3">
      <c r="AR6" s="53">
        <v>14.241418004</v>
      </c>
      <c r="AS6" s="54">
        <v>18.97</v>
      </c>
      <c r="AT6" s="55">
        <v>10.199319978914074</v>
      </c>
      <c r="AU6" s="56">
        <v>34.9</v>
      </c>
      <c r="AV6" s="56">
        <v>15</v>
      </c>
      <c r="AW6" s="56">
        <v>19.899999999999999</v>
      </c>
      <c r="AX6" s="57"/>
      <c r="AY6" s="57"/>
      <c r="AZ6" s="57"/>
      <c r="BA6" s="57"/>
    </row>
    <row r="7" spans="1:53" x14ac:dyDescent="0.25">
      <c r="A7" t="s">
        <v>139</v>
      </c>
      <c r="B7">
        <v>0.2</v>
      </c>
      <c r="E7" t="str">
        <f>[1]!PVT_encode_string(,$B$11,$B$12,$B$17,$AX4,$B$10,$B$13,$B$16,$B$14,0)</f>
        <v>{"gamma_gas":0.6,"gamma_oil":0.836,"gamma_wat":1.17,"rsb_m3m3":213.8,"rp_m3m3":2038.63159102772,"pb_atma":206,"t_res_C":37,"bob_m3m3":1.449,"muob_cP":0.98,"PVTcorr":0}</v>
      </c>
      <c r="F7" t="str">
        <f>[1]!PVT_encode_string(,$B$11,$B$12,$B$17,$AX5,$B$10,$B$13,$B$16,$B$14,0)</f>
        <v>{"gamma_gas":0.6,"gamma_oil":0.836,"gamma_wat":1.17,"rsb_m3m3":213.8,"rp_m3m3":672.91418137029,"pb_atma":206,"t_res_C":37,"bob_m3m3":1.449,"muob_cP":0.98,"PVTcorr":0}</v>
      </c>
    </row>
    <row r="8" spans="1:53" x14ac:dyDescent="0.25">
      <c r="A8" t="s">
        <v>141</v>
      </c>
      <c r="B8">
        <v>130</v>
      </c>
      <c r="D8" t="s">
        <v>142</v>
      </c>
      <c r="E8" t="s">
        <v>151</v>
      </c>
      <c r="F8" t="s">
        <v>152</v>
      </c>
      <c r="G8" t="s">
        <v>153</v>
      </c>
      <c r="H8" t="s">
        <v>154</v>
      </c>
      <c r="J8" t="s">
        <v>95</v>
      </c>
      <c r="K8" t="s">
        <v>158</v>
      </c>
      <c r="L8" t="s">
        <v>159</v>
      </c>
      <c r="N8" t="s">
        <v>32</v>
      </c>
      <c r="P8" t="s">
        <v>160</v>
      </c>
    </row>
    <row r="9" spans="1:53" x14ac:dyDescent="0.25">
      <c r="A9" t="s">
        <v>140</v>
      </c>
      <c r="B9">
        <v>110</v>
      </c>
      <c r="D9">
        <v>25</v>
      </c>
      <c r="E9">
        <f>[1]!IPR_qliq_sm3day($B$7,$B$8,D9,$AT$4,$B$10)</f>
        <v>13.852993547578123</v>
      </c>
      <c r="F9">
        <f>[1]!IPR_qliq_sm3day($B$7,$B$9,D9,$AT$5,$B$10)</f>
        <v>11.161799201421417</v>
      </c>
      <c r="G9">
        <f>[1]!MF_p_pipeline_atma($D9,$B$13,32,$B$18,$O$4-2*9,$E9,$AT$4,$AW$4,$E$7,0)</f>
        <v>18.074731472076834</v>
      </c>
      <c r="H9">
        <f>[1]!MF_p_pipeline_atma($D9,$B$13,32,$B$19,$O$5-2*9,$E9,$AT$5,$AW$4,$F$7,0)</f>
        <v>17.975052858375992</v>
      </c>
      <c r="K9">
        <v>1</v>
      </c>
      <c r="L9">
        <v>8</v>
      </c>
    </row>
    <row r="10" spans="1:53" x14ac:dyDescent="0.25">
      <c r="A10" t="s">
        <v>143</v>
      </c>
      <c r="B10">
        <v>206</v>
      </c>
      <c r="D10">
        <v>30</v>
      </c>
      <c r="E10">
        <f>[1]!IPR_qliq_sm3day($B$7,$B$8,D10,$AT$4,$B$10)</f>
        <v>13.565497122414833</v>
      </c>
      <c r="F10">
        <f>[1]!IPR_qliq_sm3day($B$7,$B$9,D10,$AT$5,$B$10)</f>
        <v>10.828465659587124</v>
      </c>
      <c r="G10">
        <f>[1]!MF_p_pipeline_atma($D10,$B$13,32,$B$18,$O$4-2*9,$E10,$AT$4,$AW$4,$E$7,0)</f>
        <v>22.157988145272217</v>
      </c>
      <c r="H10">
        <f>[1]!MF_p_pipeline_atma($D10,$B$13,32,$B$19,$O$5-2*9,$E10,$AT$5,$AW$4,$F$7,0)</f>
        <v>22.072284042127112</v>
      </c>
      <c r="K10">
        <v>2</v>
      </c>
    </row>
    <row r="11" spans="1:53" x14ac:dyDescent="0.25">
      <c r="A11" t="s">
        <v>144</v>
      </c>
      <c r="B11">
        <v>0.83599999999999997</v>
      </c>
      <c r="D11">
        <v>35</v>
      </c>
      <c r="E11">
        <f>[1]!IPR_qliq_sm3day($B$7,$B$8,D11,$AT$4,$B$10)</f>
        <v>13.235402082492641</v>
      </c>
      <c r="F11">
        <f>[1]!IPR_qliq_sm3day($B$7,$B$9,D11,$AT$5,$B$10)</f>
        <v>10.454724582397848</v>
      </c>
      <c r="G11">
        <f>[1]!MF_p_pipeline_atma($D11,$B$13,32,$B$18,$O$4-2*9,$E11,$AT$4,$AW$4,$E$7,0)</f>
        <v>26.276785885532885</v>
      </c>
      <c r="H11">
        <f>[1]!MF_p_pipeline_atma($D11,$B$13,32,$B$19,$O$5-2*9,$E11,$AT$5,$AW$4,$F$7,0)</f>
        <v>26.20934654358415</v>
      </c>
      <c r="K11">
        <v>3</v>
      </c>
    </row>
    <row r="12" spans="1:53" x14ac:dyDescent="0.25">
      <c r="A12" t="s">
        <v>145</v>
      </c>
      <c r="B12">
        <v>1.17</v>
      </c>
      <c r="D12">
        <v>40</v>
      </c>
      <c r="E12">
        <f>[1]!IPR_qliq_sm3day($B$7,$B$8,D12,$AT$4,$B$10)</f>
        <v>12.863703718447921</v>
      </c>
      <c r="F12">
        <f>[1]!IPR_qliq_sm3day($B$7,$B$9,D12,$AT$5,$B$10)</f>
        <v>10.04057596985359</v>
      </c>
      <c r="G12">
        <f>[1]!MF_p_pipeline_atma($D12,$B$13,32,$B$18,$O$4-2*9,$E12,$AT$4,$AW$4,$E$7,0)</f>
        <v>30.421024525555836</v>
      </c>
      <c r="H12">
        <f>[1]!MF_p_pipeline_atma($D12,$B$13,32,$B$19,$O$5-2*9,$E12,$AT$5,$AW$4,$F$7,0)</f>
        <v>30.375921241144948</v>
      </c>
      <c r="K12">
        <v>4</v>
      </c>
      <c r="L12">
        <v>23123</v>
      </c>
    </row>
    <row r="13" spans="1:53" x14ac:dyDescent="0.25">
      <c r="A13" t="s">
        <v>146</v>
      </c>
      <c r="B13">
        <v>37</v>
      </c>
      <c r="D13">
        <v>50</v>
      </c>
      <c r="E13">
        <f>[1]!IPR_qliq_sm3day($B$7,$B$8,D13,$AT$4,$B$10)</f>
        <v>11.999289378616396</v>
      </c>
      <c r="F13">
        <f>[1]!IPR_qliq_sm3day($B$7,$B$9,D13,$AT$5,$B$10)</f>
        <v>9.0910591606778279</v>
      </c>
      <c r="G13">
        <f>[1]!MF_p_pipeline_atma($D13,$B$13,32,$B$18,$O$4-2*9,$E13,$AT$4,$AW$4,$E$7,0)</f>
        <v>38.758554396190874</v>
      </c>
      <c r="H13">
        <f>[1]!MF_p_pipeline_atma($D13,$B$13,32,$B$19,$O$5-2*9,$E13,$AT$5,$AW$4,$F$7,0)</f>
        <v>38.770409151980395</v>
      </c>
      <c r="K13">
        <v>5</v>
      </c>
      <c r="L13">
        <v>12</v>
      </c>
    </row>
    <row r="14" spans="1:53" x14ac:dyDescent="0.25">
      <c r="A14" t="s">
        <v>147</v>
      </c>
      <c r="B14">
        <v>0.98</v>
      </c>
      <c r="D14">
        <v>60</v>
      </c>
      <c r="E14">
        <f>[1]!IPR_qliq_sm3day($B$7,$B$8,D14,$AT$4,$B$10)</f>
        <v>10.979488535046693</v>
      </c>
      <c r="F14">
        <f>[1]!IPR_qliq_sm3day($B$7,$B$9,D14,$AT$5,$B$10)</f>
        <v>7.9799182540375329</v>
      </c>
      <c r="G14">
        <f>[1]!MF_p_pipeline_atma($D14,$B$13,32,$B$18,$O$4-2*9,$E14,$AT$4,$AW$4,$E$7,0)</f>
        <v>47.130027555442915</v>
      </c>
      <c r="H14">
        <f>[1]!MF_p_pipeline_atma($D14,$B$13,32,$B$19,$O$5-2*9,$E14,$AT$5,$AW$4,$F$7,0)</f>
        <v>47.216292156130237</v>
      </c>
      <c r="K14">
        <v>6</v>
      </c>
    </row>
    <row r="15" spans="1:53" x14ac:dyDescent="0.25">
      <c r="A15" t="s">
        <v>148</v>
      </c>
      <c r="B15">
        <v>1.66</v>
      </c>
      <c r="D15">
        <v>70</v>
      </c>
      <c r="E15">
        <f>[1]!IPR_qliq_sm3day($B$7,$B$8,D15,$AT$4,$B$10)</f>
        <v>9.8110146250908272</v>
      </c>
      <c r="F15">
        <f>[1]!IPR_qliq_sm3day($B$7,$B$9,D15,$AT$5,$B$10)</f>
        <v>6.707158286562203</v>
      </c>
      <c r="G15">
        <f>[1]!MF_p_pipeline_atma($D15,$B$13,32,$B$18,$O$4-2*9,$E15,$AT$4,$AW$4,$E$7,0)</f>
        <v>55.506925487800807</v>
      </c>
      <c r="H15">
        <f>[1]!MF_p_pipeline_atma($D15,$B$13,32,$B$19,$O$5-2*9,$E15,$AT$5,$AW$4,$F$7,0)</f>
        <v>55.686903522456149</v>
      </c>
      <c r="K15">
        <v>7</v>
      </c>
      <c r="L15">
        <v>123</v>
      </c>
    </row>
    <row r="16" spans="1:53" x14ac:dyDescent="0.25">
      <c r="A16" t="s">
        <v>149</v>
      </c>
      <c r="B16">
        <v>1.4490000000000001</v>
      </c>
      <c r="D16">
        <v>80</v>
      </c>
      <c r="E16">
        <f>[1]!IPR_qliq_sm3day($B$7,$B$8,D16,$AT$4,$B$10)</f>
        <v>8.5001111534895415</v>
      </c>
      <c r="F16">
        <f>[1]!IPR_qliq_sm3day($B$7,$B$9,D16,$AT$5,$B$10)</f>
        <v>5.2727822802295377</v>
      </c>
      <c r="G16">
        <f>[1]!MF_p_pipeline_atma($D16,$B$13,32,$B$18,$O$4-2*9,$E16,$AT$4,$AW$4,$E$7,0)</f>
        <v>63.862226082235772</v>
      </c>
      <c r="H16">
        <f>[1]!MF_p_pipeline_atma($D16,$B$13,32,$B$19,$O$5-2*9,$E16,$AT$5,$AW$4,$F$7,0)</f>
        <v>64.175834543209007</v>
      </c>
      <c r="K16">
        <v>8</v>
      </c>
      <c r="L16">
        <v>12</v>
      </c>
    </row>
    <row r="17" spans="1:11" x14ac:dyDescent="0.25">
      <c r="A17" t="s">
        <v>150</v>
      </c>
      <c r="B17">
        <v>213.8</v>
      </c>
      <c r="D17">
        <v>90</v>
      </c>
      <c r="E17">
        <f>[1]!IPR_qliq_sm3day($B$7,$B$8,D17,$AT$4,$B$10)</f>
        <v>7.0525964948067106</v>
      </c>
      <c r="F17">
        <f>[1]!IPR_qliq_sm3day($B$7,$B$9,D17,$AT$5,$B$10)</f>
        <v>3.6767946001184333</v>
      </c>
      <c r="G17">
        <f>[1]!MF_p_pipeline_atma($D17,$B$13,32,$B$18,$O$4-2*9,$E17,$AT$4,$AW$4,$E$7,0)</f>
        <v>72.159627578737613</v>
      </c>
      <c r="H17">
        <f>[1]!MF_p_pipeline_atma($D17,$B$13,32,$B$19,$O$5-2*9,$E17,$AT$5,$AW$4,$F$7,0)</f>
        <v>73.511961366719831</v>
      </c>
      <c r="K17">
        <v>9</v>
      </c>
    </row>
    <row r="18" spans="1:11" x14ac:dyDescent="0.25">
      <c r="A18" t="s">
        <v>155</v>
      </c>
      <c r="B18">
        <f>Q4-X4</f>
        <v>280</v>
      </c>
      <c r="D18">
        <v>100</v>
      </c>
      <c r="E18">
        <f>[1]!IPR_qliq_sm3day($B$7,$B$8,D18,$AT$4,$B$10)</f>
        <v>5.4739033492516622</v>
      </c>
      <c r="F18">
        <f>[1]!IPR_qliq_sm3day($B$7,$B$9,D18,$AT$5,$B$10)</f>
        <v>1.9191992755324883</v>
      </c>
      <c r="G18">
        <f>[1]!MF_p_pipeline_atma($D18,$B$13,32,$B$18,$O$4-2*9,$E18,$AT$4,$AW$4,$E$7,0)</f>
        <v>80.333839748709551</v>
      </c>
      <c r="H18">
        <f>[1]!MF_p_pipeline_atma($D18,$B$13,32,$B$19,$O$5-2*9,$E18,$AT$5,$AW$4,$F$7,0)</f>
        <v>83.667855309071641</v>
      </c>
      <c r="K18">
        <v>10</v>
      </c>
    </row>
    <row r="19" spans="1:11" x14ac:dyDescent="0.25">
      <c r="A19" t="s">
        <v>156</v>
      </c>
      <c r="B19">
        <f>Q5-X5</f>
        <v>218</v>
      </c>
      <c r="D19">
        <v>110</v>
      </c>
      <c r="E19">
        <f>[1]!IPR_qliq_sm3day($B$7,$B$8,D19,$AT$4,$B$10)</f>
        <v>3.7691136116485828</v>
      </c>
      <c r="F19">
        <f>[1]!IPR_qliq_sm3day($B$7,$B$9,D19,$AT$5,$B$10)</f>
        <v>0</v>
      </c>
      <c r="G19">
        <f>[1]!MF_p_pipeline_atma($D19,$B$13,32,$B$18,$O$4-2*9,$E19,$AT$4,$AW$4,$E$7,0)</f>
        <v>88.279877551488454</v>
      </c>
      <c r="H19">
        <f>[1]!MF_p_pipeline_atma($D19,$B$13,32,$B$19,$O$5-2*9,$E19,$AT$5,$AW$4,$F$7,0)</f>
        <v>93.82956194950728</v>
      </c>
      <c r="K19">
        <v>11</v>
      </c>
    </row>
    <row r="20" spans="1:11" x14ac:dyDescent="0.25">
      <c r="A20" t="s">
        <v>157</v>
      </c>
      <c r="B20">
        <v>6</v>
      </c>
      <c r="D20">
        <v>120</v>
      </c>
      <c r="E20">
        <f>[1]!IPR_qliq_sm3day($B$7,$B$8,D20,$AT$4,$B$10)</f>
        <v>1.942989288921992</v>
      </c>
      <c r="F20">
        <f>[1]!IPR_qliq_sm3day($B$7,$B$9,D20,$AT$5,$B$10)</f>
        <v>0</v>
      </c>
      <c r="G20">
        <f>[1]!MF_p_pipeline_atma($D20,$B$13,32,$B$18,$O$4-2*9,$E20,$AT$4,$AW$4,$E$7,0)</f>
        <v>97.44927006589333</v>
      </c>
      <c r="H20">
        <f>[1]!MF_p_pipeline_atma($D20,$B$13,32,$B$19,$O$5-2*9,$E20,$AT$5,$AW$4,$F$7,0)</f>
        <v>103.99341578188044</v>
      </c>
      <c r="K20">
        <v>12</v>
      </c>
    </row>
    <row r="21" spans="1:11" x14ac:dyDescent="0.25">
      <c r="D21">
        <v>130</v>
      </c>
      <c r="E21">
        <f>[1]!IPR_qliq_sm3day($B$7,$B$8,D21,$AT$4,$B$10)</f>
        <v>0</v>
      </c>
      <c r="F21">
        <f>[1]!IPR_qliq_sm3day($B$7,$B$9,D21,$AT$5,$B$10)</f>
        <v>0</v>
      </c>
      <c r="G21">
        <f>[1]!MF_p_pipeline_atma($D21,$B$13,32,$B$18,$O$4-2*9,$E21,$AT$4,$AW$4,$E$7,0)</f>
        <v>107.62262608638346</v>
      </c>
      <c r="H21">
        <f>[1]!MF_p_pipeline_atma($D21,$B$13,32,$B$19,$O$5-2*9,$E21,$AT$5,$AW$4,$F$7,0)</f>
        <v>114.15870289415895</v>
      </c>
      <c r="K21">
        <v>13</v>
      </c>
    </row>
    <row r="22" spans="1:11" x14ac:dyDescent="0.25">
      <c r="K2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Афанасьев</dc:creator>
  <cp:lastModifiedBy>Alexey</cp:lastModifiedBy>
  <dcterms:created xsi:type="dcterms:W3CDTF">2021-03-29T08:27:47Z</dcterms:created>
  <dcterms:modified xsi:type="dcterms:W3CDTF">2021-05-07T09:44:12Z</dcterms:modified>
</cp:coreProperties>
</file>