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8A513F58-5A69-4AB4-A5F8-00C8282D74F8}" xr6:coauthVersionLast="47" xr6:coauthVersionMax="47" xr10:uidLastSave="{00000000-0000-0000-0000-000000000000}"/>
  <bookViews>
    <workbookView xWindow="-103" yWindow="-103" windowWidth="22149" windowHeight="13200" xr2:uid="{7F603498-48FA-40A8-AB9B-D5E4C9CE020B}"/>
  </bookViews>
  <sheets>
    <sheet name="Клапана" sheetId="2" r:id="rId1"/>
  </sheets>
  <externalReferences>
    <externalReference r:id="rId2"/>
  </externalReferences>
  <definedNames>
    <definedName name="solver_adj" localSheetId="0" hidden="1">Клапана!$C$16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Клапана!$J$19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2" l="1"/>
  <c r="I24" i="2" s="1"/>
  <c r="C16" i="2"/>
  <c r="C17" i="2" s="1"/>
  <c r="AB7" i="2"/>
  <c r="AC7" i="2" s="1"/>
  <c r="AD7" i="2" s="1"/>
  <c r="W7" i="2"/>
  <c r="AB6" i="2"/>
  <c r="W6" i="2"/>
  <c r="AB5" i="2"/>
  <c r="AC5" i="2" s="1"/>
  <c r="AD5" i="2" s="1"/>
  <c r="W5" i="2"/>
  <c r="AC4" i="2"/>
  <c r="AD4" i="2" s="1"/>
  <c r="AB4" i="2"/>
  <c r="W4" i="2"/>
  <c r="AB3" i="2"/>
  <c r="W3" i="2"/>
  <c r="L23" i="2"/>
  <c r="J23" i="2"/>
  <c r="C29" i="2" a="1"/>
  <c r="G1" i="2" a="1"/>
  <c r="K23" i="2"/>
  <c r="D40" i="2"/>
  <c r="J24" i="2"/>
  <c r="L24" i="2"/>
  <c r="K24" i="2"/>
  <c r="C38" i="2"/>
  <c r="D39" i="2"/>
  <c r="D32" i="2" l="1"/>
  <c r="C31" i="2"/>
  <c r="D35" i="2"/>
  <c r="C29" i="2"/>
  <c r="C33" i="2"/>
  <c r="D29" i="2"/>
  <c r="D33" i="2"/>
  <c r="C30" i="2"/>
  <c r="C34" i="2"/>
  <c r="D30" i="2"/>
  <c r="D34" i="2"/>
  <c r="C35" i="2"/>
  <c r="D31" i="2"/>
  <c r="C32" i="2"/>
  <c r="G1" i="2"/>
  <c r="AC6" i="2"/>
  <c r="AD6" i="2" s="1"/>
  <c r="C13" i="2"/>
  <c r="AC3" i="2"/>
  <c r="AD3" i="2" s="1"/>
  <c r="C39" i="2"/>
  <c r="I25" i="2"/>
  <c r="C8" i="2"/>
  <c r="C12" i="2"/>
  <c r="K25" i="2"/>
  <c r="J25" i="2"/>
  <c r="L25" i="2"/>
  <c r="C21" i="2" a="1"/>
  <c r="C25" i="2" l="1"/>
  <c r="D25" i="2"/>
  <c r="C26" i="2"/>
  <c r="D26" i="2"/>
  <c r="C21" i="2"/>
  <c r="C27" i="2"/>
  <c r="C22" i="2"/>
  <c r="D21" i="2"/>
  <c r="D27" i="2"/>
  <c r="D22" i="2"/>
  <c r="C23" i="2"/>
  <c r="D23" i="2"/>
  <c r="C24" i="2"/>
  <c r="D24" i="2"/>
  <c r="C40" i="2"/>
  <c r="M24" i="2" s="1"/>
  <c r="C42" i="2"/>
  <c r="N24" i="2"/>
  <c r="N23" i="2"/>
  <c r="N25" i="2"/>
  <c r="I26" i="2"/>
  <c r="J26" i="2"/>
  <c r="K26" i="2"/>
  <c r="L26" i="2"/>
  <c r="C41" i="2" l="1"/>
  <c r="M23" i="2"/>
  <c r="M25" i="2"/>
  <c r="I27" i="2"/>
  <c r="N26" i="2"/>
  <c r="M26" i="2"/>
  <c r="L27" i="2"/>
  <c r="K27" i="2"/>
  <c r="J27" i="2"/>
  <c r="I28" i="2" l="1"/>
  <c r="N27" i="2"/>
  <c r="M27" i="2"/>
  <c r="K28" i="2"/>
  <c r="L28" i="2"/>
  <c r="J28" i="2"/>
  <c r="I29" i="2" l="1"/>
  <c r="N28" i="2"/>
  <c r="M28" i="2"/>
  <c r="L29" i="2"/>
  <c r="J29" i="2"/>
  <c r="K29" i="2"/>
  <c r="I30" i="2" l="1"/>
  <c r="N29" i="2"/>
  <c r="M29" i="2"/>
  <c r="K30" i="2"/>
  <c r="L30" i="2"/>
  <c r="J30" i="2"/>
  <c r="I31" i="2" l="1"/>
  <c r="N30" i="2"/>
  <c r="M30" i="2"/>
  <c r="K31" i="2"/>
  <c r="J31" i="2"/>
  <c r="L31" i="2"/>
  <c r="I32" i="2" l="1"/>
  <c r="N31" i="2"/>
  <c r="M31" i="2"/>
  <c r="K32" i="2"/>
  <c r="J32" i="2"/>
  <c r="L32" i="2"/>
  <c r="I33" i="2" l="1"/>
  <c r="N32" i="2"/>
  <c r="M32" i="2"/>
  <c r="L33" i="2"/>
  <c r="K33" i="2"/>
  <c r="J33" i="2"/>
  <c r="I34" i="2" l="1"/>
  <c r="N33" i="2"/>
  <c r="M33" i="2"/>
  <c r="J34" i="2"/>
  <c r="K34" i="2"/>
  <c r="L34" i="2"/>
  <c r="I35" i="2" l="1"/>
  <c r="N34" i="2"/>
  <c r="M34" i="2"/>
  <c r="K35" i="2"/>
  <c r="L35" i="2"/>
  <c r="J35" i="2"/>
  <c r="I36" i="2" l="1"/>
  <c r="N35" i="2"/>
  <c r="M35" i="2"/>
  <c r="L36" i="2"/>
  <c r="J36" i="2"/>
  <c r="K36" i="2"/>
  <c r="I37" i="2" l="1"/>
  <c r="N36" i="2"/>
  <c r="M36" i="2"/>
  <c r="J37" i="2"/>
  <c r="L37" i="2"/>
  <c r="K37" i="2"/>
  <c r="I38" i="2" l="1"/>
  <c r="N37" i="2"/>
  <c r="M37" i="2"/>
  <c r="J38" i="2"/>
  <c r="K38" i="2"/>
  <c r="L38" i="2"/>
  <c r="I39" i="2" l="1"/>
  <c r="N38" i="2"/>
  <c r="M38" i="2"/>
  <c r="J39" i="2"/>
  <c r="L39" i="2"/>
  <c r="K39" i="2"/>
  <c r="N39" i="2" l="1"/>
  <c r="M39" i="2"/>
  <c r="I40" i="2"/>
  <c r="K40" i="2"/>
  <c r="J40" i="2"/>
  <c r="L40" i="2"/>
  <c r="I41" i="2" l="1"/>
  <c r="M40" i="2"/>
  <c r="N40" i="2"/>
  <c r="L41" i="2"/>
  <c r="J41" i="2"/>
  <c r="K41" i="2"/>
  <c r="M41" i="2" l="1"/>
  <c r="N41" i="2"/>
  <c r="I42" i="2"/>
  <c r="K42" i="2"/>
  <c r="J42" i="2"/>
  <c r="L42" i="2"/>
  <c r="N42" i="2" l="1"/>
  <c r="M42" i="2"/>
  <c r="I43" i="2"/>
  <c r="L43" i="2"/>
  <c r="K43" i="2"/>
  <c r="J43" i="2"/>
  <c r="I44" i="2" l="1"/>
  <c r="N43" i="2"/>
  <c r="M43" i="2"/>
  <c r="J44" i="2"/>
  <c r="L44" i="2"/>
  <c r="K44" i="2"/>
  <c r="I45" i="2" l="1"/>
  <c r="N44" i="2"/>
  <c r="M44" i="2"/>
  <c r="L45" i="2"/>
  <c r="K45" i="2"/>
  <c r="J45" i="2"/>
  <c r="I46" i="2" l="1"/>
  <c r="N45" i="2"/>
  <c r="M45" i="2"/>
  <c r="J46" i="2"/>
  <c r="K46" i="2"/>
  <c r="L46" i="2"/>
  <c r="I47" i="2" l="1"/>
  <c r="N46" i="2"/>
  <c r="M46" i="2"/>
  <c r="L47" i="2"/>
  <c r="K47" i="2"/>
  <c r="J47" i="2"/>
  <c r="I48" i="2" l="1"/>
  <c r="N47" i="2"/>
  <c r="M47" i="2"/>
  <c r="L48" i="2"/>
  <c r="K48" i="2"/>
  <c r="J48" i="2"/>
  <c r="I49" i="2" l="1"/>
  <c r="N48" i="2"/>
  <c r="M48" i="2"/>
  <c r="L49" i="2"/>
  <c r="K49" i="2"/>
  <c r="J49" i="2"/>
  <c r="I50" i="2" l="1"/>
  <c r="N49" i="2"/>
  <c r="M49" i="2"/>
  <c r="L50" i="2"/>
  <c r="J50" i="2"/>
  <c r="K50" i="2"/>
  <c r="M50" i="2" l="1"/>
  <c r="I51" i="2"/>
  <c r="N50" i="2"/>
  <c r="L51" i="2"/>
  <c r="J51" i="2"/>
  <c r="K51" i="2"/>
  <c r="M51" i="2" l="1"/>
  <c r="I52" i="2"/>
  <c r="N51" i="2"/>
  <c r="L52" i="2"/>
  <c r="J52" i="2"/>
  <c r="K52" i="2"/>
  <c r="N52" i="2" l="1"/>
  <c r="M52" i="2"/>
  <c r="I53" i="2"/>
  <c r="K53" i="2"/>
  <c r="J53" i="2"/>
  <c r="L53" i="2"/>
  <c r="I54" i="2" l="1"/>
  <c r="M53" i="2"/>
  <c r="N53" i="2"/>
  <c r="K54" i="2"/>
  <c r="J54" i="2"/>
  <c r="L54" i="2"/>
  <c r="N54" i="2" l="1"/>
  <c r="M54" i="2"/>
  <c r="I55" i="2"/>
  <c r="K55" i="2"/>
  <c r="J55" i="2"/>
  <c r="L55" i="2"/>
  <c r="I56" i="2" l="1"/>
  <c r="N55" i="2"/>
  <c r="M55" i="2"/>
  <c r="L56" i="2"/>
  <c r="J56" i="2"/>
  <c r="K56" i="2"/>
  <c r="I57" i="2" l="1"/>
  <c r="N56" i="2"/>
  <c r="M56" i="2"/>
  <c r="L57" i="2"/>
  <c r="J57" i="2"/>
  <c r="K57" i="2"/>
  <c r="I58" i="2" l="1"/>
  <c r="N57" i="2"/>
  <c r="M57" i="2"/>
  <c r="J58" i="2"/>
  <c r="L58" i="2"/>
  <c r="K58" i="2"/>
  <c r="I59" i="2" l="1"/>
  <c r="N58" i="2"/>
  <c r="M58" i="2"/>
  <c r="K59" i="2"/>
  <c r="J59" i="2"/>
  <c r="L59" i="2"/>
  <c r="I60" i="2" l="1"/>
  <c r="N59" i="2"/>
  <c r="M59" i="2"/>
  <c r="K60" i="2"/>
  <c r="L60" i="2"/>
  <c r="J60" i="2"/>
  <c r="I61" i="2" l="1"/>
  <c r="N60" i="2"/>
  <c r="M60" i="2"/>
  <c r="L61" i="2"/>
  <c r="K61" i="2"/>
  <c r="J61" i="2"/>
  <c r="I62" i="2" l="1"/>
  <c r="N61" i="2"/>
  <c r="M61" i="2"/>
  <c r="K62" i="2"/>
  <c r="J62" i="2"/>
  <c r="L62" i="2"/>
  <c r="I63" i="2" l="1"/>
  <c r="N62" i="2"/>
  <c r="M62" i="2"/>
  <c r="J63" i="2"/>
  <c r="L63" i="2"/>
  <c r="K63" i="2"/>
  <c r="M63" i="2" l="1"/>
  <c r="N63" i="2"/>
  <c r="I64" i="2"/>
  <c r="J64" i="2"/>
  <c r="L64" i="2"/>
  <c r="K64" i="2"/>
  <c r="N64" i="2" l="1"/>
  <c r="I65" i="2"/>
  <c r="M64" i="2"/>
  <c r="J65" i="2"/>
  <c r="K65" i="2"/>
  <c r="L65" i="2"/>
  <c r="I66" i="2" l="1"/>
  <c r="M65" i="2"/>
  <c r="N65" i="2"/>
  <c r="K66" i="2"/>
  <c r="L66" i="2"/>
  <c r="J66" i="2"/>
  <c r="N66" i="2" l="1"/>
  <c r="M66" i="2"/>
  <c r="I67" i="2"/>
  <c r="J67" i="2"/>
  <c r="K67" i="2"/>
  <c r="L67" i="2"/>
  <c r="I68" i="2" l="1"/>
  <c r="N67" i="2"/>
  <c r="M67" i="2"/>
  <c r="K68" i="2"/>
  <c r="J68" i="2"/>
  <c r="L68" i="2"/>
  <c r="I69" i="2" l="1"/>
  <c r="N68" i="2"/>
  <c r="M68" i="2"/>
  <c r="J69" i="2"/>
  <c r="K69" i="2"/>
  <c r="L69" i="2"/>
  <c r="I70" i="2" l="1"/>
  <c r="N69" i="2"/>
  <c r="M69" i="2"/>
  <c r="L70" i="2"/>
  <c r="K70" i="2"/>
  <c r="J70" i="2"/>
  <c r="I71" i="2" l="1"/>
  <c r="N70" i="2"/>
  <c r="M70" i="2"/>
  <c r="L71" i="2"/>
  <c r="K71" i="2"/>
  <c r="J71" i="2"/>
  <c r="I72" i="2" l="1"/>
  <c r="N71" i="2"/>
  <c r="M71" i="2"/>
  <c r="K72" i="2"/>
  <c r="L72" i="2"/>
  <c r="J72" i="2"/>
  <c r="I73" i="2" l="1"/>
  <c r="N72" i="2"/>
  <c r="M72" i="2"/>
  <c r="K73" i="2"/>
  <c r="J73" i="2"/>
  <c r="L73" i="2"/>
  <c r="I74" i="2" l="1"/>
  <c r="N73" i="2"/>
  <c r="M73" i="2"/>
  <c r="J74" i="2"/>
  <c r="K74" i="2"/>
  <c r="L74" i="2"/>
  <c r="M74" i="2" l="1"/>
  <c r="I75" i="2"/>
  <c r="N74" i="2"/>
  <c r="K75" i="2"/>
  <c r="J75" i="2"/>
  <c r="L75" i="2"/>
  <c r="M75" i="2" l="1"/>
  <c r="I76" i="2"/>
  <c r="N75" i="2"/>
  <c r="L76" i="2"/>
  <c r="K76" i="2"/>
  <c r="J76" i="2"/>
  <c r="N76" i="2" l="1"/>
  <c r="M76" i="2"/>
  <c r="I77" i="2"/>
  <c r="J77" i="2"/>
  <c r="K77" i="2"/>
  <c r="L77" i="2"/>
  <c r="I78" i="2" l="1"/>
  <c r="M77" i="2"/>
  <c r="N77" i="2"/>
  <c r="J78" i="2"/>
  <c r="K78" i="2"/>
  <c r="L78" i="2"/>
  <c r="N78" i="2" l="1"/>
  <c r="I79" i="2"/>
  <c r="M78" i="2"/>
  <c r="L79" i="2"/>
  <c r="J79" i="2"/>
  <c r="K79" i="2"/>
  <c r="I80" i="2" l="1"/>
  <c r="N79" i="2"/>
  <c r="M79" i="2"/>
  <c r="J80" i="2"/>
  <c r="L80" i="2"/>
  <c r="K80" i="2"/>
  <c r="I81" i="2" l="1"/>
  <c r="N80" i="2"/>
  <c r="M80" i="2"/>
  <c r="L81" i="2"/>
  <c r="K81" i="2"/>
  <c r="J81" i="2"/>
  <c r="I82" i="2" l="1"/>
  <c r="N81" i="2"/>
  <c r="M81" i="2"/>
  <c r="K82" i="2"/>
  <c r="J82" i="2"/>
  <c r="L82" i="2"/>
  <c r="I83" i="2" l="1"/>
  <c r="N82" i="2"/>
  <c r="M82" i="2"/>
  <c r="L83" i="2"/>
  <c r="K83" i="2"/>
  <c r="J83" i="2"/>
  <c r="I84" i="2" l="1"/>
  <c r="N83" i="2"/>
  <c r="M83" i="2"/>
  <c r="K84" i="2"/>
  <c r="J84" i="2"/>
  <c r="L84" i="2"/>
  <c r="I85" i="2" l="1"/>
  <c r="N84" i="2"/>
  <c r="M84" i="2"/>
  <c r="K85" i="2"/>
  <c r="J85" i="2"/>
  <c r="L85" i="2"/>
  <c r="I86" i="2" l="1"/>
  <c r="N85" i="2"/>
  <c r="M85" i="2"/>
  <c r="K86" i="2"/>
  <c r="J86" i="2"/>
  <c r="L86" i="2"/>
  <c r="M86" i="2" l="1"/>
  <c r="I87" i="2"/>
  <c r="N86" i="2"/>
  <c r="J87" i="2"/>
  <c r="L87" i="2"/>
  <c r="K87" i="2"/>
  <c r="M87" i="2" l="1"/>
  <c r="I88" i="2"/>
  <c r="N87" i="2"/>
  <c r="K88" i="2"/>
  <c r="J88" i="2"/>
  <c r="L88" i="2"/>
  <c r="N88" i="2" l="1"/>
  <c r="M88" i="2"/>
  <c r="I89" i="2"/>
  <c r="J89" i="2"/>
  <c r="L89" i="2"/>
  <c r="K89" i="2"/>
  <c r="I90" i="2" l="1"/>
  <c r="M89" i="2"/>
  <c r="N89" i="2"/>
  <c r="J90" i="2"/>
  <c r="K90" i="2"/>
  <c r="L90" i="2"/>
  <c r="N90" i="2" l="1"/>
  <c r="M90" i="2"/>
  <c r="I91" i="2"/>
  <c r="K91" i="2"/>
  <c r="L91" i="2"/>
  <c r="J91" i="2"/>
  <c r="I92" i="2" l="1"/>
  <c r="N91" i="2"/>
  <c r="M91" i="2"/>
  <c r="K92" i="2"/>
  <c r="J92" i="2"/>
  <c r="L92" i="2"/>
  <c r="I93" i="2" l="1"/>
  <c r="N92" i="2"/>
  <c r="M92" i="2"/>
  <c r="L93" i="2"/>
  <c r="K93" i="2"/>
  <c r="J93" i="2"/>
  <c r="I94" i="2" l="1"/>
  <c r="N93" i="2"/>
  <c r="M93" i="2"/>
  <c r="K94" i="2"/>
  <c r="L94" i="2"/>
  <c r="J94" i="2"/>
  <c r="I95" i="2" l="1"/>
  <c r="N94" i="2"/>
  <c r="M94" i="2"/>
  <c r="L95" i="2"/>
  <c r="J95" i="2"/>
  <c r="K95" i="2"/>
  <c r="I96" i="2" l="1"/>
  <c r="N95" i="2"/>
  <c r="M95" i="2"/>
  <c r="K96" i="2"/>
  <c r="L96" i="2"/>
  <c r="J96" i="2"/>
  <c r="I97" i="2" l="1"/>
  <c r="N96" i="2"/>
  <c r="M96" i="2"/>
  <c r="K97" i="2"/>
  <c r="J97" i="2"/>
  <c r="L97" i="2"/>
  <c r="I98" i="2" l="1"/>
  <c r="N97" i="2"/>
  <c r="M97" i="2"/>
  <c r="L98" i="2"/>
  <c r="J98" i="2"/>
  <c r="K98" i="2"/>
  <c r="M98" i="2" l="1"/>
  <c r="I99" i="2"/>
  <c r="N98" i="2"/>
  <c r="L99" i="2"/>
  <c r="K99" i="2"/>
  <c r="J99" i="2"/>
  <c r="M99" i="2" l="1"/>
  <c r="N9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<sst xmlns="http://schemas.openxmlformats.org/spreadsheetml/2006/main" count="64" uniqueCount="45">
  <si>
    <t>Клапан</t>
  </si>
  <si>
    <t>Название</t>
  </si>
  <si>
    <t>Порт</t>
  </si>
  <si>
    <t>Внешний диаметр</t>
  </si>
  <si>
    <t>Площадь сильфорна эфф
Ab</t>
  </si>
  <si>
    <t xml:space="preserve">Порт </t>
  </si>
  <si>
    <t>Площадь порта
Ap</t>
  </si>
  <si>
    <t>Ap/Ab</t>
  </si>
  <si>
    <t>1-Ap/Ab</t>
  </si>
  <si>
    <t>PPEF</t>
  </si>
  <si>
    <t>мм</t>
  </si>
  <si>
    <t>мм2</t>
  </si>
  <si>
    <t xml:space="preserve">Wheatherford  </t>
  </si>
  <si>
    <t>R-1</t>
  </si>
  <si>
    <t>Параметры клапана</t>
  </si>
  <si>
    <t>Тип клапана</t>
  </si>
  <si>
    <t>IPO</t>
  </si>
  <si>
    <t>Производитель</t>
  </si>
  <si>
    <t>Wheatherford</t>
  </si>
  <si>
    <t>Название клапана</t>
  </si>
  <si>
    <t>Диаметр клапана (внешний)</t>
  </si>
  <si>
    <t>R-1 port 5/16</t>
  </si>
  <si>
    <t>Диаметр порта</t>
  </si>
  <si>
    <t>R</t>
  </si>
  <si>
    <t>Диаметр вкрутки 1</t>
  </si>
  <si>
    <t>Диаметр вкрутки 2</t>
  </si>
  <si>
    <t xml:space="preserve">Эффективный диаметр </t>
  </si>
  <si>
    <t>Давление на входе</t>
  </si>
  <si>
    <t>атм</t>
  </si>
  <si>
    <t>Давление после порта</t>
  </si>
  <si>
    <t>Давление на выходе</t>
  </si>
  <si>
    <t>Расход газа</t>
  </si>
  <si>
    <t>Плотность газа, уд</t>
  </si>
  <si>
    <t>Температура газа</t>
  </si>
  <si>
    <t>С</t>
  </si>
  <si>
    <t>Давление зарядки на стенде</t>
  </si>
  <si>
    <t>Давление в сильфоне</t>
  </si>
  <si>
    <t>Давление закрытия клапана</t>
  </si>
  <si>
    <t>Давление открытия клапана</t>
  </si>
  <si>
    <t>Состояние клапана</t>
  </si>
  <si>
    <t>Максимальное давление открытия</t>
  </si>
  <si>
    <t>Упражнения по работе с макросами Unifloc VBA</t>
  </si>
  <si>
    <t>версия</t>
  </si>
  <si>
    <t>Расчет параметров  газлифтных клапанов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</si>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</sst>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_-* #,##0.00_€_-;\-* #,##0.00_€_-;_-* &quot;-&quot;??_€_-;_-@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1" fillId="0" borderId="0" xfId="1" applyNumberFormat="1"/>
    <xf numFmtId="0" fontId="2" fillId="2" borderId="4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11" xfId="2" applyNumberFormat="1" applyFont="1" applyFill="1" applyBorder="1" applyAlignment="1" applyProtection="1">
      <alignment horizontal="center"/>
      <protection locked="0"/>
    </xf>
    <xf numFmtId="1" fontId="0" fillId="4" borderId="12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center"/>
      <protection locked="0"/>
    </xf>
    <xf numFmtId="0" fontId="2" fillId="2" borderId="8" xfId="1" applyFont="1" applyFill="1" applyBorder="1" applyAlignment="1">
      <alignment horizontal="left" vertical="center" wrapText="1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2" fontId="0" fillId="3" borderId="9" xfId="2" applyNumberFormat="1" applyFont="1" applyFill="1" applyBorder="1" applyAlignment="1" applyProtection="1">
      <alignment horizontal="left"/>
      <protection locked="0"/>
    </xf>
    <xf numFmtId="0" fontId="2" fillId="0" borderId="0" xfId="0" applyFo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5" fontId="1" fillId="3" borderId="5" xfId="1" applyNumberFormat="1" applyFill="1" applyBorder="1" applyAlignment="1" applyProtection="1">
      <alignment horizontal="center"/>
      <protection locked="0"/>
    </xf>
    <xf numFmtId="165" fontId="1" fillId="3" borderId="6" xfId="1" applyNumberFormat="1" applyFill="1" applyBorder="1" applyAlignment="1" applyProtection="1">
      <alignment horizontal="center"/>
      <protection locked="0"/>
    </xf>
    <xf numFmtId="165" fontId="0" fillId="3" borderId="9" xfId="2" applyNumberFormat="1" applyFont="1" applyFill="1" applyBorder="1" applyAlignment="1" applyProtection="1">
      <alignment horizontal="center"/>
      <protection locked="0"/>
    </xf>
    <xf numFmtId="1" fontId="0" fillId="3" borderId="9" xfId="2" applyNumberFormat="1" applyFont="1" applyFill="1" applyBorder="1" applyAlignment="1" applyProtection="1">
      <alignment horizontal="center"/>
      <protection locked="0"/>
    </xf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9" xfId="2" applyNumberFormat="1" applyFont="1" applyFill="1" applyBorder="1" applyAlignment="1" applyProtection="1">
      <alignment horizontal="center"/>
      <protection locked="0"/>
    </xf>
    <xf numFmtId="1" fontId="1" fillId="4" borderId="9" xfId="1" applyNumberFormat="1" applyFill="1" applyBorder="1" applyAlignment="1" applyProtection="1">
      <alignment horizontal="center"/>
      <protection locked="0"/>
    </xf>
    <xf numFmtId="2" fontId="1" fillId="3" borderId="9" xfId="1" applyNumberFormat="1" applyFill="1" applyBorder="1" applyAlignment="1" applyProtection="1">
      <alignment horizontal="center"/>
      <protection locked="0"/>
    </xf>
    <xf numFmtId="2" fontId="0" fillId="5" borderId="9" xfId="2" applyNumberFormat="1" applyFont="1" applyFill="1" applyBorder="1" applyAlignment="1" applyProtection="1">
      <alignment horizontal="center"/>
      <protection locked="0"/>
    </xf>
    <xf numFmtId="2" fontId="0" fillId="6" borderId="9" xfId="2" applyNumberFormat="1" applyFont="1" applyFill="1" applyBorder="1" applyAlignment="1" applyProtection="1">
      <alignment horizontal="center"/>
      <protection locked="0"/>
    </xf>
    <xf numFmtId="165" fontId="1" fillId="0" borderId="0" xfId="1" applyNumberFormat="1"/>
  </cellXfs>
  <cellStyles count="3">
    <cellStyle name="Обычный" xfId="0" builtinId="0"/>
    <cellStyle name="Обычный 2" xfId="1" xr:uid="{59DE2439-BB31-4F47-9019-227E568A9073}"/>
    <cellStyle name="Финансовый 2" xfId="2" xr:uid="{76448D99-8040-4132-8D13-109A8AFF0A7E}"/>
  </cellStyles>
  <dxfs count="1"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перед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Клапана!$C$21</c:f>
              <c:numCache>
                <c:formatCode>0.0</c:formatCode>
                <c:ptCount val="1"/>
                <c:pt idx="0">
                  <c:v>49.873546067686959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16570.563391623593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C-4B82-935C-F2F38BD2767D}"/>
            </c:ext>
          </c:extLst>
        </c:ser>
        <c:ser>
          <c:idx val="3"/>
          <c:order val="1"/>
          <c:marker>
            <c:symbol val="none"/>
          </c:marker>
          <c:xVal>
            <c:numRef>
              <c:f>Клапана!$I$23:$I$73</c:f>
              <c:numCache>
                <c:formatCode>0.0</c:formatCode>
                <c:ptCount val="51"/>
                <c:pt idx="0">
                  <c:v>1</c:v>
                </c:pt>
                <c:pt idx="1">
                  <c:v>2.5686274509803919</c:v>
                </c:pt>
                <c:pt idx="2">
                  <c:v>4.1372549019607838</c:v>
                </c:pt>
                <c:pt idx="3">
                  <c:v>5.7058823529411757</c:v>
                </c:pt>
                <c:pt idx="4">
                  <c:v>7.2745098039215677</c:v>
                </c:pt>
                <c:pt idx="5">
                  <c:v>8.8431372549019596</c:v>
                </c:pt>
                <c:pt idx="6">
                  <c:v>10.411764705882351</c:v>
                </c:pt>
                <c:pt idx="7">
                  <c:v>11.980392156862743</c:v>
                </c:pt>
                <c:pt idx="8">
                  <c:v>13.549019607843135</c:v>
                </c:pt>
                <c:pt idx="9">
                  <c:v>15.117647058823527</c:v>
                </c:pt>
                <c:pt idx="10">
                  <c:v>16.686274509803919</c:v>
                </c:pt>
                <c:pt idx="11">
                  <c:v>18.254901960784313</c:v>
                </c:pt>
                <c:pt idx="12">
                  <c:v>19.823529411764707</c:v>
                </c:pt>
                <c:pt idx="13">
                  <c:v>21.3921568627451</c:v>
                </c:pt>
                <c:pt idx="14">
                  <c:v>22.960784313725494</c:v>
                </c:pt>
                <c:pt idx="15">
                  <c:v>24.529411764705888</c:v>
                </c:pt>
                <c:pt idx="16">
                  <c:v>26.098039215686281</c:v>
                </c:pt>
                <c:pt idx="17">
                  <c:v>27.666666666666675</c:v>
                </c:pt>
                <c:pt idx="18">
                  <c:v>29.235294117647069</c:v>
                </c:pt>
                <c:pt idx="19">
                  <c:v>30.803921568627462</c:v>
                </c:pt>
                <c:pt idx="20">
                  <c:v>32.372549019607852</c:v>
                </c:pt>
                <c:pt idx="21">
                  <c:v>33.941176470588246</c:v>
                </c:pt>
                <c:pt idx="22">
                  <c:v>35.50980392156864</c:v>
                </c:pt>
                <c:pt idx="23">
                  <c:v>37.078431372549034</c:v>
                </c:pt>
                <c:pt idx="24">
                  <c:v>38.647058823529427</c:v>
                </c:pt>
                <c:pt idx="25">
                  <c:v>40.215686274509821</c:v>
                </c:pt>
                <c:pt idx="26">
                  <c:v>41.784313725490215</c:v>
                </c:pt>
                <c:pt idx="27">
                  <c:v>43.352941176470608</c:v>
                </c:pt>
                <c:pt idx="28">
                  <c:v>44.921568627451002</c:v>
                </c:pt>
                <c:pt idx="29">
                  <c:v>46.490196078431396</c:v>
                </c:pt>
                <c:pt idx="30">
                  <c:v>48.058823529411789</c:v>
                </c:pt>
                <c:pt idx="31">
                  <c:v>49.627450980392183</c:v>
                </c:pt>
                <c:pt idx="32">
                  <c:v>51.196078431372577</c:v>
                </c:pt>
                <c:pt idx="33">
                  <c:v>52.76470588235297</c:v>
                </c:pt>
                <c:pt idx="34">
                  <c:v>54.333333333333364</c:v>
                </c:pt>
                <c:pt idx="35">
                  <c:v>55.901960784313758</c:v>
                </c:pt>
                <c:pt idx="36">
                  <c:v>57.470588235294152</c:v>
                </c:pt>
                <c:pt idx="37">
                  <c:v>59.039215686274545</c:v>
                </c:pt>
                <c:pt idx="38">
                  <c:v>60.607843137254939</c:v>
                </c:pt>
                <c:pt idx="39">
                  <c:v>62.176470588235333</c:v>
                </c:pt>
                <c:pt idx="40">
                  <c:v>63.745098039215726</c:v>
                </c:pt>
                <c:pt idx="41">
                  <c:v>65.31372549019612</c:v>
                </c:pt>
                <c:pt idx="42">
                  <c:v>66.882352941176507</c:v>
                </c:pt>
                <c:pt idx="43">
                  <c:v>68.450980392156893</c:v>
                </c:pt>
                <c:pt idx="44">
                  <c:v>70.01960784313728</c:v>
                </c:pt>
                <c:pt idx="45">
                  <c:v>71.588235294117666</c:v>
                </c:pt>
                <c:pt idx="46">
                  <c:v>73.156862745098053</c:v>
                </c:pt>
                <c:pt idx="47">
                  <c:v>74.725490196078439</c:v>
                </c:pt>
                <c:pt idx="48">
                  <c:v>76.294117647058826</c:v>
                </c:pt>
                <c:pt idx="49">
                  <c:v>77.862745098039213</c:v>
                </c:pt>
                <c:pt idx="50">
                  <c:v>79.431372549019599</c:v>
                </c:pt>
              </c:numCache>
            </c:numRef>
          </c:xVal>
          <c:yVal>
            <c:numRef>
              <c:f>Клапана!$K$23:$K$73</c:f>
              <c:numCache>
                <c:formatCode>0.0</c:formatCode>
                <c:ptCount val="51"/>
                <c:pt idx="0">
                  <c:v>16813.699004992479</c:v>
                </c:pt>
                <c:pt idx="1">
                  <c:v>16813.842258211898</c:v>
                </c:pt>
                <c:pt idx="2">
                  <c:v>16813.715075030814</c:v>
                </c:pt>
                <c:pt idx="3">
                  <c:v>16813.760604084378</c:v>
                </c:pt>
                <c:pt idx="4">
                  <c:v>16813.694229773246</c:v>
                </c:pt>
                <c:pt idx="5">
                  <c:v>16813.674309503742</c:v>
                </c:pt>
                <c:pt idx="6">
                  <c:v>16813.670850984254</c:v>
                </c:pt>
                <c:pt idx="7">
                  <c:v>16813.6805113665</c:v>
                </c:pt>
                <c:pt idx="8">
                  <c:v>16813.725411472817</c:v>
                </c:pt>
                <c:pt idx="9">
                  <c:v>16813.682360464161</c:v>
                </c:pt>
                <c:pt idx="10">
                  <c:v>16813.734874681959</c:v>
                </c:pt>
                <c:pt idx="11">
                  <c:v>16813.738072703811</c:v>
                </c:pt>
                <c:pt idx="12">
                  <c:v>16813.659679700431</c:v>
                </c:pt>
                <c:pt idx="13">
                  <c:v>16813.659622400184</c:v>
                </c:pt>
                <c:pt idx="14">
                  <c:v>16813.694663263974</c:v>
                </c:pt>
                <c:pt idx="15">
                  <c:v>16814.147986490712</c:v>
                </c:pt>
                <c:pt idx="16">
                  <c:v>16813.695087841308</c:v>
                </c:pt>
                <c:pt idx="17">
                  <c:v>16813.684108693684</c:v>
                </c:pt>
                <c:pt idx="18">
                  <c:v>16814.104561307904</c:v>
                </c:pt>
                <c:pt idx="19">
                  <c:v>16813.670382615863</c:v>
                </c:pt>
                <c:pt idx="20">
                  <c:v>16813.677560304779</c:v>
                </c:pt>
                <c:pt idx="21">
                  <c:v>16813.675263479268</c:v>
                </c:pt>
                <c:pt idx="22">
                  <c:v>16814.049529865501</c:v>
                </c:pt>
                <c:pt idx="23">
                  <c:v>16813.671399895844</c:v>
                </c:pt>
                <c:pt idx="24">
                  <c:v>16813.659341109062</c:v>
                </c:pt>
                <c:pt idx="25">
                  <c:v>16813.698182482058</c:v>
                </c:pt>
                <c:pt idx="26">
                  <c:v>16813.691592585339</c:v>
                </c:pt>
                <c:pt idx="27">
                  <c:v>16813.721606360021</c:v>
                </c:pt>
                <c:pt idx="28">
                  <c:v>16805.632134068339</c:v>
                </c:pt>
                <c:pt idx="29">
                  <c:v>16768.087066544456</c:v>
                </c:pt>
                <c:pt idx="30">
                  <c:v>16699.455697083318</c:v>
                </c:pt>
                <c:pt idx="31">
                  <c:v>16599.148005000243</c:v>
                </c:pt>
                <c:pt idx="32">
                  <c:v>16466.323186004869</c:v>
                </c:pt>
                <c:pt idx="33">
                  <c:v>16300.05700211554</c:v>
                </c:pt>
                <c:pt idx="34">
                  <c:v>16099.632646542626</c:v>
                </c:pt>
                <c:pt idx="35">
                  <c:v>15862.240195755601</c:v>
                </c:pt>
                <c:pt idx="36">
                  <c:v>15587.431052089407</c:v>
                </c:pt>
                <c:pt idx="37">
                  <c:v>15272.711926882253</c:v>
                </c:pt>
                <c:pt idx="38">
                  <c:v>14915.35905775203</c:v>
                </c:pt>
                <c:pt idx="39">
                  <c:v>14512.11215391919</c:v>
                </c:pt>
                <c:pt idx="40">
                  <c:v>14059.158646153966</c:v>
                </c:pt>
                <c:pt idx="41">
                  <c:v>13551.462435928721</c:v>
                </c:pt>
                <c:pt idx="42">
                  <c:v>12982.21446456806</c:v>
                </c:pt>
                <c:pt idx="43">
                  <c:v>12343.41439978681</c:v>
                </c:pt>
                <c:pt idx="44">
                  <c:v>11623.203203798777</c:v>
                </c:pt>
                <c:pt idx="45">
                  <c:v>10805.354143714649</c:v>
                </c:pt>
                <c:pt idx="46">
                  <c:v>9865.8155885100296</c:v>
                </c:pt>
                <c:pt idx="47">
                  <c:v>8765.606616439487</c:v>
                </c:pt>
                <c:pt idx="48">
                  <c:v>7433.4435238243213</c:v>
                </c:pt>
                <c:pt idx="49">
                  <c:v>5709.6802942768172</c:v>
                </c:pt>
                <c:pt idx="50">
                  <c:v>2978.052165669671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C-4B82-935C-F2F38BD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81536"/>
        <c:axId val="355786752"/>
      </c:scatterChart>
      <c:valAx>
        <c:axId val="3550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 клапаном,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6752"/>
        <c:crosses val="autoZero"/>
        <c:crossBetween val="midCat"/>
      </c:valAx>
      <c:valAx>
        <c:axId val="355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08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за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Клапана!$C$22</c:f>
              <c:numCache>
                <c:formatCode>0.0</c:formatCode>
                <c:ptCount val="1"/>
                <c:pt idx="0">
                  <c:v>80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16570.563391623593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scatterChart>
        <c:scatterStyle val="lineMarker"/>
        <c:varyColors val="0"/>
        <c:ser>
          <c:idx val="3"/>
          <c:order val="1"/>
          <c:tx>
            <c:v>С учетом Рзакр</c:v>
          </c:tx>
          <c:marker>
            <c:symbol val="none"/>
          </c:marker>
          <c:xVal>
            <c:numRef>
              <c:f>Клапана!$I$23:$I$99</c:f>
              <c:numCache>
                <c:formatCode>0.0</c:formatCode>
                <c:ptCount val="77"/>
                <c:pt idx="0">
                  <c:v>1</c:v>
                </c:pt>
                <c:pt idx="1">
                  <c:v>2.5686274509803919</c:v>
                </c:pt>
                <c:pt idx="2">
                  <c:v>4.1372549019607838</c:v>
                </c:pt>
                <c:pt idx="3">
                  <c:v>5.7058823529411757</c:v>
                </c:pt>
                <c:pt idx="4">
                  <c:v>7.2745098039215677</c:v>
                </c:pt>
                <c:pt idx="5">
                  <c:v>8.8431372549019596</c:v>
                </c:pt>
                <c:pt idx="6">
                  <c:v>10.411764705882351</c:v>
                </c:pt>
                <c:pt idx="7">
                  <c:v>11.980392156862743</c:v>
                </c:pt>
                <c:pt idx="8">
                  <c:v>13.549019607843135</c:v>
                </c:pt>
                <c:pt idx="9">
                  <c:v>15.117647058823527</c:v>
                </c:pt>
                <c:pt idx="10">
                  <c:v>16.686274509803919</c:v>
                </c:pt>
                <c:pt idx="11">
                  <c:v>18.254901960784313</c:v>
                </c:pt>
                <c:pt idx="12">
                  <c:v>19.823529411764707</c:v>
                </c:pt>
                <c:pt idx="13">
                  <c:v>21.3921568627451</c:v>
                </c:pt>
                <c:pt idx="14">
                  <c:v>22.960784313725494</c:v>
                </c:pt>
                <c:pt idx="15">
                  <c:v>24.529411764705888</c:v>
                </c:pt>
                <c:pt idx="16">
                  <c:v>26.098039215686281</c:v>
                </c:pt>
                <c:pt idx="17">
                  <c:v>27.666666666666675</c:v>
                </c:pt>
                <c:pt idx="18">
                  <c:v>29.235294117647069</c:v>
                </c:pt>
                <c:pt idx="19">
                  <c:v>30.803921568627462</c:v>
                </c:pt>
                <c:pt idx="20">
                  <c:v>32.372549019607852</c:v>
                </c:pt>
                <c:pt idx="21">
                  <c:v>33.941176470588246</c:v>
                </c:pt>
                <c:pt idx="22">
                  <c:v>35.50980392156864</c:v>
                </c:pt>
                <c:pt idx="23">
                  <c:v>37.078431372549034</c:v>
                </c:pt>
                <c:pt idx="24">
                  <c:v>38.647058823529427</c:v>
                </c:pt>
                <c:pt idx="25">
                  <c:v>40.215686274509821</c:v>
                </c:pt>
                <c:pt idx="26">
                  <c:v>41.784313725490215</c:v>
                </c:pt>
                <c:pt idx="27">
                  <c:v>43.352941176470608</c:v>
                </c:pt>
                <c:pt idx="28">
                  <c:v>44.921568627451002</c:v>
                </c:pt>
                <c:pt idx="29">
                  <c:v>46.490196078431396</c:v>
                </c:pt>
                <c:pt idx="30">
                  <c:v>48.058823529411789</c:v>
                </c:pt>
                <c:pt idx="31">
                  <c:v>49.627450980392183</c:v>
                </c:pt>
                <c:pt idx="32">
                  <c:v>51.196078431372577</c:v>
                </c:pt>
                <c:pt idx="33">
                  <c:v>52.76470588235297</c:v>
                </c:pt>
                <c:pt idx="34">
                  <c:v>54.333333333333364</c:v>
                </c:pt>
                <c:pt idx="35">
                  <c:v>55.901960784313758</c:v>
                </c:pt>
                <c:pt idx="36">
                  <c:v>57.470588235294152</c:v>
                </c:pt>
                <c:pt idx="37">
                  <c:v>59.039215686274545</c:v>
                </c:pt>
                <c:pt idx="38">
                  <c:v>60.607843137254939</c:v>
                </c:pt>
                <c:pt idx="39">
                  <c:v>62.176470588235333</c:v>
                </c:pt>
                <c:pt idx="40">
                  <c:v>63.745098039215726</c:v>
                </c:pt>
                <c:pt idx="41">
                  <c:v>65.31372549019612</c:v>
                </c:pt>
                <c:pt idx="42">
                  <c:v>66.882352941176507</c:v>
                </c:pt>
                <c:pt idx="43">
                  <c:v>68.450980392156893</c:v>
                </c:pt>
                <c:pt idx="44">
                  <c:v>70.01960784313728</c:v>
                </c:pt>
                <c:pt idx="45">
                  <c:v>71.588235294117666</c:v>
                </c:pt>
                <c:pt idx="46">
                  <c:v>73.156862745098053</c:v>
                </c:pt>
                <c:pt idx="47">
                  <c:v>74.725490196078439</c:v>
                </c:pt>
                <c:pt idx="48">
                  <c:v>76.294117647058826</c:v>
                </c:pt>
                <c:pt idx="49">
                  <c:v>77.862745098039213</c:v>
                </c:pt>
                <c:pt idx="50">
                  <c:v>79.431372549019599</c:v>
                </c:pt>
                <c:pt idx="51">
                  <c:v>80.999999999999986</c:v>
                </c:pt>
                <c:pt idx="52">
                  <c:v>82.568627450980372</c:v>
                </c:pt>
                <c:pt idx="53">
                  <c:v>84.137254901960759</c:v>
                </c:pt>
                <c:pt idx="54">
                  <c:v>85.705882352941146</c:v>
                </c:pt>
                <c:pt idx="55">
                  <c:v>87.274509803921532</c:v>
                </c:pt>
                <c:pt idx="56">
                  <c:v>88.843137254901919</c:v>
                </c:pt>
                <c:pt idx="57">
                  <c:v>90.411764705882305</c:v>
                </c:pt>
                <c:pt idx="58">
                  <c:v>91.980392156862692</c:v>
                </c:pt>
                <c:pt idx="59">
                  <c:v>93.549019607843078</c:v>
                </c:pt>
                <c:pt idx="60">
                  <c:v>95.117647058823465</c:v>
                </c:pt>
                <c:pt idx="61">
                  <c:v>96.686274509803852</c:v>
                </c:pt>
                <c:pt idx="62">
                  <c:v>98.254901960784238</c:v>
                </c:pt>
                <c:pt idx="63">
                  <c:v>99.823529411764625</c:v>
                </c:pt>
                <c:pt idx="64">
                  <c:v>101.39215686274501</c:v>
                </c:pt>
                <c:pt idx="65">
                  <c:v>102.9607843137254</c:v>
                </c:pt>
                <c:pt idx="66">
                  <c:v>104.52941176470578</c:v>
                </c:pt>
                <c:pt idx="67">
                  <c:v>106.09803921568617</c:v>
                </c:pt>
                <c:pt idx="68">
                  <c:v>107.66666666666656</c:v>
                </c:pt>
                <c:pt idx="69">
                  <c:v>109.23529411764694</c:v>
                </c:pt>
                <c:pt idx="70">
                  <c:v>110.80392156862733</c:v>
                </c:pt>
                <c:pt idx="71">
                  <c:v>112.37254901960772</c:v>
                </c:pt>
                <c:pt idx="72">
                  <c:v>113.9411764705881</c:v>
                </c:pt>
                <c:pt idx="73">
                  <c:v>115.50980392156849</c:v>
                </c:pt>
                <c:pt idx="74">
                  <c:v>117.07843137254888</c:v>
                </c:pt>
                <c:pt idx="75">
                  <c:v>118.64705882352926</c:v>
                </c:pt>
                <c:pt idx="76">
                  <c:v>120.21568627450965</c:v>
                </c:pt>
              </c:numCache>
            </c:numRef>
          </c:xVal>
          <c:yVal>
            <c:numRef>
              <c:f>Клапана!$N$23:$N$99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13175.682690426402</c:v>
                </c:pt>
                <c:pt idx="44">
                  <c:v>13698.503574014099</c:v>
                </c:pt>
                <c:pt idx="45">
                  <c:v>14198.306787295387</c:v>
                </c:pt>
                <c:pt idx="46">
                  <c:v>14677.541928183915</c:v>
                </c:pt>
                <c:pt idx="47">
                  <c:v>15138.926148343849</c:v>
                </c:pt>
                <c:pt idx="48">
                  <c:v>15581.742943754491</c:v>
                </c:pt>
                <c:pt idx="49">
                  <c:v>16009.926189937602</c:v>
                </c:pt>
                <c:pt idx="50">
                  <c:v>16423.808393728279</c:v>
                </c:pt>
                <c:pt idx="51">
                  <c:v>16824.620411243901</c:v>
                </c:pt>
                <c:pt idx="52">
                  <c:v>17213.340334131321</c:v>
                </c:pt>
                <c:pt idx="53">
                  <c:v>17590.657238765605</c:v>
                </c:pt>
                <c:pt idx="54">
                  <c:v>17957.346134894691</c:v>
                </c:pt>
                <c:pt idx="55">
                  <c:v>18314.234500782801</c:v>
                </c:pt>
                <c:pt idx="56">
                  <c:v>18661.785310102307</c:v>
                </c:pt>
                <c:pt idx="57">
                  <c:v>19000.5934720269</c:v>
                </c:pt>
                <c:pt idx="58">
                  <c:v>19331.587642070772</c:v>
                </c:pt>
                <c:pt idx="59">
                  <c:v>19661.297400586489</c:v>
                </c:pt>
                <c:pt idx="60">
                  <c:v>19990.962848889663</c:v>
                </c:pt>
                <c:pt idx="61">
                  <c:v>20320.6968194492</c:v>
                </c:pt>
                <c:pt idx="62">
                  <c:v>20650.374634433319</c:v>
                </c:pt>
                <c:pt idx="63">
                  <c:v>20980.03300848497</c:v>
                </c:pt>
                <c:pt idx="64">
                  <c:v>21309.880987762608</c:v>
                </c:pt>
                <c:pt idx="65">
                  <c:v>21639.369247559269</c:v>
                </c:pt>
                <c:pt idx="66">
                  <c:v>21969.064307696721</c:v>
                </c:pt>
                <c:pt idx="67">
                  <c:v>22298.704013237257</c:v>
                </c:pt>
                <c:pt idx="68">
                  <c:v>22628.438630814489</c:v>
                </c:pt>
                <c:pt idx="69">
                  <c:v>22958.078409093803</c:v>
                </c:pt>
                <c:pt idx="70">
                  <c:v>23287.754627111255</c:v>
                </c:pt>
                <c:pt idx="71">
                  <c:v>23617.698911038358</c:v>
                </c:pt>
                <c:pt idx="72">
                  <c:v>23947.226282077449</c:v>
                </c:pt>
                <c:pt idx="73">
                  <c:v>24276.781302305331</c:v>
                </c:pt>
                <c:pt idx="74">
                  <c:v>24606.48127580763</c:v>
                </c:pt>
                <c:pt idx="75">
                  <c:v>24936.192523818027</c:v>
                </c:pt>
                <c:pt idx="76">
                  <c:v>25265.959124733825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6-4258-9B57-80A55CC0BC8B}"/>
            </c:ext>
          </c:extLst>
        </c:ser>
        <c:ser>
          <c:idx val="0"/>
          <c:order val="2"/>
          <c:tx>
            <c:v>С учетом Роткр</c:v>
          </c:tx>
          <c:marker>
            <c:symbol val="none"/>
          </c:marker>
          <c:xVal>
            <c:numRef>
              <c:f>Клапана!$I$23:$I$99</c:f>
              <c:numCache>
                <c:formatCode>0.0</c:formatCode>
                <c:ptCount val="77"/>
                <c:pt idx="0">
                  <c:v>1</c:v>
                </c:pt>
                <c:pt idx="1">
                  <c:v>2.5686274509803919</c:v>
                </c:pt>
                <c:pt idx="2">
                  <c:v>4.1372549019607838</c:v>
                </c:pt>
                <c:pt idx="3">
                  <c:v>5.7058823529411757</c:v>
                </c:pt>
                <c:pt idx="4">
                  <c:v>7.2745098039215677</c:v>
                </c:pt>
                <c:pt idx="5">
                  <c:v>8.8431372549019596</c:v>
                </c:pt>
                <c:pt idx="6">
                  <c:v>10.411764705882351</c:v>
                </c:pt>
                <c:pt idx="7">
                  <c:v>11.980392156862743</c:v>
                </c:pt>
                <c:pt idx="8">
                  <c:v>13.549019607843135</c:v>
                </c:pt>
                <c:pt idx="9">
                  <c:v>15.117647058823527</c:v>
                </c:pt>
                <c:pt idx="10">
                  <c:v>16.686274509803919</c:v>
                </c:pt>
                <c:pt idx="11">
                  <c:v>18.254901960784313</c:v>
                </c:pt>
                <c:pt idx="12">
                  <c:v>19.823529411764707</c:v>
                </c:pt>
                <c:pt idx="13">
                  <c:v>21.3921568627451</c:v>
                </c:pt>
                <c:pt idx="14">
                  <c:v>22.960784313725494</c:v>
                </c:pt>
                <c:pt idx="15">
                  <c:v>24.529411764705888</c:v>
                </c:pt>
                <c:pt idx="16">
                  <c:v>26.098039215686281</c:v>
                </c:pt>
                <c:pt idx="17">
                  <c:v>27.666666666666675</c:v>
                </c:pt>
                <c:pt idx="18">
                  <c:v>29.235294117647069</c:v>
                </c:pt>
                <c:pt idx="19">
                  <c:v>30.803921568627462</c:v>
                </c:pt>
                <c:pt idx="20">
                  <c:v>32.372549019607852</c:v>
                </c:pt>
                <c:pt idx="21">
                  <c:v>33.941176470588246</c:v>
                </c:pt>
                <c:pt idx="22">
                  <c:v>35.50980392156864</c:v>
                </c:pt>
                <c:pt idx="23">
                  <c:v>37.078431372549034</c:v>
                </c:pt>
                <c:pt idx="24">
                  <c:v>38.647058823529427</c:v>
                </c:pt>
                <c:pt idx="25">
                  <c:v>40.215686274509821</c:v>
                </c:pt>
                <c:pt idx="26">
                  <c:v>41.784313725490215</c:v>
                </c:pt>
                <c:pt idx="27">
                  <c:v>43.352941176470608</c:v>
                </c:pt>
                <c:pt idx="28">
                  <c:v>44.921568627451002</c:v>
                </c:pt>
                <c:pt idx="29">
                  <c:v>46.490196078431396</c:v>
                </c:pt>
                <c:pt idx="30">
                  <c:v>48.058823529411789</c:v>
                </c:pt>
                <c:pt idx="31">
                  <c:v>49.627450980392183</c:v>
                </c:pt>
                <c:pt idx="32">
                  <c:v>51.196078431372577</c:v>
                </c:pt>
                <c:pt idx="33">
                  <c:v>52.76470588235297</c:v>
                </c:pt>
                <c:pt idx="34">
                  <c:v>54.333333333333364</c:v>
                </c:pt>
                <c:pt idx="35">
                  <c:v>55.901960784313758</c:v>
                </c:pt>
                <c:pt idx="36">
                  <c:v>57.470588235294152</c:v>
                </c:pt>
                <c:pt idx="37">
                  <c:v>59.039215686274545</c:v>
                </c:pt>
                <c:pt idx="38">
                  <c:v>60.607843137254939</c:v>
                </c:pt>
                <c:pt idx="39">
                  <c:v>62.176470588235333</c:v>
                </c:pt>
                <c:pt idx="40">
                  <c:v>63.745098039215726</c:v>
                </c:pt>
                <c:pt idx="41">
                  <c:v>65.31372549019612</c:v>
                </c:pt>
                <c:pt idx="42">
                  <c:v>66.882352941176507</c:v>
                </c:pt>
                <c:pt idx="43">
                  <c:v>68.450980392156893</c:v>
                </c:pt>
                <c:pt idx="44">
                  <c:v>70.01960784313728</c:v>
                </c:pt>
                <c:pt idx="45">
                  <c:v>71.588235294117666</c:v>
                </c:pt>
                <c:pt idx="46">
                  <c:v>73.156862745098053</c:v>
                </c:pt>
                <c:pt idx="47">
                  <c:v>74.725490196078439</c:v>
                </c:pt>
                <c:pt idx="48">
                  <c:v>76.294117647058826</c:v>
                </c:pt>
                <c:pt idx="49">
                  <c:v>77.862745098039213</c:v>
                </c:pt>
                <c:pt idx="50">
                  <c:v>79.431372549019599</c:v>
                </c:pt>
                <c:pt idx="51">
                  <c:v>80.999999999999986</c:v>
                </c:pt>
                <c:pt idx="52">
                  <c:v>82.568627450980372</c:v>
                </c:pt>
                <c:pt idx="53">
                  <c:v>84.137254901960759</c:v>
                </c:pt>
                <c:pt idx="54">
                  <c:v>85.705882352941146</c:v>
                </c:pt>
                <c:pt idx="55">
                  <c:v>87.274509803921532</c:v>
                </c:pt>
                <c:pt idx="56">
                  <c:v>88.843137254901919</c:v>
                </c:pt>
                <c:pt idx="57">
                  <c:v>90.411764705882305</c:v>
                </c:pt>
                <c:pt idx="58">
                  <c:v>91.980392156862692</c:v>
                </c:pt>
                <c:pt idx="59">
                  <c:v>93.549019607843078</c:v>
                </c:pt>
                <c:pt idx="60">
                  <c:v>95.117647058823465</c:v>
                </c:pt>
                <c:pt idx="61">
                  <c:v>96.686274509803852</c:v>
                </c:pt>
                <c:pt idx="62">
                  <c:v>98.254901960784238</c:v>
                </c:pt>
                <c:pt idx="63">
                  <c:v>99.823529411764625</c:v>
                </c:pt>
                <c:pt idx="64">
                  <c:v>101.39215686274501</c:v>
                </c:pt>
                <c:pt idx="65">
                  <c:v>102.9607843137254</c:v>
                </c:pt>
                <c:pt idx="66">
                  <c:v>104.52941176470578</c:v>
                </c:pt>
                <c:pt idx="67">
                  <c:v>106.09803921568617</c:v>
                </c:pt>
                <c:pt idx="68">
                  <c:v>107.66666666666656</c:v>
                </c:pt>
                <c:pt idx="69">
                  <c:v>109.23529411764694</c:v>
                </c:pt>
                <c:pt idx="70">
                  <c:v>110.80392156862733</c:v>
                </c:pt>
                <c:pt idx="71">
                  <c:v>112.37254901960772</c:v>
                </c:pt>
                <c:pt idx="72">
                  <c:v>113.9411764705881</c:v>
                </c:pt>
                <c:pt idx="73">
                  <c:v>115.50980392156849</c:v>
                </c:pt>
                <c:pt idx="74">
                  <c:v>117.07843137254888</c:v>
                </c:pt>
                <c:pt idx="75">
                  <c:v>118.64705882352926</c:v>
                </c:pt>
                <c:pt idx="76">
                  <c:v>120.21568627450965</c:v>
                </c:pt>
              </c:numCache>
            </c:numRef>
          </c:xVal>
          <c:yVal>
            <c:numRef>
              <c:f>Клапана!$M$23:$M$99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14677.541928183915</c:v>
                </c:pt>
                <c:pt idx="47">
                  <c:v>15138.926148343849</c:v>
                </c:pt>
                <c:pt idx="48">
                  <c:v>15581.742943754491</c:v>
                </c:pt>
                <c:pt idx="49">
                  <c:v>16009.926189937602</c:v>
                </c:pt>
                <c:pt idx="50">
                  <c:v>16423.808393728279</c:v>
                </c:pt>
                <c:pt idx="51">
                  <c:v>16824.620411243901</c:v>
                </c:pt>
                <c:pt idx="52">
                  <c:v>17213.340334131321</c:v>
                </c:pt>
                <c:pt idx="53">
                  <c:v>17590.657238765605</c:v>
                </c:pt>
                <c:pt idx="54">
                  <c:v>17957.346134894691</c:v>
                </c:pt>
                <c:pt idx="55">
                  <c:v>18314.234500782801</c:v>
                </c:pt>
                <c:pt idx="56">
                  <c:v>18661.785310102307</c:v>
                </c:pt>
                <c:pt idx="57">
                  <c:v>19000.5934720269</c:v>
                </c:pt>
                <c:pt idx="58">
                  <c:v>19331.587642070772</c:v>
                </c:pt>
                <c:pt idx="59">
                  <c:v>19661.297400586489</c:v>
                </c:pt>
                <c:pt idx="60">
                  <c:v>19990.962848889663</c:v>
                </c:pt>
                <c:pt idx="61">
                  <c:v>20320.6968194492</c:v>
                </c:pt>
                <c:pt idx="62">
                  <c:v>20650.374634433319</c:v>
                </c:pt>
                <c:pt idx="63">
                  <c:v>20980.03300848497</c:v>
                </c:pt>
                <c:pt idx="64">
                  <c:v>21309.880987762608</c:v>
                </c:pt>
                <c:pt idx="65">
                  <c:v>21639.369247559269</c:v>
                </c:pt>
                <c:pt idx="66">
                  <c:v>21969.064307696721</c:v>
                </c:pt>
                <c:pt idx="67">
                  <c:v>22298.704013237257</c:v>
                </c:pt>
                <c:pt idx="68">
                  <c:v>22628.438630814489</c:v>
                </c:pt>
                <c:pt idx="69">
                  <c:v>22958.078409093803</c:v>
                </c:pt>
                <c:pt idx="70">
                  <c:v>23287.754627111255</c:v>
                </c:pt>
                <c:pt idx="71">
                  <c:v>23617.698911038358</c:v>
                </c:pt>
                <c:pt idx="72">
                  <c:v>23947.226282077449</c:v>
                </c:pt>
                <c:pt idx="73">
                  <c:v>24276.781302305331</c:v>
                </c:pt>
                <c:pt idx="74">
                  <c:v>24606.48127580763</c:v>
                </c:pt>
                <c:pt idx="75">
                  <c:v>24936.192523818027</c:v>
                </c:pt>
                <c:pt idx="76">
                  <c:v>25265.959124733825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valAx>
        <c:axId val="355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перед</a:t>
                </a:r>
                <a:r>
                  <a:rPr lang="ru-RU" baseline="0"/>
                  <a:t> клапаном</a:t>
                </a:r>
                <a:r>
                  <a:rPr lang="ru-RU"/>
                  <a:t>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9056"/>
        <c:crosses val="autoZero"/>
        <c:crossBetween val="midCat"/>
      </c:valAx>
      <c:valAx>
        <c:axId val="35578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8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135242</xdr:colOff>
      <xdr:row>9</xdr:row>
      <xdr:rowOff>64498</xdr:rowOff>
    </xdr:from>
    <xdr:to>
      <xdr:col>25</xdr:col>
      <xdr:colOff>754742</xdr:colOff>
      <xdr:row>38</xdr:row>
      <xdr:rowOff>173131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B4B1F2-5401-4CFC-BCF4-97B0993F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120316</xdr:colOff>
      <xdr:row>39</xdr:row>
      <xdr:rowOff>141691</xdr:rowOff>
    </xdr:from>
    <xdr:to>
      <xdr:col>25</xdr:col>
      <xdr:colOff>752861</xdr:colOff>
      <xdr:row>71</xdr:row>
      <xdr:rowOff>5379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7A274C-CC81-4DAA-8D6D-E909361F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floc\unifloc_vba\UniflocVBA_7.xlam" TargetMode="External"/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</sheetNames>
    <definedNames>
      <definedName name="GLV_IPO_p_close"/>
      <definedName name="GLV_IPO_p_open"/>
      <definedName name="GLV_p_close_atma"/>
      <definedName name="GLV_p_vkr_atma"/>
      <definedName name="GLV_q_gas_vkr_sm3da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811-A139-4312-B5B6-875BAF8209F9}">
  <sheetPr codeName="Worksheet____5"/>
  <dimension ref="A1:AD99"/>
  <sheetViews>
    <sheetView tabSelected="1" topLeftCell="A2" zoomScale="55" zoomScaleNormal="55" workbookViewId="0">
      <selection activeCell="G10" sqref="G10"/>
    </sheetView>
  </sheetViews>
  <sheetFormatPr defaultColWidth="9.15234375" defaultRowHeight="12.45" x14ac:dyDescent="0.3"/>
  <cols>
    <col min="1" max="1" width="9.15234375" style="1"/>
    <col min="2" max="2" width="28" style="1" customWidth="1"/>
    <col min="3" max="3" width="9.69140625" style="1" bestFit="1" customWidth="1"/>
    <col min="4" max="4" width="11" style="1" customWidth="1"/>
    <col min="5" max="6" width="9.15234375" style="1"/>
    <col min="7" max="7" width="20" style="1" customWidth="1"/>
    <col min="8" max="20" width="9.15234375" style="1"/>
    <col min="21" max="21" width="15" style="1" customWidth="1"/>
    <col min="22" max="22" width="9.15234375" style="1"/>
    <col min="23" max="23" width="12" style="1" customWidth="1"/>
    <col min="24" max="24" width="16.69140625" style="1" bestFit="1" customWidth="1"/>
    <col min="25" max="25" width="15.15234375" style="1" customWidth="1"/>
    <col min="26" max="26" width="12" style="1" customWidth="1"/>
    <col min="27" max="27" width="13.84375" style="1" customWidth="1"/>
    <col min="28" max="29" width="9.15234375" style="1"/>
    <col min="30" max="30" width="9.61328125" style="1" bestFit="1" customWidth="1"/>
    <col min="31" max="16384" width="9.15234375" style="1"/>
  </cols>
  <sheetData>
    <row r="1" spans="1:30" ht="38.15" x14ac:dyDescent="0.4">
      <c r="A1" s="22" t="s">
        <v>41</v>
      </c>
      <c r="B1"/>
      <c r="C1"/>
      <c r="D1"/>
      <c r="E1"/>
      <c r="F1" t="s">
        <v>42</v>
      </c>
      <c r="G1" t="str" cm="1">
        <f t="array" ref="G1">[1]!unf_version()</f>
        <v>7.50</v>
      </c>
      <c r="H1"/>
      <c r="U1" s="1" t="s">
        <v>0</v>
      </c>
      <c r="V1" s="1" t="s">
        <v>1</v>
      </c>
      <c r="W1" s="1" t="s">
        <v>2</v>
      </c>
      <c r="X1" s="2" t="s">
        <v>3</v>
      </c>
      <c r="Y1" s="2" t="s">
        <v>4</v>
      </c>
      <c r="Z1" s="3" t="s">
        <v>5</v>
      </c>
      <c r="AA1" s="4" t="s">
        <v>6</v>
      </c>
      <c r="AB1" s="1" t="s">
        <v>7</v>
      </c>
      <c r="AC1" s="1" t="s">
        <v>8</v>
      </c>
      <c r="AD1" s="1" t="s">
        <v>9</v>
      </c>
    </row>
    <row r="2" spans="1:30" ht="14.6" x14ac:dyDescent="0.4">
      <c r="A2" t="s">
        <v>43</v>
      </c>
      <c r="B2"/>
      <c r="C2"/>
      <c r="D2"/>
      <c r="E2"/>
      <c r="F2"/>
      <c r="G2"/>
      <c r="H2"/>
      <c r="X2" s="2" t="s">
        <v>10</v>
      </c>
      <c r="Y2" s="2" t="s">
        <v>11</v>
      </c>
      <c r="Z2" s="3" t="s">
        <v>10</v>
      </c>
      <c r="AA2" s="3" t="s">
        <v>11</v>
      </c>
    </row>
    <row r="3" spans="1:30" ht="12.9" thickBot="1" x14ac:dyDescent="0.35">
      <c r="U3" s="1" t="s">
        <v>12</v>
      </c>
      <c r="V3" s="1" t="s">
        <v>13</v>
      </c>
      <c r="W3" s="1" t="str">
        <f>V3&amp;" port 1/8"</f>
        <v>R-1 port 1/8</v>
      </c>
      <c r="X3" s="2">
        <v>25.4</v>
      </c>
      <c r="Y3" s="2">
        <v>200</v>
      </c>
      <c r="Z3" s="3">
        <v>3.18</v>
      </c>
      <c r="AA3" s="3">
        <v>8.4</v>
      </c>
      <c r="AB3" s="5">
        <f>AA3/Y3</f>
        <v>4.2000000000000003E-2</v>
      </c>
      <c r="AC3" s="5">
        <f>1-AB3</f>
        <v>0.95799999999999996</v>
      </c>
      <c r="AD3" s="5">
        <f>AB3/AC3</f>
        <v>4.3841336116910233E-2</v>
      </c>
    </row>
    <row r="4" spans="1:30" ht="12.9" thickBot="1" x14ac:dyDescent="0.35">
      <c r="B4" s="23" t="s">
        <v>14</v>
      </c>
      <c r="C4" s="24"/>
      <c r="D4" s="24"/>
      <c r="E4" s="25"/>
      <c r="V4" s="1" t="s">
        <v>13</v>
      </c>
      <c r="W4" s="1" t="str">
        <f>V4&amp;" port 5/32"</f>
        <v>R-1 port 5/32</v>
      </c>
      <c r="X4" s="2">
        <v>25.4</v>
      </c>
      <c r="Y4" s="2">
        <v>200</v>
      </c>
      <c r="Z4" s="3">
        <v>3.97</v>
      </c>
      <c r="AA4" s="3">
        <v>13.55</v>
      </c>
      <c r="AB4" s="5">
        <f>AA4/Y4</f>
        <v>6.7750000000000005E-2</v>
      </c>
      <c r="AC4" s="5">
        <f>1-AB4</f>
        <v>0.93225000000000002</v>
      </c>
      <c r="AD4" s="5">
        <f>AB4/AC4</f>
        <v>7.2673639045320468E-2</v>
      </c>
    </row>
    <row r="5" spans="1:30" ht="14.6" x14ac:dyDescent="0.4">
      <c r="B5" s="6" t="s">
        <v>15</v>
      </c>
      <c r="C5" s="26" t="s">
        <v>16</v>
      </c>
      <c r="D5" s="27"/>
      <c r="E5" s="7"/>
      <c r="G5" s="8" t="s">
        <v>32</v>
      </c>
      <c r="H5" s="14" t="s">
        <v>44</v>
      </c>
      <c r="I5" s="15"/>
      <c r="J5" s="9"/>
      <c r="V5" s="1" t="s">
        <v>13</v>
      </c>
      <c r="W5" s="1" t="str">
        <f>V5&amp;" port 3/16"</f>
        <v>R-1 port 3/16</v>
      </c>
      <c r="X5" s="2">
        <v>25.4</v>
      </c>
      <c r="Y5" s="2">
        <v>200</v>
      </c>
      <c r="Z5" s="3">
        <v>4.76</v>
      </c>
      <c r="AA5" s="3">
        <v>18.71</v>
      </c>
      <c r="AB5" s="5">
        <f>AA5/Y5</f>
        <v>9.3550000000000008E-2</v>
      </c>
      <c r="AC5" s="5">
        <f>1-AB5</f>
        <v>0.90644999999999998</v>
      </c>
      <c r="AD5" s="5">
        <f>AB5/AC5</f>
        <v>0.10320480997297149</v>
      </c>
    </row>
    <row r="6" spans="1:30" ht="14.6" x14ac:dyDescent="0.4">
      <c r="B6" s="8" t="s">
        <v>17</v>
      </c>
      <c r="C6" s="28" t="s">
        <v>18</v>
      </c>
      <c r="D6" s="28"/>
      <c r="E6" s="9"/>
      <c r="G6" s="8" t="s">
        <v>33</v>
      </c>
      <c r="H6" s="14">
        <v>23</v>
      </c>
      <c r="I6" s="15"/>
      <c r="J6" s="9" t="s">
        <v>34</v>
      </c>
      <c r="V6" s="1" t="s">
        <v>13</v>
      </c>
      <c r="W6" s="1" t="str">
        <f>V6&amp;" port 1/4"</f>
        <v>R-1 port 1/4</v>
      </c>
      <c r="X6" s="2">
        <v>25.4</v>
      </c>
      <c r="Y6" s="2">
        <v>200</v>
      </c>
      <c r="Z6" s="3">
        <v>6.35</v>
      </c>
      <c r="AA6" s="3">
        <v>33.549999999999997</v>
      </c>
      <c r="AB6" s="5">
        <f>AA6/Y6</f>
        <v>0.16774999999999998</v>
      </c>
      <c r="AC6" s="5">
        <f>1-AB6</f>
        <v>0.83225000000000005</v>
      </c>
      <c r="AD6" s="5">
        <f>AB6/AC6</f>
        <v>0.20156203063983175</v>
      </c>
    </row>
    <row r="7" spans="1:30" ht="14.6" x14ac:dyDescent="0.4">
      <c r="B7" s="8" t="s">
        <v>19</v>
      </c>
      <c r="C7" s="28" t="s">
        <v>13</v>
      </c>
      <c r="D7" s="28"/>
      <c r="E7" s="9"/>
      <c r="V7" s="1" t="s">
        <v>13</v>
      </c>
      <c r="W7" s="1" t="str">
        <f>V7&amp;" port 5/16"</f>
        <v>R-1 port 5/16</v>
      </c>
      <c r="X7" s="2">
        <v>25.4</v>
      </c>
      <c r="Y7" s="2">
        <v>200</v>
      </c>
      <c r="Z7" s="3">
        <v>7.94</v>
      </c>
      <c r="AA7" s="3">
        <v>51.61</v>
      </c>
      <c r="AB7" s="5">
        <f>AA7/Y7</f>
        <v>0.25805</v>
      </c>
      <c r="AC7" s="5">
        <f>1-AB7</f>
        <v>0.74195</v>
      </c>
      <c r="AD7" s="5">
        <f>AB7/AC7</f>
        <v>0.34779971696205947</v>
      </c>
    </row>
    <row r="8" spans="1:30" ht="14.6" x14ac:dyDescent="0.4">
      <c r="B8" s="8" t="s">
        <v>20</v>
      </c>
      <c r="C8" s="29">
        <f>VLOOKUP(C11,W3:AD7,2,0)</f>
        <v>25.4</v>
      </c>
      <c r="D8" s="29"/>
      <c r="E8" s="9" t="s">
        <v>10</v>
      </c>
      <c r="X8" s="2"/>
      <c r="Y8" s="2"/>
    </row>
    <row r="9" spans="1:30" x14ac:dyDescent="0.3">
      <c r="X9" s="2"/>
      <c r="Y9" s="2"/>
      <c r="Z9" s="3"/>
    </row>
    <row r="10" spans="1:30" x14ac:dyDescent="0.3">
      <c r="X10" s="2"/>
      <c r="Y10" s="2"/>
    </row>
    <row r="11" spans="1:30" x14ac:dyDescent="0.3">
      <c r="B11" s="8" t="s">
        <v>5</v>
      </c>
      <c r="C11" s="32" t="s">
        <v>21</v>
      </c>
      <c r="D11" s="32"/>
      <c r="E11" s="9"/>
      <c r="X11" s="2"/>
      <c r="Y11" s="2"/>
    </row>
    <row r="12" spans="1:30" x14ac:dyDescent="0.3">
      <c r="B12" s="10" t="s">
        <v>22</v>
      </c>
      <c r="C12" s="33">
        <f>VLOOKUP(C11,W3:AD7,4,0)</f>
        <v>7.94</v>
      </c>
      <c r="D12" s="33"/>
      <c r="E12" s="9" t="s">
        <v>10</v>
      </c>
      <c r="X12" s="2"/>
      <c r="Y12" s="2"/>
    </row>
    <row r="13" spans="1:30" x14ac:dyDescent="0.3">
      <c r="B13" s="10" t="s">
        <v>23</v>
      </c>
      <c r="C13" s="33">
        <f>VLOOKUP(C11,W3:AD7,6,0)</f>
        <v>0.25805</v>
      </c>
      <c r="D13" s="33"/>
      <c r="E13" s="9"/>
      <c r="X13" s="2"/>
      <c r="Y13" s="2"/>
    </row>
    <row r="14" spans="1:30" x14ac:dyDescent="0.3">
      <c r="B14" s="8" t="s">
        <v>24</v>
      </c>
      <c r="C14" s="11">
        <v>3</v>
      </c>
      <c r="D14" s="11">
        <v>3</v>
      </c>
      <c r="E14" s="9" t="s">
        <v>10</v>
      </c>
      <c r="I14" s="12"/>
      <c r="J14" s="12"/>
      <c r="X14" s="2"/>
      <c r="Y14" s="2"/>
    </row>
    <row r="15" spans="1:30" x14ac:dyDescent="0.3">
      <c r="B15" s="8" t="s">
        <v>25</v>
      </c>
      <c r="C15" s="11"/>
      <c r="D15" s="11"/>
      <c r="E15" s="9" t="s">
        <v>10</v>
      </c>
      <c r="X15" s="2"/>
      <c r="Y15" s="2"/>
    </row>
    <row r="16" spans="1:30" ht="14.6" x14ac:dyDescent="0.4">
      <c r="B16" s="8" t="s">
        <v>26</v>
      </c>
      <c r="C16" s="34">
        <f>((C14^2+D14^2+C15^2+D15^2))^(0.5)</f>
        <v>4.2426406871192848</v>
      </c>
      <c r="D16" s="34"/>
      <c r="E16" s="9"/>
      <c r="X16" s="2"/>
      <c r="Y16" s="2"/>
    </row>
    <row r="17" spans="2:25" ht="14.6" x14ac:dyDescent="0.4">
      <c r="B17" s="8" t="s">
        <v>26</v>
      </c>
      <c r="C17" s="35">
        <f>C16</f>
        <v>4.2426406871192848</v>
      </c>
      <c r="D17" s="35"/>
      <c r="E17" s="9"/>
      <c r="X17" s="2"/>
      <c r="Y17" s="2"/>
    </row>
    <row r="18" spans="2:25" x14ac:dyDescent="0.3">
      <c r="X18" s="2"/>
      <c r="Y18" s="2"/>
    </row>
    <row r="19" spans="2:25" ht="14.6" x14ac:dyDescent="0.4">
      <c r="B19" s="8" t="s">
        <v>27</v>
      </c>
      <c r="C19" s="30">
        <v>80</v>
      </c>
      <c r="D19" s="30"/>
      <c r="E19" s="9" t="s">
        <v>28</v>
      </c>
    </row>
    <row r="20" spans="2:25" ht="14.6" x14ac:dyDescent="0.4">
      <c r="B20" s="8" t="s">
        <v>30</v>
      </c>
      <c r="C20" s="31">
        <v>50</v>
      </c>
      <c r="D20" s="31"/>
      <c r="E20" s="9" t="s">
        <v>28</v>
      </c>
    </row>
    <row r="21" spans="2:25" x14ac:dyDescent="0.3">
      <c r="B21" s="8" t="s">
        <v>29</v>
      </c>
      <c r="C21" s="19">
        <f t="array" ref="C21:D27">TRANSPOSE([1]!GLV_p_vkr_atma(C12,C17,C19,C29,H5,H6,1))</f>
        <v>49.873546067686959</v>
      </c>
      <c r="D21" s="1" t="str">
        <v>p_atma</v>
      </c>
      <c r="E21" s="9"/>
      <c r="I21" s="1">
        <f>C19*1</f>
        <v>80</v>
      </c>
    </row>
    <row r="22" spans="2:25" x14ac:dyDescent="0.3">
      <c r="C22" s="19">
        <v>80</v>
      </c>
      <c r="D22" s="1" t="str">
        <v>p_in_atma</v>
      </c>
    </row>
    <row r="23" spans="2:25" x14ac:dyDescent="0.3">
      <c r="C23" s="19">
        <v>78.652332986652439</v>
      </c>
      <c r="D23" s="1" t="str">
        <v>p_v_atma</v>
      </c>
      <c r="I23" s="36">
        <v>1</v>
      </c>
      <c r="J23" s="36">
        <f>[1]!GLV_q_gas_vkr_sm3day($C$12,$C$17,$C$19,I23,$H$5,$H$6)/1000</f>
        <v>16.813699004992479</v>
      </c>
      <c r="K23" s="36">
        <f>[1]!GLV_q_gas_vkr_sm3day($C$12,$C$17,$C$19,I23,$H$5,$H$6)</f>
        <v>16813.699004992479</v>
      </c>
      <c r="L23" s="1">
        <f>[1]!GLV_q_gas_vkr_sm3day($C$12,$C$17,I23,$C$20,$H$5,$H$6)</f>
        <v>0</v>
      </c>
      <c r="M23" s="1">
        <f t="shared" ref="M23:M54" si="0">IF(I23&gt;$C$40,L23,0)</f>
        <v>0</v>
      </c>
      <c r="N23" s="1">
        <f t="shared" ref="N23:N54" si="1">IF(I23&gt;$C$39,L23,0)</f>
        <v>0</v>
      </c>
    </row>
    <row r="24" spans="2:25" x14ac:dyDescent="0.3">
      <c r="C24" s="20">
        <v>49.873546067686959</v>
      </c>
      <c r="D24" s="1" t="str">
        <v>p_out_atma</v>
      </c>
      <c r="I24" s="36">
        <f>I23+$I$21/51</f>
        <v>2.5686274509803919</v>
      </c>
      <c r="J24" s="36">
        <f>[1]!GLV_q_gas_vkr_sm3day($C$12,$C$17,$C$19,I24,$H$5,$H$6)/1000</f>
        <v>16.813842258211899</v>
      </c>
      <c r="K24" s="36">
        <f>[1]!GLV_q_gas_vkr_sm3day($C$12,$C$17,$C$19,I24,$H$5,$H$6)</f>
        <v>16813.842258211898</v>
      </c>
      <c r="L24" s="1">
        <f>[1]!GLV_q_gas_vkr_sm3day($C$12,$C$17,I24,$C$20,$H$5,$H$6)</f>
        <v>0</v>
      </c>
      <c r="M24" s="1">
        <f t="shared" si="0"/>
        <v>0</v>
      </c>
      <c r="N24" s="1">
        <f t="shared" si="1"/>
        <v>0</v>
      </c>
    </row>
    <row r="25" spans="2:25" x14ac:dyDescent="0.3">
      <c r="C25" s="18">
        <v>16570.563391623593</v>
      </c>
      <c r="D25" s="1" t="str">
        <v>q_gas_sm3day</v>
      </c>
      <c r="I25" s="36">
        <f t="shared" ref="I25:I88" si="2">I24+$I$21/51</f>
        <v>4.1372549019607838</v>
      </c>
      <c r="J25" s="36">
        <f>[1]!GLV_q_gas_vkr_sm3day($C$12,$C$17,$C$19,I25,$H$5,$H$6)/1000</f>
        <v>16.813715075030814</v>
      </c>
      <c r="K25" s="36">
        <f>[1]!GLV_q_gas_vkr_sm3day($C$12,$C$17,$C$19,I25,$H$5,$H$6)</f>
        <v>16813.715075030814</v>
      </c>
      <c r="L25" s="1">
        <f>[1]!GLV_q_gas_vkr_sm3day($C$12,$C$17,I25,$C$20,$H$5,$H$6)</f>
        <v>0</v>
      </c>
      <c r="M25" s="1">
        <f t="shared" si="0"/>
        <v>0</v>
      </c>
      <c r="N25" s="1">
        <f t="shared" si="1"/>
        <v>0</v>
      </c>
    </row>
    <row r="26" spans="2:25" x14ac:dyDescent="0.3">
      <c r="C26" s="1" t="b">
        <v>0</v>
      </c>
      <c r="D26" s="1" t="str">
        <v>port critical flow</v>
      </c>
      <c r="I26" s="36">
        <f t="shared" si="2"/>
        <v>5.7058823529411757</v>
      </c>
      <c r="J26" s="36">
        <f>[1]!GLV_q_gas_vkr_sm3day($C$12,$C$17,$C$19,I26,$H$5,$H$6)/1000</f>
        <v>16.813760604084379</v>
      </c>
      <c r="K26" s="36">
        <f>[1]!GLV_q_gas_vkr_sm3day($C$12,$C$17,$C$19,I26,$H$5,$H$6)</f>
        <v>16813.760604084378</v>
      </c>
      <c r="L26" s="1">
        <f>[1]!GLV_q_gas_vkr_sm3day($C$12,$C$17,I26,$C$20,$H$5,$H$6)</f>
        <v>0</v>
      </c>
      <c r="M26" s="1">
        <f t="shared" si="0"/>
        <v>0</v>
      </c>
      <c r="N26" s="1">
        <f t="shared" si="1"/>
        <v>0</v>
      </c>
    </row>
    <row r="27" spans="2:25" x14ac:dyDescent="0.3">
      <c r="C27" s="1" t="b">
        <v>0</v>
      </c>
      <c r="D27" s="1" t="str">
        <v>vkrutka critical flow</v>
      </c>
      <c r="I27" s="36">
        <f t="shared" si="2"/>
        <v>7.2745098039215677</v>
      </c>
      <c r="J27" s="36">
        <f>[1]!GLV_q_gas_vkr_sm3day($C$12,$C$17,$C$19,I27,$H$5,$H$6)/1000</f>
        <v>16.813694229773247</v>
      </c>
      <c r="K27" s="36">
        <f>[1]!GLV_q_gas_vkr_sm3day($C$12,$C$17,$C$19,I27,$H$5,$H$6)</f>
        <v>16813.694229773246</v>
      </c>
      <c r="L27" s="1">
        <f>[1]!GLV_q_gas_vkr_sm3day($C$12,$C$17,I27,$C$20,$H$5,$H$6)</f>
        <v>0</v>
      </c>
      <c r="M27" s="1">
        <f t="shared" si="0"/>
        <v>0</v>
      </c>
      <c r="N27" s="1">
        <f t="shared" si="1"/>
        <v>0</v>
      </c>
    </row>
    <row r="28" spans="2:25" x14ac:dyDescent="0.3">
      <c r="I28" s="36">
        <f t="shared" si="2"/>
        <v>8.8431372549019596</v>
      </c>
      <c r="J28" s="36">
        <f>[1]!GLV_q_gas_vkr_sm3day($C$12,$C$17,$C$19,I28,$H$5,$H$6)/1000</f>
        <v>16.813674309503742</v>
      </c>
      <c r="K28" s="36">
        <f>[1]!GLV_q_gas_vkr_sm3day($C$12,$C$17,$C$19,I28,$H$5,$H$6)</f>
        <v>16813.674309503742</v>
      </c>
      <c r="L28" s="1">
        <f>[1]!GLV_q_gas_vkr_sm3day($C$12,$C$17,I28,$C$20,$H$5,$H$6)</f>
        <v>0</v>
      </c>
      <c r="M28" s="1">
        <f t="shared" si="0"/>
        <v>0</v>
      </c>
      <c r="N28" s="1">
        <f t="shared" si="1"/>
        <v>0</v>
      </c>
    </row>
    <row r="29" spans="2:25" x14ac:dyDescent="0.3">
      <c r="B29" s="8" t="s">
        <v>31</v>
      </c>
      <c r="C29" s="18">
        <f t="array" ref="C29:D35">TRANSPOSE([1]!GLV_q_gas_vkr_sm3day(C12,C17,C19,C20,H5,H6))</f>
        <v>16570.563391623593</v>
      </c>
      <c r="D29" s="1" t="str">
        <v>q_gas_sm3day</v>
      </c>
      <c r="I29" s="36">
        <f t="shared" si="2"/>
        <v>10.411764705882351</v>
      </c>
      <c r="J29" s="36">
        <f>[1]!GLV_q_gas_vkr_sm3day($C$12,$C$17,$C$19,I29,$H$5,$H$6)/1000</f>
        <v>16.813670850984252</v>
      </c>
      <c r="K29" s="36">
        <f>[1]!GLV_q_gas_vkr_sm3day($C$12,$C$17,$C$19,I29,$H$5,$H$6)</f>
        <v>16813.670850984254</v>
      </c>
      <c r="L29" s="1">
        <f>[1]!GLV_q_gas_vkr_sm3day($C$12,$C$17,I29,$C$20,$H$5,$H$6)</f>
        <v>0</v>
      </c>
      <c r="M29" s="1">
        <f t="shared" si="0"/>
        <v>0</v>
      </c>
      <c r="N29" s="1">
        <f t="shared" si="1"/>
        <v>0</v>
      </c>
    </row>
    <row r="30" spans="2:25" x14ac:dyDescent="0.3">
      <c r="C30" s="19">
        <v>80</v>
      </c>
      <c r="D30" s="1" t="str">
        <v>p_in_atma</v>
      </c>
      <c r="I30" s="36">
        <f t="shared" si="2"/>
        <v>11.980392156862743</v>
      </c>
      <c r="J30" s="36">
        <f>[1]!GLV_q_gas_vkr_sm3day($C$12,$C$17,$C$19,I30,$H$5,$H$6)/1000</f>
        <v>16.813680511366499</v>
      </c>
      <c r="K30" s="36">
        <f>[1]!GLV_q_gas_vkr_sm3day($C$12,$C$17,$C$19,I30,$H$5,$H$6)</f>
        <v>16813.6805113665</v>
      </c>
      <c r="L30" s="1">
        <f>[1]!GLV_q_gas_vkr_sm3day($C$12,$C$17,I30,$C$20,$H$5,$H$6)</f>
        <v>0</v>
      </c>
      <c r="M30" s="1">
        <f t="shared" si="0"/>
        <v>0</v>
      </c>
      <c r="N30" s="1">
        <f t="shared" si="1"/>
        <v>0</v>
      </c>
    </row>
    <row r="31" spans="2:25" x14ac:dyDescent="0.3">
      <c r="C31" s="19">
        <v>78.656142549463681</v>
      </c>
      <c r="D31" s="1" t="str">
        <v>pv_atma</v>
      </c>
      <c r="I31" s="36">
        <f t="shared" si="2"/>
        <v>13.549019607843135</v>
      </c>
      <c r="J31" s="36">
        <f>[1]!GLV_q_gas_vkr_sm3day($C$12,$C$17,$C$19,I31,$H$5,$H$6)/1000</f>
        <v>16.813725411472817</v>
      </c>
      <c r="K31" s="36">
        <f>[1]!GLV_q_gas_vkr_sm3day($C$12,$C$17,$C$19,I31,$H$5,$H$6)</f>
        <v>16813.725411472817</v>
      </c>
      <c r="L31" s="1">
        <f>[1]!GLV_q_gas_vkr_sm3day($C$12,$C$17,I31,$C$20,$H$5,$H$6)</f>
        <v>0</v>
      </c>
      <c r="M31" s="1">
        <f t="shared" si="0"/>
        <v>0</v>
      </c>
      <c r="N31" s="1">
        <f t="shared" si="1"/>
        <v>0</v>
      </c>
    </row>
    <row r="32" spans="2:25" x14ac:dyDescent="0.3">
      <c r="C32" s="19">
        <v>50</v>
      </c>
      <c r="D32" s="1" t="str">
        <v>p_out_atma</v>
      </c>
      <c r="I32" s="36">
        <f t="shared" si="2"/>
        <v>15.117647058823527</v>
      </c>
      <c r="J32" s="36">
        <f>[1]!GLV_q_gas_vkr_sm3day($C$12,$C$17,$C$19,I32,$H$5,$H$6)/1000</f>
        <v>16.81368236046416</v>
      </c>
      <c r="K32" s="36">
        <f>[1]!GLV_q_gas_vkr_sm3day($C$12,$C$17,$C$19,I32,$H$5,$H$6)</f>
        <v>16813.682360464161</v>
      </c>
      <c r="L32" s="1">
        <f>[1]!GLV_q_gas_vkr_sm3day($C$12,$C$17,I32,$C$20,$H$5,$H$6)</f>
        <v>0</v>
      </c>
      <c r="M32" s="1">
        <f t="shared" si="0"/>
        <v>0</v>
      </c>
      <c r="N32" s="1">
        <f t="shared" si="1"/>
        <v>0</v>
      </c>
    </row>
    <row r="33" spans="2:14" x14ac:dyDescent="0.3">
      <c r="C33" s="18">
        <v>16570.563391623593</v>
      </c>
      <c r="D33" s="1" t="str">
        <v>q_gas_sm3day</v>
      </c>
      <c r="I33" s="36">
        <f t="shared" si="2"/>
        <v>16.686274509803919</v>
      </c>
      <c r="J33" s="36">
        <f>[1]!GLV_q_gas_vkr_sm3day($C$12,$C$17,$C$19,I33,$H$5,$H$6)/1000</f>
        <v>16.813734874681959</v>
      </c>
      <c r="K33" s="36">
        <f>[1]!GLV_q_gas_vkr_sm3day($C$12,$C$17,$C$19,I33,$H$5,$H$6)</f>
        <v>16813.734874681959</v>
      </c>
      <c r="L33" s="1">
        <f>[1]!GLV_q_gas_vkr_sm3day($C$12,$C$17,I33,$C$20,$H$5,$H$6)</f>
        <v>0</v>
      </c>
      <c r="M33" s="1">
        <f t="shared" si="0"/>
        <v>0</v>
      </c>
      <c r="N33" s="1">
        <f t="shared" si="1"/>
        <v>0</v>
      </c>
    </row>
    <row r="34" spans="2:14" x14ac:dyDescent="0.3">
      <c r="C34" s="18" t="b">
        <v>0</v>
      </c>
      <c r="D34" s="1" t="str">
        <v>crit1</v>
      </c>
      <c r="I34" s="36">
        <f t="shared" si="2"/>
        <v>18.254901960784313</v>
      </c>
      <c r="J34" s="36">
        <f>[1]!GLV_q_gas_vkr_sm3day($C$12,$C$17,$C$19,I34,$H$5,$H$6)/1000</f>
        <v>16.81373807270381</v>
      </c>
      <c r="K34" s="36">
        <f>[1]!GLV_q_gas_vkr_sm3day($C$12,$C$17,$C$19,I34,$H$5,$H$6)</f>
        <v>16813.738072703811</v>
      </c>
      <c r="L34" s="1">
        <f>[1]!GLV_q_gas_vkr_sm3day($C$12,$C$17,I34,$C$20,$H$5,$H$6)</f>
        <v>0</v>
      </c>
      <c r="M34" s="1">
        <f t="shared" si="0"/>
        <v>0</v>
      </c>
      <c r="N34" s="1">
        <f t="shared" si="1"/>
        <v>0</v>
      </c>
    </row>
    <row r="35" spans="2:14" x14ac:dyDescent="0.3">
      <c r="C35" s="1" t="b">
        <v>0</v>
      </c>
      <c r="D35" s="1" t="str">
        <v>crit2</v>
      </c>
      <c r="I35" s="36">
        <f t="shared" si="2"/>
        <v>19.823529411764707</v>
      </c>
      <c r="J35" s="36">
        <f>[1]!GLV_q_gas_vkr_sm3day($C$12,$C$17,$C$19,I35,$H$5,$H$6)/1000</f>
        <v>16.813659679700432</v>
      </c>
      <c r="K35" s="36">
        <f>[1]!GLV_q_gas_vkr_sm3day($C$12,$C$17,$C$19,I35,$H$5,$H$6)</f>
        <v>16813.659679700431</v>
      </c>
      <c r="L35" s="1">
        <f>[1]!GLV_q_gas_vkr_sm3day($C$12,$C$17,I35,$C$20,$H$5,$H$6)</f>
        <v>0</v>
      </c>
      <c r="M35" s="1">
        <f t="shared" si="0"/>
        <v>0</v>
      </c>
      <c r="N35" s="1">
        <f t="shared" si="1"/>
        <v>0</v>
      </c>
    </row>
    <row r="36" spans="2:14" x14ac:dyDescent="0.3">
      <c r="I36" s="36">
        <f t="shared" si="2"/>
        <v>21.3921568627451</v>
      </c>
      <c r="J36" s="36">
        <f>[1]!GLV_q_gas_vkr_sm3day($C$12,$C$17,$C$19,I36,$H$5,$H$6)/1000</f>
        <v>16.813659622400184</v>
      </c>
      <c r="K36" s="36">
        <f>[1]!GLV_q_gas_vkr_sm3day($C$12,$C$17,$C$19,I36,$H$5,$H$6)</f>
        <v>16813.659622400184</v>
      </c>
      <c r="L36" s="1">
        <f>[1]!GLV_q_gas_vkr_sm3day($C$12,$C$17,I36,$C$20,$H$5,$H$6)</f>
        <v>0</v>
      </c>
      <c r="M36" s="1">
        <f t="shared" si="0"/>
        <v>0</v>
      </c>
      <c r="N36" s="1">
        <f t="shared" si="1"/>
        <v>0</v>
      </c>
    </row>
    <row r="37" spans="2:14" ht="14.6" x14ac:dyDescent="0.4">
      <c r="B37" s="8" t="s">
        <v>35</v>
      </c>
      <c r="C37" s="13">
        <v>65</v>
      </c>
      <c r="D37" s="13"/>
      <c r="E37" s="9" t="s">
        <v>28</v>
      </c>
      <c r="I37" s="36">
        <f t="shared" si="2"/>
        <v>22.960784313725494</v>
      </c>
      <c r="J37" s="36">
        <f>[1]!GLV_q_gas_vkr_sm3day($C$12,$C$17,$C$19,I37,$H$5,$H$6)/1000</f>
        <v>16.813694663263973</v>
      </c>
      <c r="K37" s="36">
        <f>[1]!GLV_q_gas_vkr_sm3day($C$12,$C$17,$C$19,I37,$H$5,$H$6)</f>
        <v>16813.694663263974</v>
      </c>
      <c r="L37" s="1">
        <f>[1]!GLV_q_gas_vkr_sm3day($C$12,$C$17,I37,$C$20,$H$5,$H$6)</f>
        <v>0</v>
      </c>
      <c r="M37" s="1">
        <f t="shared" si="0"/>
        <v>0</v>
      </c>
      <c r="N37" s="1">
        <f t="shared" si="1"/>
        <v>0</v>
      </c>
    </row>
    <row r="38" spans="2:14" ht="14.6" x14ac:dyDescent="0.4">
      <c r="B38" s="8" t="s">
        <v>36</v>
      </c>
      <c r="C38" s="16">
        <f>[1]!GLV_p_close_atma(C37,H6)</f>
        <v>66.936550391027751</v>
      </c>
      <c r="D38" s="16"/>
      <c r="E38" s="9" t="s">
        <v>28</v>
      </c>
      <c r="I38" s="36">
        <f t="shared" si="2"/>
        <v>24.529411764705888</v>
      </c>
      <c r="J38" s="36">
        <f>[1]!GLV_q_gas_vkr_sm3day($C$12,$C$17,$C$19,I38,$H$5,$H$6)/1000</f>
        <v>16.814147986490713</v>
      </c>
      <c r="K38" s="36">
        <f>[1]!GLV_q_gas_vkr_sm3day($C$12,$C$17,$C$19,I38,$H$5,$H$6)</f>
        <v>16814.147986490712</v>
      </c>
      <c r="L38" s="1">
        <f>[1]!GLV_q_gas_vkr_sm3day($C$12,$C$17,I38,$C$20,$H$5,$H$6)</f>
        <v>0</v>
      </c>
      <c r="M38" s="1">
        <f t="shared" si="0"/>
        <v>0</v>
      </c>
      <c r="N38" s="1">
        <f t="shared" si="1"/>
        <v>0</v>
      </c>
    </row>
    <row r="39" spans="2:14" ht="14.6" x14ac:dyDescent="0.4">
      <c r="B39" s="8" t="s">
        <v>37</v>
      </c>
      <c r="C39" s="16">
        <f>C38</f>
        <v>66.936550391027751</v>
      </c>
      <c r="D39" s="16">
        <f>[1]!GLV_IPO_p_close(C37,C20,H6,,C12,C14,D14,C15,D15)</f>
        <v>91.043272008427977</v>
      </c>
      <c r="E39" s="9" t="s">
        <v>28</v>
      </c>
      <c r="I39" s="36">
        <f t="shared" si="2"/>
        <v>26.098039215686281</v>
      </c>
      <c r="J39" s="36">
        <f>[1]!GLV_q_gas_vkr_sm3day($C$12,$C$17,$C$19,I39,$H$5,$H$6)/1000</f>
        <v>16.813695087841307</v>
      </c>
      <c r="K39" s="36">
        <f>[1]!GLV_q_gas_vkr_sm3day($C$12,$C$17,$C$19,I39,$H$5,$H$6)</f>
        <v>16813.695087841308</v>
      </c>
      <c r="L39" s="1">
        <f>[1]!GLV_q_gas_vkr_sm3day($C$12,$C$17,I39,$C$20,$H$5,$H$6)</f>
        <v>0</v>
      </c>
      <c r="M39" s="1">
        <f t="shared" si="0"/>
        <v>0</v>
      </c>
      <c r="N39" s="1">
        <f t="shared" si="1"/>
        <v>0</v>
      </c>
    </row>
    <row r="40" spans="2:14" ht="14.6" x14ac:dyDescent="0.4">
      <c r="B40" s="8" t="s">
        <v>38</v>
      </c>
      <c r="C40" s="16">
        <f>C39/(1-C13)-C20*C13/(1-C13)</f>
        <v>72.827077823340872</v>
      </c>
      <c r="D40" s="16">
        <f>[1]!GLV_IPO_p_open(C37,C20,H6,,C12,C14,D14,C15,D15)</f>
        <v>73.036128320432127</v>
      </c>
      <c r="E40" s="9" t="s">
        <v>28</v>
      </c>
      <c r="I40" s="36">
        <f t="shared" si="2"/>
        <v>27.666666666666675</v>
      </c>
      <c r="J40" s="36">
        <f>[1]!GLV_q_gas_vkr_sm3day($C$12,$C$17,$C$19,I40,$H$5,$H$6)/1000</f>
        <v>16.813684108693685</v>
      </c>
      <c r="K40" s="36">
        <f>[1]!GLV_q_gas_vkr_sm3day($C$12,$C$17,$C$19,I40,$H$5,$H$6)</f>
        <v>16813.684108693684</v>
      </c>
      <c r="L40" s="1">
        <f>[1]!GLV_q_gas_vkr_sm3day($C$12,$C$17,I40,$C$20,$H$5,$H$6)</f>
        <v>0</v>
      </c>
      <c r="M40" s="1">
        <f t="shared" si="0"/>
        <v>0</v>
      </c>
      <c r="N40" s="1">
        <f t="shared" si="1"/>
        <v>0</v>
      </c>
    </row>
    <row r="41" spans="2:14" ht="14.6" x14ac:dyDescent="0.4">
      <c r="B41" s="8" t="s">
        <v>39</v>
      </c>
      <c r="C41" s="21" t="str">
        <f>IF(C19&gt;C40,"открыт",IF(C19&gt;C39,"открыт условно","закрыт"))</f>
        <v>открыт</v>
      </c>
      <c r="D41" s="16"/>
      <c r="E41" s="9"/>
      <c r="I41" s="36">
        <f t="shared" si="2"/>
        <v>29.235294117647069</v>
      </c>
      <c r="J41" s="36">
        <f>[1]!GLV_q_gas_vkr_sm3day($C$12,$C$17,$C$19,I41,$H$5,$H$6)/1000</f>
        <v>16.814104561307904</v>
      </c>
      <c r="K41" s="36">
        <f>[1]!GLV_q_gas_vkr_sm3day($C$12,$C$17,$C$19,I41,$H$5,$H$6)</f>
        <v>16814.104561307904</v>
      </c>
      <c r="L41" s="1">
        <f>[1]!GLV_q_gas_vkr_sm3day($C$12,$C$17,I41,$C$20,$H$5,$H$6)</f>
        <v>0</v>
      </c>
      <c r="M41" s="1">
        <f t="shared" si="0"/>
        <v>0</v>
      </c>
      <c r="N41" s="1">
        <f t="shared" si="1"/>
        <v>0</v>
      </c>
    </row>
    <row r="42" spans="2:14" ht="24.9" x14ac:dyDescent="0.4">
      <c r="B42" s="17" t="s">
        <v>40</v>
      </c>
      <c r="C42" s="16">
        <f>C39/(1-C13)-1*C13/(1-C13)</f>
        <v>89.869263954481781</v>
      </c>
      <c r="D42" s="16"/>
      <c r="E42" s="9" t="s">
        <v>28</v>
      </c>
      <c r="I42" s="36">
        <f t="shared" si="2"/>
        <v>30.803921568627462</v>
      </c>
      <c r="J42" s="36">
        <f>[1]!GLV_q_gas_vkr_sm3day($C$12,$C$17,$C$19,I42,$H$5,$H$6)/1000</f>
        <v>16.813670382615864</v>
      </c>
      <c r="K42" s="36">
        <f>[1]!GLV_q_gas_vkr_sm3day($C$12,$C$17,$C$19,I42,$H$5,$H$6)</f>
        <v>16813.670382615863</v>
      </c>
      <c r="L42" s="1">
        <f>[1]!GLV_q_gas_vkr_sm3day($C$12,$C$17,I42,$C$20,$H$5,$H$6)</f>
        <v>0</v>
      </c>
      <c r="M42" s="1">
        <f t="shared" si="0"/>
        <v>0</v>
      </c>
      <c r="N42" s="1">
        <f t="shared" si="1"/>
        <v>0</v>
      </c>
    </row>
    <row r="43" spans="2:14" ht="14.6" x14ac:dyDescent="0.4">
      <c r="B43" s="8"/>
      <c r="C43" s="13"/>
      <c r="D43" s="13"/>
      <c r="E43" s="9"/>
      <c r="I43" s="36">
        <f t="shared" si="2"/>
        <v>32.372549019607852</v>
      </c>
      <c r="J43" s="36">
        <f>[1]!GLV_q_gas_vkr_sm3day($C$12,$C$17,$C$19,I43,$H$5,$H$6)/1000</f>
        <v>16.813677560304779</v>
      </c>
      <c r="K43" s="36">
        <f>[1]!GLV_q_gas_vkr_sm3day($C$12,$C$17,$C$19,I43,$H$5,$H$6)</f>
        <v>16813.677560304779</v>
      </c>
      <c r="L43" s="1">
        <f>[1]!GLV_q_gas_vkr_sm3day($C$12,$C$17,I43,$C$20,$H$5,$H$6)</f>
        <v>0</v>
      </c>
      <c r="M43" s="1">
        <f t="shared" si="0"/>
        <v>0</v>
      </c>
      <c r="N43" s="1">
        <f t="shared" si="1"/>
        <v>0</v>
      </c>
    </row>
    <row r="44" spans="2:14" ht="14.6" x14ac:dyDescent="0.4">
      <c r="B44" s="8"/>
      <c r="C44" s="13"/>
      <c r="D44" s="13"/>
      <c r="E44" s="9"/>
      <c r="I44" s="36">
        <f t="shared" si="2"/>
        <v>33.941176470588246</v>
      </c>
      <c r="J44" s="36">
        <f>[1]!GLV_q_gas_vkr_sm3day($C$12,$C$17,$C$19,I44,$H$5,$H$6)/1000</f>
        <v>16.813675263479269</v>
      </c>
      <c r="K44" s="36">
        <f>[1]!GLV_q_gas_vkr_sm3day($C$12,$C$17,$C$19,I44,$H$5,$H$6)</f>
        <v>16813.675263479268</v>
      </c>
      <c r="L44" s="1">
        <f>[1]!GLV_q_gas_vkr_sm3day($C$12,$C$17,I44,$C$20,$H$5,$H$6)</f>
        <v>0</v>
      </c>
      <c r="M44" s="1">
        <f t="shared" si="0"/>
        <v>0</v>
      </c>
      <c r="N44" s="1">
        <f t="shared" si="1"/>
        <v>0</v>
      </c>
    </row>
    <row r="45" spans="2:14" x14ac:dyDescent="0.3">
      <c r="I45" s="36">
        <f t="shared" si="2"/>
        <v>35.50980392156864</v>
      </c>
      <c r="J45" s="36">
        <f>[1]!GLV_q_gas_vkr_sm3day($C$12,$C$17,$C$19,I45,$H$5,$H$6)/1000</f>
        <v>16.8140495298655</v>
      </c>
      <c r="K45" s="36">
        <f>[1]!GLV_q_gas_vkr_sm3day($C$12,$C$17,$C$19,I45,$H$5,$H$6)</f>
        <v>16814.049529865501</v>
      </c>
      <c r="L45" s="1">
        <f>[1]!GLV_q_gas_vkr_sm3day($C$12,$C$17,I45,$C$20,$H$5,$H$6)</f>
        <v>0</v>
      </c>
      <c r="M45" s="1">
        <f t="shared" si="0"/>
        <v>0</v>
      </c>
      <c r="N45" s="1">
        <f t="shared" si="1"/>
        <v>0</v>
      </c>
    </row>
    <row r="46" spans="2:14" x14ac:dyDescent="0.3">
      <c r="I46" s="36">
        <f t="shared" si="2"/>
        <v>37.078431372549034</v>
      </c>
      <c r="J46" s="36">
        <f>[1]!GLV_q_gas_vkr_sm3day($C$12,$C$17,$C$19,I46,$H$5,$H$6)/1000</f>
        <v>16.813671399895846</v>
      </c>
      <c r="K46" s="36">
        <f>[1]!GLV_q_gas_vkr_sm3day($C$12,$C$17,$C$19,I46,$H$5,$H$6)</f>
        <v>16813.671399895844</v>
      </c>
      <c r="L46" s="1">
        <f>[1]!GLV_q_gas_vkr_sm3day($C$12,$C$17,I46,$C$20,$H$5,$H$6)</f>
        <v>0</v>
      </c>
      <c r="M46" s="1">
        <f t="shared" si="0"/>
        <v>0</v>
      </c>
      <c r="N46" s="1">
        <f t="shared" si="1"/>
        <v>0</v>
      </c>
    </row>
    <row r="47" spans="2:14" x14ac:dyDescent="0.3">
      <c r="I47" s="36">
        <f t="shared" si="2"/>
        <v>38.647058823529427</v>
      </c>
      <c r="J47" s="36">
        <f>[1]!GLV_q_gas_vkr_sm3day($C$12,$C$17,$C$19,I47,$H$5,$H$6)/1000</f>
        <v>16.813659341109062</v>
      </c>
      <c r="K47" s="36">
        <f>[1]!GLV_q_gas_vkr_sm3day($C$12,$C$17,$C$19,I47,$H$5,$H$6)</f>
        <v>16813.659341109062</v>
      </c>
      <c r="L47" s="1">
        <f>[1]!GLV_q_gas_vkr_sm3day($C$12,$C$17,I47,$C$20,$H$5,$H$6)</f>
        <v>0</v>
      </c>
      <c r="M47" s="1">
        <f t="shared" si="0"/>
        <v>0</v>
      </c>
      <c r="N47" s="1">
        <f t="shared" si="1"/>
        <v>0</v>
      </c>
    </row>
    <row r="48" spans="2:14" x14ac:dyDescent="0.3">
      <c r="I48" s="36">
        <f t="shared" si="2"/>
        <v>40.215686274509821</v>
      </c>
      <c r="J48" s="36">
        <f>[1]!GLV_q_gas_vkr_sm3day($C$12,$C$17,$C$19,I48,$H$5,$H$6)/1000</f>
        <v>16.813698182482057</v>
      </c>
      <c r="K48" s="36">
        <f>[1]!GLV_q_gas_vkr_sm3day($C$12,$C$17,$C$19,I48,$H$5,$H$6)</f>
        <v>16813.698182482058</v>
      </c>
      <c r="L48" s="1">
        <f>[1]!GLV_q_gas_vkr_sm3day($C$12,$C$17,I48,$C$20,$H$5,$H$6)</f>
        <v>0</v>
      </c>
      <c r="M48" s="1">
        <f t="shared" si="0"/>
        <v>0</v>
      </c>
      <c r="N48" s="1">
        <f t="shared" si="1"/>
        <v>0</v>
      </c>
    </row>
    <row r="49" spans="9:14" x14ac:dyDescent="0.3">
      <c r="I49" s="36">
        <f t="shared" si="2"/>
        <v>41.784313725490215</v>
      </c>
      <c r="J49" s="36">
        <f>[1]!GLV_q_gas_vkr_sm3day($C$12,$C$17,$C$19,I49,$H$5,$H$6)/1000</f>
        <v>16.813691592585339</v>
      </c>
      <c r="K49" s="36">
        <f>[1]!GLV_q_gas_vkr_sm3day($C$12,$C$17,$C$19,I49,$H$5,$H$6)</f>
        <v>16813.691592585339</v>
      </c>
      <c r="L49" s="1">
        <f>[1]!GLV_q_gas_vkr_sm3day($C$12,$C$17,I49,$C$20,$H$5,$H$6)</f>
        <v>0</v>
      </c>
      <c r="M49" s="1">
        <f t="shared" si="0"/>
        <v>0</v>
      </c>
      <c r="N49" s="1">
        <f t="shared" si="1"/>
        <v>0</v>
      </c>
    </row>
    <row r="50" spans="9:14" x14ac:dyDescent="0.3">
      <c r="I50" s="36">
        <f t="shared" si="2"/>
        <v>43.352941176470608</v>
      </c>
      <c r="J50" s="36">
        <f>[1]!GLV_q_gas_vkr_sm3day($C$12,$C$17,$C$19,I50,$H$5,$H$6)/1000</f>
        <v>16.813721606360019</v>
      </c>
      <c r="K50" s="36">
        <f>[1]!GLV_q_gas_vkr_sm3day($C$12,$C$17,$C$19,I50,$H$5,$H$6)</f>
        <v>16813.721606360021</v>
      </c>
      <c r="L50" s="1">
        <f>[1]!GLV_q_gas_vkr_sm3day($C$12,$C$17,I50,$C$20,$H$5,$H$6)</f>
        <v>0</v>
      </c>
      <c r="M50" s="1">
        <f t="shared" si="0"/>
        <v>0</v>
      </c>
      <c r="N50" s="1">
        <f t="shared" si="1"/>
        <v>0</v>
      </c>
    </row>
    <row r="51" spans="9:14" x14ac:dyDescent="0.3">
      <c r="I51" s="36">
        <f t="shared" si="2"/>
        <v>44.921568627451002</v>
      </c>
      <c r="J51" s="36">
        <f>[1]!GLV_q_gas_vkr_sm3day($C$12,$C$17,$C$19,I51,$H$5,$H$6)/1000</f>
        <v>16.80563213406834</v>
      </c>
      <c r="K51" s="36">
        <f>[1]!GLV_q_gas_vkr_sm3day($C$12,$C$17,$C$19,I51,$H$5,$H$6)</f>
        <v>16805.632134068339</v>
      </c>
      <c r="L51" s="1">
        <f>[1]!GLV_q_gas_vkr_sm3day($C$12,$C$17,I51,$C$20,$H$5,$H$6)</f>
        <v>0</v>
      </c>
      <c r="M51" s="1">
        <f t="shared" si="0"/>
        <v>0</v>
      </c>
      <c r="N51" s="1">
        <f t="shared" si="1"/>
        <v>0</v>
      </c>
    </row>
    <row r="52" spans="9:14" x14ac:dyDescent="0.3">
      <c r="I52" s="36">
        <f t="shared" si="2"/>
        <v>46.490196078431396</v>
      </c>
      <c r="J52" s="36">
        <f>[1]!GLV_q_gas_vkr_sm3day($C$12,$C$17,$C$19,I52,$H$5,$H$6)/1000</f>
        <v>16.768087066544457</v>
      </c>
      <c r="K52" s="36">
        <f>[1]!GLV_q_gas_vkr_sm3day($C$12,$C$17,$C$19,I52,$H$5,$H$6)</f>
        <v>16768.087066544456</v>
      </c>
      <c r="L52" s="1">
        <f>[1]!GLV_q_gas_vkr_sm3day($C$12,$C$17,I52,$C$20,$H$5,$H$6)</f>
        <v>0</v>
      </c>
      <c r="M52" s="1">
        <f t="shared" si="0"/>
        <v>0</v>
      </c>
      <c r="N52" s="1">
        <f t="shared" si="1"/>
        <v>0</v>
      </c>
    </row>
    <row r="53" spans="9:14" x14ac:dyDescent="0.3">
      <c r="I53" s="36">
        <f t="shared" si="2"/>
        <v>48.058823529411789</v>
      </c>
      <c r="J53" s="36">
        <f>[1]!GLV_q_gas_vkr_sm3day($C$12,$C$17,$C$19,I53,$H$5,$H$6)/1000</f>
        <v>16.699455697083319</v>
      </c>
      <c r="K53" s="36">
        <f>[1]!GLV_q_gas_vkr_sm3day($C$12,$C$17,$C$19,I53,$H$5,$H$6)</f>
        <v>16699.455697083318</v>
      </c>
      <c r="L53" s="1">
        <f>[1]!GLV_q_gas_vkr_sm3day($C$12,$C$17,I53,$C$20,$H$5,$H$6)</f>
        <v>0</v>
      </c>
      <c r="M53" s="1">
        <f t="shared" si="0"/>
        <v>0</v>
      </c>
      <c r="N53" s="1">
        <f t="shared" si="1"/>
        <v>0</v>
      </c>
    </row>
    <row r="54" spans="9:14" x14ac:dyDescent="0.3">
      <c r="I54" s="36">
        <f t="shared" si="2"/>
        <v>49.627450980392183</v>
      </c>
      <c r="J54" s="36">
        <f>[1]!GLV_q_gas_vkr_sm3day($C$12,$C$17,$C$19,I54,$H$5,$H$6)/1000</f>
        <v>16.599148005000242</v>
      </c>
      <c r="K54" s="36">
        <f>[1]!GLV_q_gas_vkr_sm3day($C$12,$C$17,$C$19,I54,$H$5,$H$6)</f>
        <v>16599.148005000243</v>
      </c>
      <c r="L54" s="1">
        <f>[1]!GLV_q_gas_vkr_sm3day($C$12,$C$17,I54,$C$20,$H$5,$H$6)</f>
        <v>0</v>
      </c>
      <c r="M54" s="1">
        <f t="shared" si="0"/>
        <v>0</v>
      </c>
      <c r="N54" s="1">
        <f t="shared" si="1"/>
        <v>0</v>
      </c>
    </row>
    <row r="55" spans="9:14" x14ac:dyDescent="0.3">
      <c r="I55" s="36">
        <f t="shared" si="2"/>
        <v>51.196078431372577</v>
      </c>
      <c r="J55" s="36">
        <f>[1]!GLV_q_gas_vkr_sm3day($C$12,$C$17,$C$19,I55,$H$5,$H$6)/1000</f>
        <v>16.466323186004868</v>
      </c>
      <c r="K55" s="36">
        <f>[1]!GLV_q_gas_vkr_sm3day($C$12,$C$17,$C$19,I55,$H$5,$H$6)</f>
        <v>16466.323186004869</v>
      </c>
      <c r="L55" s="1">
        <f>[1]!GLV_q_gas_vkr_sm3day($C$12,$C$17,I55,$C$20,$H$5,$H$6)</f>
        <v>3423.4923929070064</v>
      </c>
      <c r="M55" s="1">
        <f t="shared" ref="M55:M86" si="3">IF(I55&gt;$C$40,L55,0)</f>
        <v>0</v>
      </c>
      <c r="N55" s="1">
        <f t="shared" ref="N55:N86" si="4">IF(I55&gt;$C$39,L55,0)</f>
        <v>0</v>
      </c>
    </row>
    <row r="56" spans="9:14" x14ac:dyDescent="0.3">
      <c r="I56" s="36">
        <f t="shared" si="2"/>
        <v>52.76470588235297</v>
      </c>
      <c r="J56" s="36">
        <f>[1]!GLV_q_gas_vkr_sm3day($C$12,$C$17,$C$19,I56,$H$5,$H$6)/1000</f>
        <v>16.30005700211554</v>
      </c>
      <c r="K56" s="36">
        <f>[1]!GLV_q_gas_vkr_sm3day($C$12,$C$17,$C$19,I56,$H$5,$H$6)</f>
        <v>16300.05700211554</v>
      </c>
      <c r="L56" s="1">
        <f>[1]!GLV_q_gas_vkr_sm3day($C$12,$C$17,I56,$C$20,$H$5,$H$6)</f>
        <v>5197.2993001872655</v>
      </c>
      <c r="M56" s="1">
        <f t="shared" si="3"/>
        <v>0</v>
      </c>
      <c r="N56" s="1">
        <f t="shared" si="4"/>
        <v>0</v>
      </c>
    </row>
    <row r="57" spans="9:14" x14ac:dyDescent="0.3">
      <c r="I57" s="36">
        <f t="shared" si="2"/>
        <v>54.333333333333364</v>
      </c>
      <c r="J57" s="36">
        <f>[1]!GLV_q_gas_vkr_sm3day($C$12,$C$17,$C$19,I57,$H$5,$H$6)/1000</f>
        <v>16.099632646542627</v>
      </c>
      <c r="K57" s="36">
        <f>[1]!GLV_q_gas_vkr_sm3day($C$12,$C$17,$C$19,I57,$H$5,$H$6)</f>
        <v>16099.632646542626</v>
      </c>
      <c r="L57" s="1">
        <f>[1]!GLV_q_gas_vkr_sm3day($C$12,$C$17,I57,$C$20,$H$5,$H$6)</f>
        <v>6493.0383787717783</v>
      </c>
      <c r="M57" s="1">
        <f t="shared" si="3"/>
        <v>0</v>
      </c>
      <c r="N57" s="1">
        <f t="shared" si="4"/>
        <v>0</v>
      </c>
    </row>
    <row r="58" spans="9:14" x14ac:dyDescent="0.3">
      <c r="I58" s="36">
        <f t="shared" si="2"/>
        <v>55.901960784313758</v>
      </c>
      <c r="J58" s="36">
        <f>[1]!GLV_q_gas_vkr_sm3day($C$12,$C$17,$C$19,I58,$H$5,$H$6)/1000</f>
        <v>15.862240195755602</v>
      </c>
      <c r="K58" s="36">
        <f>[1]!GLV_q_gas_vkr_sm3day($C$12,$C$17,$C$19,I58,$H$5,$H$6)</f>
        <v>15862.240195755601</v>
      </c>
      <c r="L58" s="1">
        <f>[1]!GLV_q_gas_vkr_sm3day($C$12,$C$17,I58,$C$20,$H$5,$H$6)</f>
        <v>7563.9909144229787</v>
      </c>
      <c r="M58" s="1">
        <f t="shared" si="3"/>
        <v>0</v>
      </c>
      <c r="N58" s="1">
        <f t="shared" si="4"/>
        <v>0</v>
      </c>
    </row>
    <row r="59" spans="9:14" x14ac:dyDescent="0.3">
      <c r="I59" s="36">
        <f t="shared" si="2"/>
        <v>57.470588235294152</v>
      </c>
      <c r="J59" s="36">
        <f>[1]!GLV_q_gas_vkr_sm3day($C$12,$C$17,$C$19,I59,$H$5,$H$6)/1000</f>
        <v>15.587431052089407</v>
      </c>
      <c r="K59" s="36">
        <f>[1]!GLV_q_gas_vkr_sm3day($C$12,$C$17,$C$19,I59,$H$5,$H$6)</f>
        <v>15587.431052089407</v>
      </c>
      <c r="L59" s="1">
        <f>[1]!GLV_q_gas_vkr_sm3day($C$12,$C$17,I59,$C$20,$H$5,$H$6)</f>
        <v>8494.2695361295919</v>
      </c>
      <c r="M59" s="1">
        <f t="shared" si="3"/>
        <v>0</v>
      </c>
      <c r="N59" s="1">
        <f t="shared" si="4"/>
        <v>0</v>
      </c>
    </row>
    <row r="60" spans="9:14" x14ac:dyDescent="0.3">
      <c r="I60" s="36">
        <f t="shared" si="2"/>
        <v>59.039215686274545</v>
      </c>
      <c r="J60" s="36">
        <f>[1]!GLV_q_gas_vkr_sm3day($C$12,$C$17,$C$19,I60,$H$5,$H$6)/1000</f>
        <v>15.272711926882254</v>
      </c>
      <c r="K60" s="36">
        <f>[1]!GLV_q_gas_vkr_sm3day($C$12,$C$17,$C$19,I60,$H$5,$H$6)</f>
        <v>15272.711926882253</v>
      </c>
      <c r="L60" s="1">
        <f>[1]!GLV_q_gas_vkr_sm3day($C$12,$C$17,I60,$C$20,$H$5,$H$6)</f>
        <v>9326.3010104635869</v>
      </c>
      <c r="M60" s="1">
        <f t="shared" si="3"/>
        <v>0</v>
      </c>
      <c r="N60" s="1">
        <f t="shared" si="4"/>
        <v>0</v>
      </c>
    </row>
    <row r="61" spans="9:14" x14ac:dyDescent="0.3">
      <c r="I61" s="36">
        <f t="shared" si="2"/>
        <v>60.607843137254939</v>
      </c>
      <c r="J61" s="36">
        <f>[1]!GLV_q_gas_vkr_sm3day($C$12,$C$17,$C$19,I61,$H$5,$H$6)/1000</f>
        <v>14.915359057752029</v>
      </c>
      <c r="K61" s="36">
        <f>[1]!GLV_q_gas_vkr_sm3day($C$12,$C$17,$C$19,I61,$H$5,$H$6)</f>
        <v>14915.35905775203</v>
      </c>
      <c r="L61" s="1">
        <f>[1]!GLV_q_gas_vkr_sm3day($C$12,$C$17,I61,$C$20,$H$5,$H$6)</f>
        <v>10084.481208458328</v>
      </c>
      <c r="M61" s="1">
        <f t="shared" si="3"/>
        <v>0</v>
      </c>
      <c r="N61" s="1">
        <f t="shared" si="4"/>
        <v>0</v>
      </c>
    </row>
    <row r="62" spans="9:14" x14ac:dyDescent="0.3">
      <c r="I62" s="36">
        <f t="shared" si="2"/>
        <v>62.176470588235333</v>
      </c>
      <c r="J62" s="36">
        <f>[1]!GLV_q_gas_vkr_sm3day($C$12,$C$17,$C$19,I62,$H$5,$H$6)/1000</f>
        <v>14.51211215391919</v>
      </c>
      <c r="K62" s="36">
        <f>[1]!GLV_q_gas_vkr_sm3day($C$12,$C$17,$C$19,I62,$H$5,$H$6)</f>
        <v>14512.11215391919</v>
      </c>
      <c r="L62" s="1">
        <f>[1]!GLV_q_gas_vkr_sm3day($C$12,$C$17,I62,$C$20,$H$5,$H$6)</f>
        <v>10784.163208623138</v>
      </c>
      <c r="M62" s="1">
        <f t="shared" si="3"/>
        <v>0</v>
      </c>
      <c r="N62" s="1">
        <f t="shared" si="4"/>
        <v>0</v>
      </c>
    </row>
    <row r="63" spans="9:14" x14ac:dyDescent="0.3">
      <c r="I63" s="36">
        <f t="shared" si="2"/>
        <v>63.745098039215726</v>
      </c>
      <c r="J63" s="36">
        <f>[1]!GLV_q_gas_vkr_sm3day($C$12,$C$17,$C$19,I63,$H$5,$H$6)/1000</f>
        <v>14.059158646153966</v>
      </c>
      <c r="K63" s="36">
        <f>[1]!GLV_q_gas_vkr_sm3day($C$12,$C$17,$C$19,I63,$H$5,$H$6)</f>
        <v>14059.158646153966</v>
      </c>
      <c r="L63" s="1">
        <f>[1]!GLV_q_gas_vkr_sm3day($C$12,$C$17,I63,$C$20,$H$5,$H$6)</f>
        <v>11436.292746883195</v>
      </c>
      <c r="M63" s="1">
        <f t="shared" si="3"/>
        <v>0</v>
      </c>
      <c r="N63" s="1">
        <f t="shared" si="4"/>
        <v>0</v>
      </c>
    </row>
    <row r="64" spans="9:14" x14ac:dyDescent="0.3">
      <c r="I64" s="36">
        <f t="shared" si="2"/>
        <v>65.31372549019612</v>
      </c>
      <c r="J64" s="36">
        <f>[1]!GLV_q_gas_vkr_sm3day($C$12,$C$17,$C$19,I64,$H$5,$H$6)/1000</f>
        <v>13.551462435928721</v>
      </c>
      <c r="K64" s="36">
        <f>[1]!GLV_q_gas_vkr_sm3day($C$12,$C$17,$C$19,I64,$H$5,$H$6)</f>
        <v>13551.462435928721</v>
      </c>
      <c r="L64" s="1">
        <f>[1]!GLV_q_gas_vkr_sm3day($C$12,$C$17,I64,$C$20,$H$5,$H$6)</f>
        <v>12048.680018828061</v>
      </c>
      <c r="M64" s="1">
        <f t="shared" si="3"/>
        <v>0</v>
      </c>
      <c r="N64" s="1">
        <f t="shared" si="4"/>
        <v>0</v>
      </c>
    </row>
    <row r="65" spans="9:14" x14ac:dyDescent="0.3">
      <c r="I65" s="36">
        <f t="shared" si="2"/>
        <v>66.882352941176507</v>
      </c>
      <c r="J65" s="36">
        <f>[1]!GLV_q_gas_vkr_sm3day($C$12,$C$17,$C$19,I65,$H$5,$H$6)/1000</f>
        <v>12.982214464568059</v>
      </c>
      <c r="K65" s="36">
        <f>[1]!GLV_q_gas_vkr_sm3day($C$12,$C$17,$C$19,I65,$H$5,$H$6)</f>
        <v>12982.21446456806</v>
      </c>
      <c r="L65" s="1">
        <f>[1]!GLV_q_gas_vkr_sm3day($C$12,$C$17,I65,$C$20,$H$5,$H$6)</f>
        <v>12627.01386360275</v>
      </c>
      <c r="M65" s="1">
        <f t="shared" si="3"/>
        <v>0</v>
      </c>
      <c r="N65" s="1">
        <f t="shared" si="4"/>
        <v>0</v>
      </c>
    </row>
    <row r="66" spans="9:14" x14ac:dyDescent="0.3">
      <c r="I66" s="36">
        <f t="shared" si="2"/>
        <v>68.450980392156893</v>
      </c>
      <c r="J66" s="36">
        <f>[1]!GLV_q_gas_vkr_sm3day($C$12,$C$17,$C$19,I66,$H$5,$H$6)/1000</f>
        <v>12.343414399786811</v>
      </c>
      <c r="K66" s="36">
        <f>[1]!GLV_q_gas_vkr_sm3day($C$12,$C$17,$C$19,I66,$H$5,$H$6)</f>
        <v>12343.41439978681</v>
      </c>
      <c r="L66" s="1">
        <f>[1]!GLV_q_gas_vkr_sm3day($C$12,$C$17,I66,$C$20,$H$5,$H$6)</f>
        <v>13175.682690426402</v>
      </c>
      <c r="M66" s="1">
        <f t="shared" si="3"/>
        <v>0</v>
      </c>
      <c r="N66" s="1">
        <f t="shared" si="4"/>
        <v>13175.682690426402</v>
      </c>
    </row>
    <row r="67" spans="9:14" x14ac:dyDescent="0.3">
      <c r="I67" s="36">
        <f t="shared" si="2"/>
        <v>70.01960784313728</v>
      </c>
      <c r="J67" s="36">
        <f>[1]!GLV_q_gas_vkr_sm3day($C$12,$C$17,$C$19,I67,$H$5,$H$6)/1000</f>
        <v>11.623203203798777</v>
      </c>
      <c r="K67" s="36">
        <f>[1]!GLV_q_gas_vkr_sm3day($C$12,$C$17,$C$19,I67,$H$5,$H$6)</f>
        <v>11623.203203798777</v>
      </c>
      <c r="L67" s="1">
        <f>[1]!GLV_q_gas_vkr_sm3day($C$12,$C$17,I67,$C$20,$H$5,$H$6)</f>
        <v>13698.503574014099</v>
      </c>
      <c r="M67" s="1">
        <f t="shared" si="3"/>
        <v>0</v>
      </c>
      <c r="N67" s="1">
        <f t="shared" si="4"/>
        <v>13698.503574014099</v>
      </c>
    </row>
    <row r="68" spans="9:14" x14ac:dyDescent="0.3">
      <c r="I68" s="36">
        <f t="shared" si="2"/>
        <v>71.588235294117666</v>
      </c>
      <c r="J68" s="36">
        <f>[1]!GLV_q_gas_vkr_sm3day($C$12,$C$17,$C$19,I68,$H$5,$H$6)/1000</f>
        <v>10.805354143714649</v>
      </c>
      <c r="K68" s="36">
        <f>[1]!GLV_q_gas_vkr_sm3day($C$12,$C$17,$C$19,I68,$H$5,$H$6)</f>
        <v>10805.354143714649</v>
      </c>
      <c r="L68" s="1">
        <f>[1]!GLV_q_gas_vkr_sm3day($C$12,$C$17,I68,$C$20,$H$5,$H$6)</f>
        <v>14198.306787295387</v>
      </c>
      <c r="M68" s="1">
        <f t="shared" si="3"/>
        <v>0</v>
      </c>
      <c r="N68" s="1">
        <f t="shared" si="4"/>
        <v>14198.306787295387</v>
      </c>
    </row>
    <row r="69" spans="9:14" x14ac:dyDescent="0.3">
      <c r="I69" s="36">
        <f t="shared" si="2"/>
        <v>73.156862745098053</v>
      </c>
      <c r="J69" s="36">
        <f>[1]!GLV_q_gas_vkr_sm3day($C$12,$C$17,$C$19,I69,$H$5,$H$6)/1000</f>
        <v>9.8658155885100296</v>
      </c>
      <c r="K69" s="36">
        <f>[1]!GLV_q_gas_vkr_sm3day($C$12,$C$17,$C$19,I69,$H$5,$H$6)</f>
        <v>9865.8155885100296</v>
      </c>
      <c r="L69" s="1">
        <f>[1]!GLV_q_gas_vkr_sm3day($C$12,$C$17,I69,$C$20,$H$5,$H$6)</f>
        <v>14677.541928183915</v>
      </c>
      <c r="M69" s="1">
        <f t="shared" si="3"/>
        <v>14677.541928183915</v>
      </c>
      <c r="N69" s="1">
        <f t="shared" si="4"/>
        <v>14677.541928183915</v>
      </c>
    </row>
    <row r="70" spans="9:14" x14ac:dyDescent="0.3">
      <c r="I70" s="36">
        <f t="shared" si="2"/>
        <v>74.725490196078439</v>
      </c>
      <c r="J70" s="36">
        <f>[1]!GLV_q_gas_vkr_sm3day($C$12,$C$17,$C$19,I70,$H$5,$H$6)/1000</f>
        <v>8.7656066164394861</v>
      </c>
      <c r="K70" s="36">
        <f>[1]!GLV_q_gas_vkr_sm3day($C$12,$C$17,$C$19,I70,$H$5,$H$6)</f>
        <v>8765.606616439487</v>
      </c>
      <c r="L70" s="1">
        <f>[1]!GLV_q_gas_vkr_sm3day($C$12,$C$17,I70,$C$20,$H$5,$H$6)</f>
        <v>15138.926148343849</v>
      </c>
      <c r="M70" s="1">
        <f t="shared" si="3"/>
        <v>15138.926148343849</v>
      </c>
      <c r="N70" s="1">
        <f t="shared" si="4"/>
        <v>15138.926148343849</v>
      </c>
    </row>
    <row r="71" spans="9:14" x14ac:dyDescent="0.3">
      <c r="I71" s="36">
        <f t="shared" si="2"/>
        <v>76.294117647058826</v>
      </c>
      <c r="J71" s="36">
        <f>[1]!GLV_q_gas_vkr_sm3day($C$12,$C$17,$C$19,I71,$H$5,$H$6)/1000</f>
        <v>7.4334435238243213</v>
      </c>
      <c r="K71" s="36">
        <f>[1]!GLV_q_gas_vkr_sm3day($C$12,$C$17,$C$19,I71,$H$5,$H$6)</f>
        <v>7433.4435238243213</v>
      </c>
      <c r="L71" s="1">
        <f>[1]!GLV_q_gas_vkr_sm3day($C$12,$C$17,I71,$C$20,$H$5,$H$6)</f>
        <v>15581.742943754491</v>
      </c>
      <c r="M71" s="1">
        <f t="shared" si="3"/>
        <v>15581.742943754491</v>
      </c>
      <c r="N71" s="1">
        <f t="shared" si="4"/>
        <v>15581.742943754491</v>
      </c>
    </row>
    <row r="72" spans="9:14" x14ac:dyDescent="0.3">
      <c r="I72" s="36">
        <f t="shared" si="2"/>
        <v>77.862745098039213</v>
      </c>
      <c r="J72" s="36">
        <f>[1]!GLV_q_gas_vkr_sm3day($C$12,$C$17,$C$19,I72,$H$5,$H$6)/1000</f>
        <v>5.7096802942768168</v>
      </c>
      <c r="K72" s="36">
        <f>[1]!GLV_q_gas_vkr_sm3day($C$12,$C$17,$C$19,I72,$H$5,$H$6)</f>
        <v>5709.6802942768172</v>
      </c>
      <c r="L72" s="1">
        <f>[1]!GLV_q_gas_vkr_sm3day($C$12,$C$17,I72,$C$20,$H$5,$H$6)</f>
        <v>16009.926189937602</v>
      </c>
      <c r="M72" s="1">
        <f t="shared" si="3"/>
        <v>16009.926189937602</v>
      </c>
      <c r="N72" s="1">
        <f t="shared" si="4"/>
        <v>16009.926189937602</v>
      </c>
    </row>
    <row r="73" spans="9:14" x14ac:dyDescent="0.3">
      <c r="I73" s="36">
        <f t="shared" si="2"/>
        <v>79.431372549019599</v>
      </c>
      <c r="J73" s="36">
        <f>[1]!GLV_q_gas_vkr_sm3day($C$12,$C$17,$C$19,I73,$H$5,$H$6)/1000</f>
        <v>2.9780521656696708</v>
      </c>
      <c r="K73" s="36">
        <f>[1]!GLV_q_gas_vkr_sm3day($C$12,$C$17,$C$19,I73,$H$5,$H$6)</f>
        <v>2978.052165669671</v>
      </c>
      <c r="L73" s="1">
        <f>[1]!GLV_q_gas_vkr_sm3day($C$12,$C$17,I73,$C$20,$H$5,$H$6)</f>
        <v>16423.808393728279</v>
      </c>
      <c r="M73" s="1">
        <f t="shared" si="3"/>
        <v>16423.808393728279</v>
      </c>
      <c r="N73" s="1">
        <f t="shared" si="4"/>
        <v>16423.808393728279</v>
      </c>
    </row>
    <row r="74" spans="9:14" x14ac:dyDescent="0.3">
      <c r="I74" s="36">
        <f t="shared" si="2"/>
        <v>80.999999999999986</v>
      </c>
      <c r="J74" s="36">
        <f>[1]!GLV_q_gas_vkr_sm3day($C$12,$C$17,$C$19,I74,$H$5,$H$6)/1000</f>
        <v>0</v>
      </c>
      <c r="K74" s="36">
        <f>[1]!GLV_q_gas_vkr_sm3day($C$12,$C$17,$C$19,I74,$H$5,$H$6)</f>
        <v>0</v>
      </c>
      <c r="L74" s="1">
        <f>[1]!GLV_q_gas_vkr_sm3day($C$12,$C$17,I74,$C$20,$H$5,$H$6)</f>
        <v>16824.620411243901</v>
      </c>
      <c r="M74" s="1">
        <f t="shared" si="3"/>
        <v>16824.620411243901</v>
      </c>
      <c r="N74" s="1">
        <f t="shared" si="4"/>
        <v>16824.620411243901</v>
      </c>
    </row>
    <row r="75" spans="9:14" x14ac:dyDescent="0.3">
      <c r="I75" s="36">
        <f t="shared" si="2"/>
        <v>82.568627450980372</v>
      </c>
      <c r="J75" s="36">
        <f>[1]!GLV_q_gas_vkr_sm3day($C$12,$C$17,$C$19,I75,$H$5,$H$6)/1000</f>
        <v>0</v>
      </c>
      <c r="K75" s="36">
        <f>[1]!GLV_q_gas_vkr_sm3day($C$12,$C$17,$C$19,I75,$H$5,$H$6)</f>
        <v>0</v>
      </c>
      <c r="L75" s="1">
        <f>[1]!GLV_q_gas_vkr_sm3day($C$12,$C$17,I75,$C$20,$H$5,$H$6)</f>
        <v>17213.340334131321</v>
      </c>
      <c r="M75" s="1">
        <f t="shared" si="3"/>
        <v>17213.340334131321</v>
      </c>
      <c r="N75" s="1">
        <f t="shared" si="4"/>
        <v>17213.340334131321</v>
      </c>
    </row>
    <row r="76" spans="9:14" x14ac:dyDescent="0.3">
      <c r="I76" s="36">
        <f t="shared" si="2"/>
        <v>84.137254901960759</v>
      </c>
      <c r="J76" s="36">
        <f>[1]!GLV_q_gas_vkr_sm3day($C$12,$C$17,$C$19,I76,$H$5,$H$6)/1000</f>
        <v>0</v>
      </c>
      <c r="K76" s="36">
        <f>[1]!GLV_q_gas_vkr_sm3day($C$12,$C$17,$C$19,I76,$H$5,$H$6)</f>
        <v>0</v>
      </c>
      <c r="L76" s="1">
        <f>[1]!GLV_q_gas_vkr_sm3day($C$12,$C$17,I76,$C$20,$H$5,$H$6)</f>
        <v>17590.657238765605</v>
      </c>
      <c r="M76" s="1">
        <f t="shared" si="3"/>
        <v>17590.657238765605</v>
      </c>
      <c r="N76" s="1">
        <f t="shared" si="4"/>
        <v>17590.657238765605</v>
      </c>
    </row>
    <row r="77" spans="9:14" x14ac:dyDescent="0.3">
      <c r="I77" s="36">
        <f t="shared" si="2"/>
        <v>85.705882352941146</v>
      </c>
      <c r="J77" s="36">
        <f>[1]!GLV_q_gas_vkr_sm3day($C$12,$C$17,$C$19,I77,$H$5,$H$6)/1000</f>
        <v>0</v>
      </c>
      <c r="K77" s="36">
        <f>[1]!GLV_q_gas_vkr_sm3day($C$12,$C$17,$C$19,I77,$H$5,$H$6)</f>
        <v>0</v>
      </c>
      <c r="L77" s="1">
        <f>[1]!GLV_q_gas_vkr_sm3day($C$12,$C$17,I77,$C$20,$H$5,$H$6)</f>
        <v>17957.346134894691</v>
      </c>
      <c r="M77" s="1">
        <f t="shared" si="3"/>
        <v>17957.346134894691</v>
      </c>
      <c r="N77" s="1">
        <f t="shared" si="4"/>
        <v>17957.346134894691</v>
      </c>
    </row>
    <row r="78" spans="9:14" x14ac:dyDescent="0.3">
      <c r="I78" s="36">
        <f t="shared" si="2"/>
        <v>87.274509803921532</v>
      </c>
      <c r="J78" s="36">
        <f>[1]!GLV_q_gas_vkr_sm3day($C$12,$C$17,$C$19,I78,$H$5,$H$6)/1000</f>
        <v>0</v>
      </c>
      <c r="K78" s="36">
        <f>[1]!GLV_q_gas_vkr_sm3day($C$12,$C$17,$C$19,I78,$H$5,$H$6)</f>
        <v>0</v>
      </c>
      <c r="L78" s="1">
        <f>[1]!GLV_q_gas_vkr_sm3day($C$12,$C$17,I78,$C$20,$H$5,$H$6)</f>
        <v>18314.234500782801</v>
      </c>
      <c r="M78" s="1">
        <f t="shared" si="3"/>
        <v>18314.234500782801</v>
      </c>
      <c r="N78" s="1">
        <f t="shared" si="4"/>
        <v>18314.234500782801</v>
      </c>
    </row>
    <row r="79" spans="9:14" x14ac:dyDescent="0.3">
      <c r="I79" s="36">
        <f t="shared" si="2"/>
        <v>88.843137254901919</v>
      </c>
      <c r="J79" s="36">
        <f>[1]!GLV_q_gas_vkr_sm3day($C$12,$C$17,$C$19,I79,$H$5,$H$6)/1000</f>
        <v>0</v>
      </c>
      <c r="K79" s="36">
        <f>[1]!GLV_q_gas_vkr_sm3day($C$12,$C$17,$C$19,I79,$H$5,$H$6)</f>
        <v>0</v>
      </c>
      <c r="L79" s="1">
        <f>[1]!GLV_q_gas_vkr_sm3day($C$12,$C$17,I79,$C$20,$H$5,$H$6)</f>
        <v>18661.785310102307</v>
      </c>
      <c r="M79" s="1">
        <f t="shared" si="3"/>
        <v>18661.785310102307</v>
      </c>
      <c r="N79" s="1">
        <f t="shared" si="4"/>
        <v>18661.785310102307</v>
      </c>
    </row>
    <row r="80" spans="9:14" x14ac:dyDescent="0.3">
      <c r="I80" s="36">
        <f t="shared" si="2"/>
        <v>90.411764705882305</v>
      </c>
      <c r="J80" s="36">
        <f>[1]!GLV_q_gas_vkr_sm3day($C$12,$C$17,$C$19,I80,$H$5,$H$6)/1000</f>
        <v>0</v>
      </c>
      <c r="K80" s="36">
        <f>[1]!GLV_q_gas_vkr_sm3day($C$12,$C$17,$C$19,I80,$H$5,$H$6)</f>
        <v>0</v>
      </c>
      <c r="L80" s="1">
        <f>[1]!GLV_q_gas_vkr_sm3day($C$12,$C$17,I80,$C$20,$H$5,$H$6)</f>
        <v>19000.5934720269</v>
      </c>
      <c r="M80" s="1">
        <f t="shared" si="3"/>
        <v>19000.5934720269</v>
      </c>
      <c r="N80" s="1">
        <f t="shared" si="4"/>
        <v>19000.5934720269</v>
      </c>
    </row>
    <row r="81" spans="9:14" x14ac:dyDescent="0.3">
      <c r="I81" s="36">
        <f t="shared" si="2"/>
        <v>91.980392156862692</v>
      </c>
      <c r="J81" s="36">
        <f>[1]!GLV_q_gas_vkr_sm3day($C$12,$C$17,$C$19,I81,$H$5,$H$6)/1000</f>
        <v>0</v>
      </c>
      <c r="K81" s="36">
        <f>[1]!GLV_q_gas_vkr_sm3day($C$12,$C$17,$C$19,I81,$H$5,$H$6)</f>
        <v>0</v>
      </c>
      <c r="L81" s="1">
        <f>[1]!GLV_q_gas_vkr_sm3day($C$12,$C$17,I81,$C$20,$H$5,$H$6)</f>
        <v>19331.587642070772</v>
      </c>
      <c r="M81" s="1">
        <f t="shared" si="3"/>
        <v>19331.587642070772</v>
      </c>
      <c r="N81" s="1">
        <f t="shared" si="4"/>
        <v>19331.587642070772</v>
      </c>
    </row>
    <row r="82" spans="9:14" x14ac:dyDescent="0.3">
      <c r="I82" s="36">
        <f t="shared" si="2"/>
        <v>93.549019607843078</v>
      </c>
      <c r="J82" s="36">
        <f>[1]!GLV_q_gas_vkr_sm3day($C$12,$C$17,$C$19,I82,$H$5,$H$6)/1000</f>
        <v>0</v>
      </c>
      <c r="K82" s="36">
        <f>[1]!GLV_q_gas_vkr_sm3day($C$12,$C$17,$C$19,I82,$H$5,$H$6)</f>
        <v>0</v>
      </c>
      <c r="L82" s="1">
        <f>[1]!GLV_q_gas_vkr_sm3day($C$12,$C$17,I82,$C$20,$H$5,$H$6)</f>
        <v>19661.297400586489</v>
      </c>
      <c r="M82" s="1">
        <f t="shared" si="3"/>
        <v>19661.297400586489</v>
      </c>
      <c r="N82" s="1">
        <f t="shared" si="4"/>
        <v>19661.297400586489</v>
      </c>
    </row>
    <row r="83" spans="9:14" x14ac:dyDescent="0.3">
      <c r="I83" s="36">
        <f t="shared" si="2"/>
        <v>95.117647058823465</v>
      </c>
      <c r="J83" s="36">
        <f>[1]!GLV_q_gas_vkr_sm3day($C$12,$C$17,$C$19,I83,$H$5,$H$6)/1000</f>
        <v>0</v>
      </c>
      <c r="K83" s="36">
        <f>[1]!GLV_q_gas_vkr_sm3day($C$12,$C$17,$C$19,I83,$H$5,$H$6)</f>
        <v>0</v>
      </c>
      <c r="L83" s="1">
        <f>[1]!GLV_q_gas_vkr_sm3day($C$12,$C$17,I83,$C$20,$H$5,$H$6)</f>
        <v>19990.962848889663</v>
      </c>
      <c r="M83" s="1">
        <f t="shared" si="3"/>
        <v>19990.962848889663</v>
      </c>
      <c r="N83" s="1">
        <f t="shared" si="4"/>
        <v>19990.962848889663</v>
      </c>
    </row>
    <row r="84" spans="9:14" x14ac:dyDescent="0.3">
      <c r="I84" s="36">
        <f t="shared" si="2"/>
        <v>96.686274509803852</v>
      </c>
      <c r="J84" s="36">
        <f>[1]!GLV_q_gas_vkr_sm3day($C$12,$C$17,$C$19,I84,$H$5,$H$6)/1000</f>
        <v>0</v>
      </c>
      <c r="K84" s="36">
        <f>[1]!GLV_q_gas_vkr_sm3day($C$12,$C$17,$C$19,I84,$H$5,$H$6)</f>
        <v>0</v>
      </c>
      <c r="L84" s="1">
        <f>[1]!GLV_q_gas_vkr_sm3day($C$12,$C$17,I84,$C$20,$H$5,$H$6)</f>
        <v>20320.6968194492</v>
      </c>
      <c r="M84" s="1">
        <f t="shared" si="3"/>
        <v>20320.6968194492</v>
      </c>
      <c r="N84" s="1">
        <f t="shared" si="4"/>
        <v>20320.6968194492</v>
      </c>
    </row>
    <row r="85" spans="9:14" x14ac:dyDescent="0.3">
      <c r="I85" s="36">
        <f t="shared" si="2"/>
        <v>98.254901960784238</v>
      </c>
      <c r="J85" s="36">
        <f>[1]!GLV_q_gas_vkr_sm3day($C$12,$C$17,$C$19,I85,$H$5,$H$6)/1000</f>
        <v>0</v>
      </c>
      <c r="K85" s="36">
        <f>[1]!GLV_q_gas_vkr_sm3day($C$12,$C$17,$C$19,I85,$H$5,$H$6)</f>
        <v>0</v>
      </c>
      <c r="L85" s="1">
        <f>[1]!GLV_q_gas_vkr_sm3day($C$12,$C$17,I85,$C$20,$H$5,$H$6)</f>
        <v>20650.374634433319</v>
      </c>
      <c r="M85" s="1">
        <f t="shared" si="3"/>
        <v>20650.374634433319</v>
      </c>
      <c r="N85" s="1">
        <f t="shared" si="4"/>
        <v>20650.374634433319</v>
      </c>
    </row>
    <row r="86" spans="9:14" x14ac:dyDescent="0.3">
      <c r="I86" s="36">
        <f t="shared" si="2"/>
        <v>99.823529411764625</v>
      </c>
      <c r="J86" s="36">
        <f>[1]!GLV_q_gas_vkr_sm3day($C$12,$C$17,$C$19,I86,$H$5,$H$6)/1000</f>
        <v>0</v>
      </c>
      <c r="K86" s="36">
        <f>[1]!GLV_q_gas_vkr_sm3day($C$12,$C$17,$C$19,I86,$H$5,$H$6)</f>
        <v>0</v>
      </c>
      <c r="L86" s="1">
        <f>[1]!GLV_q_gas_vkr_sm3day($C$12,$C$17,I86,$C$20,$H$5,$H$6)</f>
        <v>20980.03300848497</v>
      </c>
      <c r="M86" s="1">
        <f t="shared" si="3"/>
        <v>20980.03300848497</v>
      </c>
      <c r="N86" s="1">
        <f t="shared" si="4"/>
        <v>20980.03300848497</v>
      </c>
    </row>
    <row r="87" spans="9:14" x14ac:dyDescent="0.3">
      <c r="I87" s="36">
        <f t="shared" si="2"/>
        <v>101.39215686274501</v>
      </c>
      <c r="J87" s="36">
        <f>[1]!GLV_q_gas_vkr_sm3day($C$12,$C$17,$C$19,I87,$H$5,$H$6)/1000</f>
        <v>0</v>
      </c>
      <c r="K87" s="36">
        <f>[1]!GLV_q_gas_vkr_sm3day($C$12,$C$17,$C$19,I87,$H$5,$H$6)</f>
        <v>0</v>
      </c>
      <c r="L87" s="1">
        <f>[1]!GLV_q_gas_vkr_sm3day($C$12,$C$17,I87,$C$20,$H$5,$H$6)</f>
        <v>21309.880987762608</v>
      </c>
      <c r="M87" s="1">
        <f t="shared" ref="M87:M99" si="5">IF(I87&gt;$C$40,L87,0)</f>
        <v>21309.880987762608</v>
      </c>
      <c r="N87" s="1">
        <f t="shared" ref="N87:N99" si="6">IF(I87&gt;$C$39,L87,0)</f>
        <v>21309.880987762608</v>
      </c>
    </row>
    <row r="88" spans="9:14" x14ac:dyDescent="0.3">
      <c r="I88" s="36">
        <f t="shared" si="2"/>
        <v>102.9607843137254</v>
      </c>
      <c r="J88" s="36">
        <f>[1]!GLV_q_gas_vkr_sm3day($C$12,$C$17,$C$19,I88,$H$5,$H$6)/1000</f>
        <v>0</v>
      </c>
      <c r="K88" s="36">
        <f>[1]!GLV_q_gas_vkr_sm3day($C$12,$C$17,$C$19,I88,$H$5,$H$6)</f>
        <v>0</v>
      </c>
      <c r="L88" s="1">
        <f>[1]!GLV_q_gas_vkr_sm3day($C$12,$C$17,I88,$C$20,$H$5,$H$6)</f>
        <v>21639.369247559269</v>
      </c>
      <c r="M88" s="1">
        <f t="shared" si="5"/>
        <v>21639.369247559269</v>
      </c>
      <c r="N88" s="1">
        <f t="shared" si="6"/>
        <v>21639.369247559269</v>
      </c>
    </row>
    <row r="89" spans="9:14" x14ac:dyDescent="0.3">
      <c r="I89" s="36">
        <f t="shared" ref="I89:I99" si="7">I88+$I$21/51</f>
        <v>104.52941176470578</v>
      </c>
      <c r="J89" s="36">
        <f>[1]!GLV_q_gas_vkr_sm3day($C$12,$C$17,$C$19,I89,$H$5,$H$6)/1000</f>
        <v>0</v>
      </c>
      <c r="K89" s="36">
        <f>[1]!GLV_q_gas_vkr_sm3day($C$12,$C$17,$C$19,I89,$H$5,$H$6)</f>
        <v>0</v>
      </c>
      <c r="L89" s="1">
        <f>[1]!GLV_q_gas_vkr_sm3day($C$12,$C$17,I89,$C$20,$H$5,$H$6)</f>
        <v>21969.064307696721</v>
      </c>
      <c r="M89" s="1">
        <f t="shared" si="5"/>
        <v>21969.064307696721</v>
      </c>
      <c r="N89" s="1">
        <f t="shared" si="6"/>
        <v>21969.064307696721</v>
      </c>
    </row>
    <row r="90" spans="9:14" x14ac:dyDescent="0.3">
      <c r="I90" s="36">
        <f t="shared" si="7"/>
        <v>106.09803921568617</v>
      </c>
      <c r="J90" s="36">
        <f>[1]!GLV_q_gas_vkr_sm3day($C$12,$C$17,$C$19,I90,$H$5,$H$6)/1000</f>
        <v>0</v>
      </c>
      <c r="K90" s="36">
        <f>[1]!GLV_q_gas_vkr_sm3day($C$12,$C$17,$C$19,I90,$H$5,$H$6)</f>
        <v>0</v>
      </c>
      <c r="L90" s="1">
        <f>[1]!GLV_q_gas_vkr_sm3day($C$12,$C$17,I90,$C$20,$H$5,$H$6)</f>
        <v>22298.704013237257</v>
      </c>
      <c r="M90" s="1">
        <f t="shared" si="5"/>
        <v>22298.704013237257</v>
      </c>
      <c r="N90" s="1">
        <f t="shared" si="6"/>
        <v>22298.704013237257</v>
      </c>
    </row>
    <row r="91" spans="9:14" x14ac:dyDescent="0.3">
      <c r="I91" s="36">
        <f t="shared" si="7"/>
        <v>107.66666666666656</v>
      </c>
      <c r="J91" s="36">
        <f>[1]!GLV_q_gas_vkr_sm3day($C$12,$C$17,$C$19,I91,$H$5,$H$6)/1000</f>
        <v>0</v>
      </c>
      <c r="K91" s="36">
        <f>[1]!GLV_q_gas_vkr_sm3day($C$12,$C$17,$C$19,I91,$H$5,$H$6)</f>
        <v>0</v>
      </c>
      <c r="L91" s="1">
        <f>[1]!GLV_q_gas_vkr_sm3day($C$12,$C$17,I91,$C$20,$H$5,$H$6)</f>
        <v>22628.438630814489</v>
      </c>
      <c r="M91" s="1">
        <f t="shared" si="5"/>
        <v>22628.438630814489</v>
      </c>
      <c r="N91" s="1">
        <f t="shared" si="6"/>
        <v>22628.438630814489</v>
      </c>
    </row>
    <row r="92" spans="9:14" x14ac:dyDescent="0.3">
      <c r="I92" s="36">
        <f t="shared" si="7"/>
        <v>109.23529411764694</v>
      </c>
      <c r="J92" s="36">
        <f>[1]!GLV_q_gas_vkr_sm3day($C$12,$C$17,$C$19,I92,$H$5,$H$6)/1000</f>
        <v>0</v>
      </c>
      <c r="K92" s="36">
        <f>[1]!GLV_q_gas_vkr_sm3day($C$12,$C$17,$C$19,I92,$H$5,$H$6)</f>
        <v>0</v>
      </c>
      <c r="L92" s="1">
        <f>[1]!GLV_q_gas_vkr_sm3day($C$12,$C$17,I92,$C$20,$H$5,$H$6)</f>
        <v>22958.078409093803</v>
      </c>
      <c r="M92" s="1">
        <f t="shared" si="5"/>
        <v>22958.078409093803</v>
      </c>
      <c r="N92" s="1">
        <f t="shared" si="6"/>
        <v>22958.078409093803</v>
      </c>
    </row>
    <row r="93" spans="9:14" x14ac:dyDescent="0.3">
      <c r="I93" s="36">
        <f t="shared" si="7"/>
        <v>110.80392156862733</v>
      </c>
      <c r="J93" s="36">
        <f>[1]!GLV_q_gas_vkr_sm3day($C$12,$C$17,$C$19,I93,$H$5,$H$6)/1000</f>
        <v>0</v>
      </c>
      <c r="K93" s="36">
        <f>[1]!GLV_q_gas_vkr_sm3day($C$12,$C$17,$C$19,I93,$H$5,$H$6)</f>
        <v>0</v>
      </c>
      <c r="L93" s="1">
        <f>[1]!GLV_q_gas_vkr_sm3day($C$12,$C$17,I93,$C$20,$H$5,$H$6)</f>
        <v>23287.754627111255</v>
      </c>
      <c r="M93" s="1">
        <f t="shared" si="5"/>
        <v>23287.754627111255</v>
      </c>
      <c r="N93" s="1">
        <f t="shared" si="6"/>
        <v>23287.754627111255</v>
      </c>
    </row>
    <row r="94" spans="9:14" x14ac:dyDescent="0.3">
      <c r="I94" s="36">
        <f t="shared" si="7"/>
        <v>112.37254901960772</v>
      </c>
      <c r="J94" s="36">
        <f>[1]!GLV_q_gas_vkr_sm3day($C$12,$C$17,$C$19,I94,$H$5,$H$6)/1000</f>
        <v>0</v>
      </c>
      <c r="K94" s="36">
        <f>[1]!GLV_q_gas_vkr_sm3day($C$12,$C$17,$C$19,I94,$H$5,$H$6)</f>
        <v>0</v>
      </c>
      <c r="L94" s="1">
        <f>[1]!GLV_q_gas_vkr_sm3day($C$12,$C$17,I94,$C$20,$H$5,$H$6)</f>
        <v>23617.698911038358</v>
      </c>
      <c r="M94" s="1">
        <f t="shared" si="5"/>
        <v>23617.698911038358</v>
      </c>
      <c r="N94" s="1">
        <f t="shared" si="6"/>
        <v>23617.698911038358</v>
      </c>
    </row>
    <row r="95" spans="9:14" x14ac:dyDescent="0.3">
      <c r="I95" s="36">
        <f t="shared" si="7"/>
        <v>113.9411764705881</v>
      </c>
      <c r="J95" s="36">
        <f>[1]!GLV_q_gas_vkr_sm3day($C$12,$C$17,$C$19,I95,$H$5,$H$6)/1000</f>
        <v>0</v>
      </c>
      <c r="K95" s="36">
        <f>[1]!GLV_q_gas_vkr_sm3day($C$12,$C$17,$C$19,I95,$H$5,$H$6)</f>
        <v>0</v>
      </c>
      <c r="L95" s="1">
        <f>[1]!GLV_q_gas_vkr_sm3day($C$12,$C$17,I95,$C$20,$H$5,$H$6)</f>
        <v>23947.226282077449</v>
      </c>
      <c r="M95" s="1">
        <f t="shared" si="5"/>
        <v>23947.226282077449</v>
      </c>
      <c r="N95" s="1">
        <f t="shared" si="6"/>
        <v>23947.226282077449</v>
      </c>
    </row>
    <row r="96" spans="9:14" x14ac:dyDescent="0.3">
      <c r="I96" s="36">
        <f t="shared" si="7"/>
        <v>115.50980392156849</v>
      </c>
      <c r="J96" s="36">
        <f>[1]!GLV_q_gas_vkr_sm3day($C$12,$C$17,$C$19,I96,$H$5,$H$6)/1000</f>
        <v>0</v>
      </c>
      <c r="K96" s="36">
        <f>[1]!GLV_q_gas_vkr_sm3day($C$12,$C$17,$C$19,I96,$H$5,$H$6)</f>
        <v>0</v>
      </c>
      <c r="L96" s="1">
        <f>[1]!GLV_q_gas_vkr_sm3day($C$12,$C$17,I96,$C$20,$H$5,$H$6)</f>
        <v>24276.781302305331</v>
      </c>
      <c r="M96" s="1">
        <f t="shared" si="5"/>
        <v>24276.781302305331</v>
      </c>
      <c r="N96" s="1">
        <f t="shared" si="6"/>
        <v>24276.781302305331</v>
      </c>
    </row>
    <row r="97" spans="9:14" x14ac:dyDescent="0.3">
      <c r="I97" s="36">
        <f t="shared" si="7"/>
        <v>117.07843137254888</v>
      </c>
      <c r="J97" s="36">
        <f>[1]!GLV_q_gas_vkr_sm3day($C$12,$C$17,$C$19,I97,$H$5,$H$6)/1000</f>
        <v>0</v>
      </c>
      <c r="K97" s="36">
        <f>[1]!GLV_q_gas_vkr_sm3day($C$12,$C$17,$C$19,I97,$H$5,$H$6)</f>
        <v>0</v>
      </c>
      <c r="L97" s="1">
        <f>[1]!GLV_q_gas_vkr_sm3day($C$12,$C$17,I97,$C$20,$H$5,$H$6)</f>
        <v>24606.48127580763</v>
      </c>
      <c r="M97" s="1">
        <f t="shared" si="5"/>
        <v>24606.48127580763</v>
      </c>
      <c r="N97" s="1">
        <f t="shared" si="6"/>
        <v>24606.48127580763</v>
      </c>
    </row>
    <row r="98" spans="9:14" x14ac:dyDescent="0.3">
      <c r="I98" s="36">
        <f t="shared" si="7"/>
        <v>118.64705882352926</v>
      </c>
      <c r="J98" s="36">
        <f>[1]!GLV_q_gas_vkr_sm3day($C$12,$C$17,$C$19,I98,$H$5,$H$6)/1000</f>
        <v>0</v>
      </c>
      <c r="K98" s="36">
        <f>[1]!GLV_q_gas_vkr_sm3day($C$12,$C$17,$C$19,I98,$H$5,$H$6)</f>
        <v>0</v>
      </c>
      <c r="L98" s="1">
        <f>[1]!GLV_q_gas_vkr_sm3day($C$12,$C$17,I98,$C$20,$H$5,$H$6)</f>
        <v>24936.192523818027</v>
      </c>
      <c r="M98" s="1">
        <f t="shared" si="5"/>
        <v>24936.192523818027</v>
      </c>
      <c r="N98" s="1">
        <f t="shared" si="6"/>
        <v>24936.192523818027</v>
      </c>
    </row>
    <row r="99" spans="9:14" x14ac:dyDescent="0.3">
      <c r="I99" s="36">
        <f t="shared" si="7"/>
        <v>120.21568627450965</v>
      </c>
      <c r="J99" s="36">
        <f>[1]!GLV_q_gas_vkr_sm3day($C$12,$C$17,$C$19,I99,$H$5,$H$6)/1000</f>
        <v>0</v>
      </c>
      <c r="K99" s="36">
        <f>[1]!GLV_q_gas_vkr_sm3day($C$12,$C$17,$C$19,I99,$H$5,$H$6)</f>
        <v>0</v>
      </c>
      <c r="L99" s="1">
        <f>[1]!GLV_q_gas_vkr_sm3day($C$12,$C$17,I99,$C$20,$H$5,$H$6)</f>
        <v>25265.959124733825</v>
      </c>
      <c r="M99" s="1">
        <f t="shared" si="5"/>
        <v>25265.959124733825</v>
      </c>
      <c r="N99" s="1">
        <f t="shared" si="6"/>
        <v>25265.959124733825</v>
      </c>
    </row>
  </sheetData>
  <mergeCells count="12">
    <mergeCell ref="C19:D19"/>
    <mergeCell ref="C20:D20"/>
    <mergeCell ref="C11:D11"/>
    <mergeCell ref="C12:D12"/>
    <mergeCell ref="C13:D13"/>
    <mergeCell ref="C16:D16"/>
    <mergeCell ref="C17:D17"/>
    <mergeCell ref="B4:E4"/>
    <mergeCell ref="C5:D5"/>
    <mergeCell ref="C6:D6"/>
    <mergeCell ref="C7:D7"/>
    <mergeCell ref="C8:D8"/>
  </mergeCells>
  <conditionalFormatting sqref="C5:D5">
    <cfRule type="cellIs" dxfId="0" priority="1" stopIfTrue="1" operator="lessThanOrEqual">
      <formula>0</formula>
    </cfRule>
  </conditionalFormatting>
  <dataValidations disablePrompts="1" count="1">
    <dataValidation type="list" allowBlank="1" showInputMessage="1" showErrorMessage="1" sqref="C11:D11" xr:uid="{86E39E42-BBA8-4363-8AF7-56E7057E0992}">
      <formula1>$W$3:$W$7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Клапана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2019-08-04T05:21:01Z</dcterms:created>
  <dcterms:modified xsi:type="dcterms:W3CDTF">2024-05-27T16:32:10Z</dcterms:modified>
</cp:coreProperties>
</file>